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codeName="ThisWorkbook" autoCompressPictures="0" defaultThemeVersion="124226"/>
  <mc:AlternateContent xmlns:mc="http://schemas.openxmlformats.org/markup-compatibility/2006">
    <mc:Choice Requires="x15">
      <x15ac:absPath xmlns:x15ac="http://schemas.microsoft.com/office/spreadsheetml/2010/11/ac" url="F:\Sales Tax-Exclusion (SB 71) Program\Program Development\Application Development\Application Part B Worksheets\"/>
    </mc:Choice>
  </mc:AlternateContent>
  <xr:revisionPtr revIDLastSave="0" documentId="13_ncr:1_{8D3890E7-E1C5-4E73-A118-23A2EE2B7D5A}" xr6:coauthVersionLast="47" xr6:coauthVersionMax="47" xr10:uidLastSave="{00000000-0000-0000-0000-000000000000}"/>
  <workbookProtection workbookAlgorithmName="SHA-512" workbookHashValue="4J4D2W3uiqML641LHVRjvgAdJxLAh6+eXuyEg2V6P0N2iE1o9HjiSZY7ZIPYut7dxyzoqGuZMJApGGXHg77D6w==" workbookSaltValue="G6fXftZY7a/Zdg53Vhz1wg==" workbookSpinCount="100000" lockStructure="1"/>
  <bookViews>
    <workbookView xWindow="-120" yWindow="-120" windowWidth="25440" windowHeight="15390" tabRatio="864" firstSheet="2" activeTab="10" xr2:uid="{00000000-000D-0000-FFFF-FFFF00000000}"/>
  </bookViews>
  <sheets>
    <sheet name="Instructions" sheetId="41" r:id="rId1"/>
    <sheet name="Applicant_Information" sheetId="44" r:id="rId2"/>
    <sheet name="Qualified_Property_List" sheetId="17" r:id="rId3"/>
    <sheet name="BioFuels" sheetId="10" r:id="rId4"/>
    <sheet name="Alternative_Energy" sheetId="43" r:id="rId5"/>
    <sheet name="Energy_Efficiency" sheetId="38" r:id="rId6"/>
    <sheet name="Advanced_Transportation" sheetId="37" r:id="rId7"/>
    <sheet name="Advanced_Manufacturing" sheetId="39" r:id="rId8"/>
    <sheet name="Recycling" sheetId="47" r:id="rId9"/>
    <sheet name="Other_Application_Types" sheetId="40" r:id="rId10"/>
    <sheet name="Scoring" sheetId="7" r:id="rId11"/>
    <sheet name="Competitive_Criteria_Scoring" sheetId="50" state="hidden" r:id="rId12"/>
    <sheet name="Summary" sheetId="49" state="hidden" r:id="rId13"/>
    <sheet name="Pollution Costs" sheetId="8" state="hidden" r:id="rId14"/>
    <sheet name="External Data" sheetId="13" state="hidden" r:id="rId15"/>
    <sheet name="BioFuel Env Impact" sheetId="45" state="hidden" r:id="rId16"/>
    <sheet name="Recycling_Data" sheetId="48" state="hidden" r:id="rId17"/>
  </sheets>
  <externalReferences>
    <externalReference r:id="rId18"/>
    <externalReference r:id="rId19"/>
    <externalReference r:id="rId20"/>
  </externalReferences>
  <definedNames>
    <definedName name="_xlnm._FilterDatabase" localSheetId="14" hidden="1">'External Data'!#REF!</definedName>
    <definedName name="_xlnm._FilterDatabase" localSheetId="10" hidden="1">Scoring!#REF!</definedName>
    <definedName name="_ftn1" localSheetId="10">Scoring!$A$390</definedName>
    <definedName name="_ftn2" localSheetId="10">Scoring!$A$391</definedName>
    <definedName name="_ftn3" localSheetId="10">Scoring!$A$392</definedName>
    <definedName name="_ftnref1" localSheetId="10">Scoring!$A$382</definedName>
    <definedName name="_ftnref2" localSheetId="10">Scoring!$A$383</definedName>
    <definedName name="_ftnref3" localSheetId="10">Scoring!$A$386</definedName>
    <definedName name="_PTR2" localSheetId="16">[1]PTR!$V$8:$W$67</definedName>
    <definedName name="_PTR2">[1]PTR!$V$8:$W$67</definedName>
    <definedName name="Advanced_Manufacturing">Advanced_Manufacturing!$A$5:$D$71</definedName>
    <definedName name="Advanced_Manufacturing_ColBD">Advanced_Manufacturing!$B$5:$D$71</definedName>
    <definedName name="Advanced_Transportation" localSheetId="8">Recycling!$A$5:$D$26</definedName>
    <definedName name="Advanced_Transportation">Advanced_Transportation!$A$5:$D$71</definedName>
    <definedName name="Advanced_Transportation_ColBD">Advanced_Transportation!$B$5:$D$71</definedName>
    <definedName name="AIEW" localSheetId="16">[2]Scoring!$C$35</definedName>
    <definedName name="AIEW">Scoring!$C$37</definedName>
    <definedName name="Alternative_Energy">Alternative_Energy!$A$5:$D$79</definedName>
    <definedName name="Alternative_Energy_ColBD">Alternative_Energy!$B$5:$D$79</definedName>
    <definedName name="AS" localSheetId="16">[2]Scoring!$C$65</definedName>
    <definedName name="AS">Scoring!$C$68</definedName>
    <definedName name="ATL" localSheetId="16">'[2]Facility &amp; Product Information'!$E$19</definedName>
    <definedName name="ATL">Scoring!$G$50</definedName>
    <definedName name="BioFuel_Types">Scoring!$A$338:$A$352</definedName>
    <definedName name="BioFuels">BioFuels!$A$5:$D$54</definedName>
    <definedName name="BioFuels_ColBD">BioFuels!$B$5:$D$54</definedName>
    <definedName name="City_County" localSheetId="16">'[2]External Data'!$C$7:$E$1780</definedName>
    <definedName name="City_County">'External Data'!$C$7:$E$1781</definedName>
    <definedName name="city_list" localSheetId="16">'[2]External Data'!$C$8:$C$1780</definedName>
    <definedName name="city_list">'External Data'!$C$8:$C$1781</definedName>
    <definedName name="company_type" localSheetId="16">[2]Scoring!$A$280:$A$284</definedName>
    <definedName name="company_type">Scoring!$A$323:$A$330</definedName>
    <definedName name="CORatio">#REF!</definedName>
    <definedName name="County_List">'[2]External Data'!#REF!</definedName>
    <definedName name="DFB" localSheetId="16">[2]Scoring!$C$54</definedName>
    <definedName name="DFB">Scoring!$C$57</definedName>
    <definedName name="Discount_rate" localSheetId="16">[2]Scoring!$G$23</definedName>
    <definedName name="Discount_rate">Scoring!$G$25</definedName>
    <definedName name="Elasticities">Recycling_Data!#REF!</definedName>
    <definedName name="Emerging_Strategic_Industry">Scoring!$A$379:$A$387</definedName>
    <definedName name="Energy_Efficiency">Energy_Efficiency!$A$5:$D$70</definedName>
    <definedName name="Energy_Efficiency_ColBD">Energy_Efficiency!$B$5:$D$70</definedName>
    <definedName name="energy_type">Scoring!$A$304:$A$312</definedName>
    <definedName name="Energy_type_b">Scoring!$A$315:$A$319</definedName>
    <definedName name="energy_type_limited" localSheetId="16">[2]Scoring!$A$287:$A$289</definedName>
    <definedName name="energy_type_limited">Scoring!$A$333:$A$335</definedName>
    <definedName name="EnvBenefits">Scoring!$A$67:$I$183</definedName>
    <definedName name="Environmental_benefits">Scoring!$B$62:$C$130</definedName>
    <definedName name="environmental_benefits_start" localSheetId="8">#REF!</definedName>
    <definedName name="environmental_benefits_start">#REF!</definedName>
    <definedName name="Estimated_Annual_Sales" localSheetId="16">[2]Scoring!$C$30</definedName>
    <definedName name="Estimated_Annual_Sales">Scoring!$C$32</definedName>
    <definedName name="FCC" localSheetId="16">[2]Scoring!$C$63</definedName>
    <definedName name="FCC">Scoring!$C$66</definedName>
    <definedName name="Fuel_Replaced">Scoring!$A$356:$A$361</definedName>
    <definedName name="GRSO" localSheetId="16">[2]Scoring!$G$45</definedName>
    <definedName name="GRSO">Scoring!$G$47</definedName>
    <definedName name="ICIT">Scoring!$C$54</definedName>
    <definedName name="IFB" localSheetId="16">[2]Scoring!$C$55</definedName>
    <definedName name="IFB">Scoring!$C$58</definedName>
    <definedName name="IPIT">Scoring!$C$53</definedName>
    <definedName name="IPT">Scoring!$C$55</definedName>
    <definedName name="IST">Scoring!$C$52</definedName>
    <definedName name="Labor">VLOOKUP(Applicant_Information!$B$8,Table1,7)</definedName>
    <definedName name="LPB">Scoring!$C$100</definedName>
    <definedName name="MIEPU">[2]Scoring!#REF!</definedName>
    <definedName name="MIQP" localSheetId="16">[2]Scoring!$C$28</definedName>
    <definedName name="MIQP">Scoring!$C$30</definedName>
    <definedName name="MIS" localSheetId="16">[2]Scoring!$C$32</definedName>
    <definedName name="MIS">Scoring!$C$34</definedName>
    <definedName name="MISO">Scoring!$C$38</definedName>
    <definedName name="MISP" localSheetId="16">[2]Scoring!$C$34</definedName>
    <definedName name="MISP">Scoring!$C$36</definedName>
    <definedName name="MIU" localSheetId="16">[2]Scoring!$C$33</definedName>
    <definedName name="MIU">Scoring!$C$35</definedName>
    <definedName name="Multiplier" localSheetId="16">[2]Scoring!$G$22</definedName>
    <definedName name="Multiplier">Scoring!$G$24</definedName>
    <definedName name="NI" localSheetId="16">[2]Scoring!$C$85</definedName>
    <definedName name="NI">Scoring!$C$96</definedName>
    <definedName name="Other_Application_Types">Other_Application_Types!$A$5:$D$70</definedName>
    <definedName name="Other_Application_Types_ColBD">Other_Application_Types!$B$5:$D$70</definedName>
    <definedName name="output_method">Scoring!$A$263:$A$265</definedName>
    <definedName name="Percent_of_Sales_in_California">Scoring!$C$45</definedName>
    <definedName name="PICI" localSheetId="16">[2]Scoring!$C$25</definedName>
    <definedName name="PICI">Scoring!$C$27</definedName>
    <definedName name="POSCA" localSheetId="16">[2]Scoring!$C$43</definedName>
    <definedName name="POSCA">Scoring!$C$45</definedName>
    <definedName name="POT" localSheetId="16">[2]Scoring!$C$64</definedName>
    <definedName name="POT">Scoring!$C$67</definedName>
    <definedName name="_xlnm.Print_Area" localSheetId="1">Applicant_Information!$A$1:$F$91</definedName>
    <definedName name="_xlnm.Print_Area" localSheetId="2">Qualified_Property_List!$A$3:$G$57</definedName>
    <definedName name="_xlnm.Print_Area" localSheetId="10">Scoring!$A$6:$H$215</definedName>
    <definedName name="_xlnm.Print_Titles" localSheetId="2">Qualified_Property_List!$6:$7</definedName>
    <definedName name="_xlnm.Print_Titles" localSheetId="10">Scoring!$1:$5</definedName>
    <definedName name="product_cat" localSheetId="16">[2]Scoring!$A$263:$A$267</definedName>
    <definedName name="product_cat">Scoring!$A$287:$A$294</definedName>
    <definedName name="product_type" localSheetId="16">#REF!</definedName>
    <definedName name="Product_Type">Scoring!$C$287:$F$294</definedName>
    <definedName name="Project_types">[2]Scoring!$A$292:$A$295</definedName>
    <definedName name="ProjectList">#REF!</definedName>
    <definedName name="Prop_Tax_Rates" localSheetId="16">'[2]External Data'!$J$7:$K$66</definedName>
    <definedName name="Prop_Tax_Rates">'External Data'!$J$7:$K$66</definedName>
    <definedName name="PTC">Scoring!$C$31</definedName>
    <definedName name="PTR" localSheetId="16">[2]Scoring!$G$44</definedName>
    <definedName name="PTR">Scoring!$G$46</definedName>
    <definedName name="PVMIS" localSheetId="16">[2]Scoring!$C$38</definedName>
    <definedName name="PVMIS">Scoring!$C$40</definedName>
    <definedName name="PVMISO" localSheetId="16">[2]Scoring!$C$39</definedName>
    <definedName name="PVMISO">Scoring!$C$41</definedName>
    <definedName name="PVMS">Scoring!$C$40</definedName>
    <definedName name="qualified_property_list_start">Qualified_Property_List!$B$8</definedName>
    <definedName name="Recycled_Material">Scoring!$A$364:$A$376</definedName>
    <definedName name="Recycling">Recycling!$A$5:$D$54</definedName>
    <definedName name="Recycling_ColBD">Recycling!$B$5:$D$54</definedName>
    <definedName name="Recycling_VOC">Recycling!$D$5</definedName>
    <definedName name="Sales">'[2]External Data'!#REF!</definedName>
    <definedName name="SIR" localSheetId="16">[2]Scoring!$G$43</definedName>
    <definedName name="SIR">Scoring!$G$45</definedName>
    <definedName name="Sold">VLOOKUP(Applicant_Information!$B$8,Table1,3)</definedName>
    <definedName name="SourceGood">#REF!</definedName>
    <definedName name="SourceProducts" localSheetId="9">#REF!</definedName>
    <definedName name="SourceProducts">#REF!</definedName>
    <definedName name="STR" localSheetId="16">[2]Scoring!$G$24</definedName>
    <definedName name="STR">Scoring!$G$26</definedName>
    <definedName name="supplemental_benefits_start" localSheetId="8">#REF!</definedName>
    <definedName name="supplemental_benefits_start">#REF!</definedName>
    <definedName name="Supplies">VLOOKUP(Applicant_Information!$B$8,Table1,5)</definedName>
    <definedName name="Table_BioFuel">'BioFuel Env Impact'!$A$8:$D$19</definedName>
    <definedName name="Table1">OFFSET(Scoring!$C$288,0,0,1,COUNTA(Scoring!$288:$293)-2)</definedName>
    <definedName name="TableConversion">Scoring!$C$297:$E$305</definedName>
    <definedName name="TFB" localSheetId="16">[2]Scoring!$C$56</definedName>
    <definedName name="TFB">Scoring!$C$59</definedName>
    <definedName name="Timeline_start">#REF!</definedName>
    <definedName name="TransGood" localSheetId="9">#REF!</definedName>
    <definedName name="TransGood">#REF!</definedName>
    <definedName name="TransProducts">#REF!</definedName>
    <definedName name="TSD">VLOOKUP(Applicant_Information!$B$8,Table1,4)</definedName>
    <definedName name="ULOP" localSheetId="16">[2]Scoring!$C$66</definedName>
    <definedName name="ULOP">Scoring!$C$69</definedName>
    <definedName name="Unemployment">#REF!</definedName>
    <definedName name="unemployment_rates" localSheetId="16">'[2]External Data'!$G$8:$H$66</definedName>
    <definedName name="unemployment_rates">'External Data'!$G$8:$H$66</definedName>
    <definedName name="VA" localSheetId="16">[2]Scoring!$C$44</definedName>
    <definedName name="VA">Scoring!$C$46</definedName>
    <definedName name="VCS" localSheetId="16">'[2]Facility &amp; Product Information'!$E$16</definedName>
    <definedName name="VCS">INDIRECT(Scoring!$C$16&amp;"!D5")</definedName>
    <definedName name="VQP" localSheetId="16">[2]Scoring!$C$26</definedName>
    <definedName name="VQP">Scoring!$C$28</definedName>
    <definedName name="WALS" localSheetId="16">[2]Scoring!$C$37</definedName>
    <definedName name="WALS">Scoring!$C$39</definedName>
    <definedName name="WARM_Model">Recycling_Data!$A$5:$D$17</definedName>
    <definedName name="yes_no" localSheetId="16">[2]Scoring!$A$271:$A$272</definedName>
    <definedName name="yes_no">Scoring!$A$297:$A$299</definedName>
    <definedName name="YesNo">#REF!</definedName>
    <definedName name="Z_1041E6CB_32E2_4271_B20C_13C1365EF52A_.wvu.PrintArea" localSheetId="7" hidden="1">Advanced_Manufacturing!$A$6:$C$35</definedName>
    <definedName name="Z_1041E6CB_32E2_4271_B20C_13C1365EF52A_.wvu.PrintArea" localSheetId="6" hidden="1">Advanced_Transportation!#REF!</definedName>
    <definedName name="Z_1041E6CB_32E2_4271_B20C_13C1365EF52A_.wvu.PrintArea" localSheetId="3" hidden="1">BioFuels!$A$4:$D$27</definedName>
    <definedName name="Z_1041E6CB_32E2_4271_B20C_13C1365EF52A_.wvu.PrintArea" localSheetId="5" hidden="1">Energy_Efficiency!$A$6:$C$40</definedName>
    <definedName name="Z_1041E6CB_32E2_4271_B20C_13C1365EF52A_.wvu.PrintArea" localSheetId="9" hidden="1">Other_Application_Types!$A$6:$C$39</definedName>
    <definedName name="Z_1041E6CB_32E2_4271_B20C_13C1365EF52A_.wvu.PrintArea" localSheetId="2" hidden="1">Qualified_Property_List!$A$8:$G$57</definedName>
    <definedName name="Z_1041E6CB_32E2_4271_B20C_13C1365EF52A_.wvu.PrintArea" localSheetId="8" hidden="1">Recycling!#REF!</definedName>
    <definedName name="Z_1041E6CB_32E2_4271_B20C_13C1365EF52A_.wvu.PrintArea" localSheetId="10" hidden="1">Scoring!$A$6:$H$215</definedName>
    <definedName name="Z_1041E6CB_32E2_4271_B20C_13C1365EF52A_.wvu.PrintTitles" localSheetId="7" hidden="1">Advanced_Manufacturing!$2:$5</definedName>
    <definedName name="Z_1041E6CB_32E2_4271_B20C_13C1365EF52A_.wvu.PrintTitles" localSheetId="6" hidden="1">Advanced_Transportation!$2:$5</definedName>
    <definedName name="Z_1041E6CB_32E2_4271_B20C_13C1365EF52A_.wvu.PrintTitles" localSheetId="3" hidden="1">BioFuels!$2:$3</definedName>
    <definedName name="Z_1041E6CB_32E2_4271_B20C_13C1365EF52A_.wvu.PrintTitles" localSheetId="5" hidden="1">Energy_Efficiency!$2:$5</definedName>
    <definedName name="Z_1041E6CB_32E2_4271_B20C_13C1365EF52A_.wvu.PrintTitles" localSheetId="9" hidden="1">Other_Application_Types!$2:$5</definedName>
    <definedName name="Z_1041E6CB_32E2_4271_B20C_13C1365EF52A_.wvu.PrintTitles" localSheetId="2" hidden="1">Qualified_Property_List!$3:$7</definedName>
    <definedName name="Z_1041E6CB_32E2_4271_B20C_13C1365EF52A_.wvu.PrintTitles" localSheetId="8" hidden="1">Recycling!$2:$5</definedName>
    <definedName name="Z_1041E6CB_32E2_4271_B20C_13C1365EF52A_.wvu.PrintTitles" localSheetId="10" hidden="1">Scoring!$1:$5</definedName>
    <definedName name="Z_1041E6CB_32E2_4271_B20C_13C1365EF52A_.wvu.Rows" localSheetId="7" hidden="1">Advanced_Manufacturing!$16:$16</definedName>
    <definedName name="Z_1041E6CB_32E2_4271_B20C_13C1365EF52A_.wvu.Rows" localSheetId="6" hidden="1">Advanced_Transportation!$16:$16</definedName>
    <definedName name="Z_1041E6CB_32E2_4271_B20C_13C1365EF52A_.wvu.Rows" localSheetId="3" hidden="1">BioFuels!#REF!</definedName>
    <definedName name="Z_1041E6CB_32E2_4271_B20C_13C1365EF52A_.wvu.Rows" localSheetId="5" hidden="1">Energy_Efficiency!$16:$16</definedName>
    <definedName name="Z_1041E6CB_32E2_4271_B20C_13C1365EF52A_.wvu.Rows" localSheetId="9" hidden="1">Other_Application_Types!$16:$16</definedName>
    <definedName name="Z_1041E6CB_32E2_4271_B20C_13C1365EF52A_.wvu.Rows" localSheetId="8" hidden="1">Recycling!#REF!</definedName>
    <definedName name="Z_46C4EEEB_C468_4FDB_8961_DFC585498CD3_.wvu.PrintArea" localSheetId="7" hidden="1">Advanced_Manufacturing!$A$6:$C$35</definedName>
    <definedName name="Z_46C4EEEB_C468_4FDB_8961_DFC585498CD3_.wvu.PrintArea" localSheetId="6" hidden="1">Advanced_Transportation!#REF!</definedName>
    <definedName name="Z_46C4EEEB_C468_4FDB_8961_DFC585498CD3_.wvu.PrintArea" localSheetId="3" hidden="1">BioFuels!$A$4:$D$27</definedName>
    <definedName name="Z_46C4EEEB_C468_4FDB_8961_DFC585498CD3_.wvu.PrintArea" localSheetId="5" hidden="1">Energy_Efficiency!$A$6:$C$40</definedName>
    <definedName name="Z_46C4EEEB_C468_4FDB_8961_DFC585498CD3_.wvu.PrintArea" localSheetId="9" hidden="1">Other_Application_Types!$A$6:$C$39</definedName>
    <definedName name="Z_46C4EEEB_C468_4FDB_8961_DFC585498CD3_.wvu.PrintArea" localSheetId="2" hidden="1">Qualified_Property_List!$A$8:$G$57</definedName>
    <definedName name="Z_46C4EEEB_C468_4FDB_8961_DFC585498CD3_.wvu.PrintArea" localSheetId="8" hidden="1">Recycling!#REF!</definedName>
    <definedName name="Z_46C4EEEB_C468_4FDB_8961_DFC585498CD3_.wvu.PrintArea" localSheetId="10" hidden="1">Scoring!$A$6:$H$215</definedName>
    <definedName name="Z_46C4EEEB_C468_4FDB_8961_DFC585498CD3_.wvu.PrintTitles" localSheetId="7" hidden="1">Advanced_Manufacturing!$2:$5</definedName>
    <definedName name="Z_46C4EEEB_C468_4FDB_8961_DFC585498CD3_.wvu.PrintTitles" localSheetId="6" hidden="1">Advanced_Transportation!$2:$5</definedName>
    <definedName name="Z_46C4EEEB_C468_4FDB_8961_DFC585498CD3_.wvu.PrintTitles" localSheetId="3" hidden="1">BioFuels!$2:$3</definedName>
    <definedName name="Z_46C4EEEB_C468_4FDB_8961_DFC585498CD3_.wvu.PrintTitles" localSheetId="5" hidden="1">Energy_Efficiency!$2:$5</definedName>
    <definedName name="Z_46C4EEEB_C468_4FDB_8961_DFC585498CD3_.wvu.PrintTitles" localSheetId="9" hidden="1">Other_Application_Types!$2:$5</definedName>
    <definedName name="Z_46C4EEEB_C468_4FDB_8961_DFC585498CD3_.wvu.PrintTitles" localSheetId="2" hidden="1">Qualified_Property_List!$3:$7</definedName>
    <definedName name="Z_46C4EEEB_C468_4FDB_8961_DFC585498CD3_.wvu.PrintTitles" localSheetId="8" hidden="1">Recycling!$2:$5</definedName>
    <definedName name="Z_46C4EEEB_C468_4FDB_8961_DFC585498CD3_.wvu.PrintTitles" localSheetId="10" hidden="1">Scoring!$1:$5</definedName>
  </definedNames>
  <calcPr calcId="191028"/>
  <customWorkbookViews>
    <customWorkbookView name="Biofuel" guid="{1041E6CB-32E2-4271-B20C-13C1365EF52A}" maximized="1" windowWidth="1242" windowHeight="686" tabRatio="881" activeSheetId="10"/>
    <customWorkbookView name="All Rows" guid="{46C4EEEB-C468-4FDB-8961-DFC585498CD3}" maximized="1" windowWidth="1242" windowHeight="686" tabRatio="881"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7" l="1"/>
  <c r="F178" i="7"/>
  <c r="F177" i="7"/>
  <c r="F176" i="7"/>
  <c r="F171" i="7"/>
  <c r="F170" i="7"/>
  <c r="F169" i="7"/>
  <c r="C12" i="50" l="1"/>
  <c r="C10" i="50"/>
  <c r="G292" i="7"/>
  <c r="D294" i="7"/>
  <c r="D291" i="7"/>
  <c r="D289" i="7"/>
  <c r="D290" i="7"/>
  <c r="C13" i="50" l="1"/>
  <c r="B37" i="49"/>
  <c r="E17" i="49" l="1"/>
  <c r="E14" i="49"/>
  <c r="E11" i="49"/>
  <c r="E8" i="49"/>
  <c r="E5" i="49"/>
  <c r="B19" i="49" l="1"/>
  <c r="B18" i="49"/>
  <c r="B5" i="49"/>
  <c r="B4" i="49"/>
  <c r="E28" i="49" s="1"/>
  <c r="B3" i="49"/>
  <c r="F20" i="8" l="1"/>
  <c r="D56" i="40" l="1"/>
  <c r="D40" i="47"/>
  <c r="D57" i="39"/>
  <c r="D57" i="37"/>
  <c r="D56" i="38"/>
  <c r="D65" i="43"/>
  <c r="A84" i="43"/>
  <c r="D40" i="10"/>
  <c r="C16" i="7" l="1"/>
  <c r="A2" i="37"/>
  <c r="A2" i="10"/>
  <c r="A2" i="43"/>
  <c r="C17" i="48"/>
  <c r="D17" i="48"/>
  <c r="B17" i="48"/>
  <c r="A376" i="7"/>
  <c r="E5" i="17"/>
  <c r="C28" i="7" s="1"/>
  <c r="B6" i="49" s="1"/>
  <c r="D43" i="49" s="1"/>
  <c r="H7" i="8"/>
  <c r="G66" i="7" s="1"/>
  <c r="B13" i="48"/>
  <c r="B12" i="48"/>
  <c r="B14" i="48"/>
  <c r="B9" i="48"/>
  <c r="B11" i="48" s="1"/>
  <c r="D9" i="48"/>
  <c r="D11" i="48" s="1"/>
  <c r="C9" i="48"/>
  <c r="C11" i="48" s="1"/>
  <c r="A73" i="40"/>
  <c r="A57" i="47"/>
  <c r="A74" i="39"/>
  <c r="A74" i="37"/>
  <c r="B207" i="7"/>
  <c r="A57" i="10"/>
  <c r="A75" i="40"/>
  <c r="A59" i="47"/>
  <c r="A76" i="39"/>
  <c r="A76" i="37"/>
  <c r="A75" i="38"/>
  <c r="A86" i="43"/>
  <c r="A59" i="10"/>
  <c r="A73" i="38"/>
  <c r="A4" i="17"/>
  <c r="B7" i="44"/>
  <c r="A370" i="7"/>
  <c r="A375" i="7"/>
  <c r="A374" i="7"/>
  <c r="A373" i="7"/>
  <c r="A371" i="7"/>
  <c r="A369" i="7"/>
  <c r="A368" i="7"/>
  <c r="A367" i="7"/>
  <c r="A366" i="7"/>
  <c r="A365" i="7"/>
  <c r="A2" i="38"/>
  <c r="A2" i="39"/>
  <c r="A2" i="47"/>
  <c r="A60" i="47"/>
  <c r="A58" i="47"/>
  <c r="C15" i="45"/>
  <c r="C14" i="45"/>
  <c r="C13" i="45"/>
  <c r="C12" i="45"/>
  <c r="A350" i="7"/>
  <c r="A349" i="7"/>
  <c r="A348" i="7"/>
  <c r="A347" i="7"/>
  <c r="A346" i="7"/>
  <c r="A345" i="7"/>
  <c r="A344" i="7"/>
  <c r="A343" i="7"/>
  <c r="A342" i="7"/>
  <c r="A341" i="7"/>
  <c r="A340" i="7"/>
  <c r="A339" i="7"/>
  <c r="D302" i="7"/>
  <c r="F299" i="7"/>
  <c r="F300" i="7" s="1"/>
  <c r="F305" i="7"/>
  <c r="A312" i="7"/>
  <c r="A311" i="7"/>
  <c r="A310" i="7"/>
  <c r="A309" i="7"/>
  <c r="A308" i="7"/>
  <c r="A307" i="7"/>
  <c r="A306" i="7"/>
  <c r="A305" i="7"/>
  <c r="C11" i="45"/>
  <c r="C8" i="45"/>
  <c r="C10" i="45"/>
  <c r="C19" i="45"/>
  <c r="C18" i="45"/>
  <c r="C17" i="45"/>
  <c r="C16" i="45"/>
  <c r="C9" i="45"/>
  <c r="E1781" i="13"/>
  <c r="D1781" i="13"/>
  <c r="C1781" i="13"/>
  <c r="E1780" i="13"/>
  <c r="D1780" i="13"/>
  <c r="C1780" i="13"/>
  <c r="E1779" i="13"/>
  <c r="D1779" i="13"/>
  <c r="C1779" i="13"/>
  <c r="E1778" i="13"/>
  <c r="D1778" i="13"/>
  <c r="C1778" i="13"/>
  <c r="E1777" i="13"/>
  <c r="D1777" i="13"/>
  <c r="C1777" i="13"/>
  <c r="E1776" i="13"/>
  <c r="D1776" i="13"/>
  <c r="C1776" i="13"/>
  <c r="E1775" i="13"/>
  <c r="D1775" i="13"/>
  <c r="C1775" i="13"/>
  <c r="E1774" i="13"/>
  <c r="D1774" i="13"/>
  <c r="C1774" i="13"/>
  <c r="E1773" i="13"/>
  <c r="D1773" i="13"/>
  <c r="C1773" i="13"/>
  <c r="E1772" i="13"/>
  <c r="D1772" i="13"/>
  <c r="C1772" i="13"/>
  <c r="E1771" i="13"/>
  <c r="D1771" i="13"/>
  <c r="C1771" i="13"/>
  <c r="E1770" i="13"/>
  <c r="D1770" i="13"/>
  <c r="C1770" i="13"/>
  <c r="E1769" i="13"/>
  <c r="D1769" i="13"/>
  <c r="C1769" i="13"/>
  <c r="E1768" i="13"/>
  <c r="D1768" i="13"/>
  <c r="C1768" i="13"/>
  <c r="E1767" i="13"/>
  <c r="D1767" i="13"/>
  <c r="C1767" i="13"/>
  <c r="E1766" i="13"/>
  <c r="D1766" i="13"/>
  <c r="C1766" i="13"/>
  <c r="E1765" i="13"/>
  <c r="D1765" i="13"/>
  <c r="C1765" i="13"/>
  <c r="E1764" i="13"/>
  <c r="D1764" i="13"/>
  <c r="C1764" i="13"/>
  <c r="E1763" i="13"/>
  <c r="D1763" i="13"/>
  <c r="C1763" i="13"/>
  <c r="E1762" i="13"/>
  <c r="D1762" i="13"/>
  <c r="C1762" i="13"/>
  <c r="E1761" i="13"/>
  <c r="D1761" i="13"/>
  <c r="C1761" i="13"/>
  <c r="E1760" i="13"/>
  <c r="D1760" i="13"/>
  <c r="C1760" i="13"/>
  <c r="E1759" i="13"/>
  <c r="D1759" i="13"/>
  <c r="C1759" i="13"/>
  <c r="E1758" i="13"/>
  <c r="D1758" i="13"/>
  <c r="C1758" i="13"/>
  <c r="E1757" i="13"/>
  <c r="D1757" i="13"/>
  <c r="C1757" i="13"/>
  <c r="E1756" i="13"/>
  <c r="D1756" i="13"/>
  <c r="C1756" i="13"/>
  <c r="E1755" i="13"/>
  <c r="D1755" i="13"/>
  <c r="C1755" i="13"/>
  <c r="E1754" i="13"/>
  <c r="D1754" i="13"/>
  <c r="C1754" i="13"/>
  <c r="E1753" i="13"/>
  <c r="D1753" i="13"/>
  <c r="C1753" i="13"/>
  <c r="E1752" i="13"/>
  <c r="D1752" i="13"/>
  <c r="C1752" i="13"/>
  <c r="E1751" i="13"/>
  <c r="D1751" i="13"/>
  <c r="C1751" i="13"/>
  <c r="E1750" i="13"/>
  <c r="D1750" i="13"/>
  <c r="C1750" i="13"/>
  <c r="E1749" i="13"/>
  <c r="D1749" i="13"/>
  <c r="C1749" i="13"/>
  <c r="E1748" i="13"/>
  <c r="D1748" i="13"/>
  <c r="C1748" i="13"/>
  <c r="E1747" i="13"/>
  <c r="D1747" i="13"/>
  <c r="C1747" i="13"/>
  <c r="E1746" i="13"/>
  <c r="D1746" i="13"/>
  <c r="C1746" i="13"/>
  <c r="E1745" i="13"/>
  <c r="D1745" i="13"/>
  <c r="C1745" i="13"/>
  <c r="E1744" i="13"/>
  <c r="D1744" i="13"/>
  <c r="C1744" i="13"/>
  <c r="E1743" i="13"/>
  <c r="D1743" i="13"/>
  <c r="C1743" i="13"/>
  <c r="E1742" i="13"/>
  <c r="D1742" i="13"/>
  <c r="C1742" i="13"/>
  <c r="E1741" i="13"/>
  <c r="D1741" i="13"/>
  <c r="C1741" i="13"/>
  <c r="E1740" i="13"/>
  <c r="D1740" i="13"/>
  <c r="C1740" i="13"/>
  <c r="E1739" i="13"/>
  <c r="D1739" i="13"/>
  <c r="C1739" i="13"/>
  <c r="E1738" i="13"/>
  <c r="D1738" i="13"/>
  <c r="C1738" i="13"/>
  <c r="E1737" i="13"/>
  <c r="D1737" i="13"/>
  <c r="C1737" i="13"/>
  <c r="E1736" i="13"/>
  <c r="D1736" i="13"/>
  <c r="C1736" i="13"/>
  <c r="E1735" i="13"/>
  <c r="D1735" i="13"/>
  <c r="C1735" i="13"/>
  <c r="E1734" i="13"/>
  <c r="D1734" i="13"/>
  <c r="C1734" i="13"/>
  <c r="E1733" i="13"/>
  <c r="D1733" i="13"/>
  <c r="C1733" i="13"/>
  <c r="E1732" i="13"/>
  <c r="D1732" i="13"/>
  <c r="C1732" i="13"/>
  <c r="E1731" i="13"/>
  <c r="D1731" i="13"/>
  <c r="C1731" i="13"/>
  <c r="E1730" i="13"/>
  <c r="D1730" i="13"/>
  <c r="C1730" i="13"/>
  <c r="E1729" i="13"/>
  <c r="D1729" i="13"/>
  <c r="C1729" i="13"/>
  <c r="E1728" i="13"/>
  <c r="D1728" i="13"/>
  <c r="C1728" i="13"/>
  <c r="E1727" i="13"/>
  <c r="D1727" i="13"/>
  <c r="C1727" i="13"/>
  <c r="E1726" i="13"/>
  <c r="D1726" i="13"/>
  <c r="C1726" i="13"/>
  <c r="E1725" i="13"/>
  <c r="D1725" i="13"/>
  <c r="C1725" i="13"/>
  <c r="E1724" i="13"/>
  <c r="D1724" i="13"/>
  <c r="C1724" i="13"/>
  <c r="E1723" i="13"/>
  <c r="D1723" i="13"/>
  <c r="C1723" i="13"/>
  <c r="E1722" i="13"/>
  <c r="D1722" i="13"/>
  <c r="C1722" i="13"/>
  <c r="E1721" i="13"/>
  <c r="D1721" i="13"/>
  <c r="C1721" i="13"/>
  <c r="E1720" i="13"/>
  <c r="D1720" i="13"/>
  <c r="C1720" i="13"/>
  <c r="E1719" i="13"/>
  <c r="D1719" i="13"/>
  <c r="C1719" i="13"/>
  <c r="E1718" i="13"/>
  <c r="D1718" i="13"/>
  <c r="C1718" i="13"/>
  <c r="E1717" i="13"/>
  <c r="D1717" i="13"/>
  <c r="C1717" i="13"/>
  <c r="E1716" i="13"/>
  <c r="D1716" i="13"/>
  <c r="C1716" i="13"/>
  <c r="E1715" i="13"/>
  <c r="D1715" i="13"/>
  <c r="C1715" i="13"/>
  <c r="E1714" i="13"/>
  <c r="D1714" i="13"/>
  <c r="C1714" i="13"/>
  <c r="E1713" i="13"/>
  <c r="D1713" i="13"/>
  <c r="C1713" i="13"/>
  <c r="E1712" i="13"/>
  <c r="D1712" i="13"/>
  <c r="C1712" i="13"/>
  <c r="E1711" i="13"/>
  <c r="D1711" i="13"/>
  <c r="C1711" i="13"/>
  <c r="E1710" i="13"/>
  <c r="D1710" i="13"/>
  <c r="C1710" i="13"/>
  <c r="E1709" i="13"/>
  <c r="D1709" i="13"/>
  <c r="C1709" i="13"/>
  <c r="E1708" i="13"/>
  <c r="D1708" i="13"/>
  <c r="C1708" i="13"/>
  <c r="E1707" i="13"/>
  <c r="D1707" i="13"/>
  <c r="C1707" i="13"/>
  <c r="E1706" i="13"/>
  <c r="D1706" i="13"/>
  <c r="C1706" i="13"/>
  <c r="E1705" i="13"/>
  <c r="D1705" i="13"/>
  <c r="C1705" i="13"/>
  <c r="E1704" i="13"/>
  <c r="D1704" i="13"/>
  <c r="C1704" i="13"/>
  <c r="E1703" i="13"/>
  <c r="D1703" i="13"/>
  <c r="C1703" i="13"/>
  <c r="E1702" i="13"/>
  <c r="D1702" i="13"/>
  <c r="C1702" i="13"/>
  <c r="E1701" i="13"/>
  <c r="D1701" i="13"/>
  <c r="C1701" i="13"/>
  <c r="E1700" i="13"/>
  <c r="D1700" i="13"/>
  <c r="C1700" i="13"/>
  <c r="E1699" i="13"/>
  <c r="D1699" i="13"/>
  <c r="C1699" i="13"/>
  <c r="E1698" i="13"/>
  <c r="D1698" i="13"/>
  <c r="C1698" i="13"/>
  <c r="E1697" i="13"/>
  <c r="D1697" i="13"/>
  <c r="C1697" i="13"/>
  <c r="E1696" i="13"/>
  <c r="D1696" i="13"/>
  <c r="C1696" i="13"/>
  <c r="E1695" i="13"/>
  <c r="D1695" i="13"/>
  <c r="C1695" i="13"/>
  <c r="E1694" i="13"/>
  <c r="D1694" i="13"/>
  <c r="C1694" i="13"/>
  <c r="E1693" i="13"/>
  <c r="D1693" i="13"/>
  <c r="C1693" i="13"/>
  <c r="E1692" i="13"/>
  <c r="D1692" i="13"/>
  <c r="C1692" i="13"/>
  <c r="E1691" i="13"/>
  <c r="D1691" i="13"/>
  <c r="C1691" i="13"/>
  <c r="E1690" i="13"/>
  <c r="D1690" i="13"/>
  <c r="C1690" i="13"/>
  <c r="E1689" i="13"/>
  <c r="D1689" i="13"/>
  <c r="C1689" i="13"/>
  <c r="E1688" i="13"/>
  <c r="D1688" i="13"/>
  <c r="C1688" i="13"/>
  <c r="E1687" i="13"/>
  <c r="D1687" i="13"/>
  <c r="C1687" i="13"/>
  <c r="E1686" i="13"/>
  <c r="D1686" i="13"/>
  <c r="C1686" i="13"/>
  <c r="E1685" i="13"/>
  <c r="D1685" i="13"/>
  <c r="C1685" i="13"/>
  <c r="E1684" i="13"/>
  <c r="D1684" i="13"/>
  <c r="C1684" i="13"/>
  <c r="E1683" i="13"/>
  <c r="D1683" i="13"/>
  <c r="C1683" i="13"/>
  <c r="E1682" i="13"/>
  <c r="D1682" i="13"/>
  <c r="C1682" i="13"/>
  <c r="E1681" i="13"/>
  <c r="D1681" i="13"/>
  <c r="C1681" i="13"/>
  <c r="E1680" i="13"/>
  <c r="D1680" i="13"/>
  <c r="C1680" i="13"/>
  <c r="E1679" i="13"/>
  <c r="D1679" i="13"/>
  <c r="C1679" i="13"/>
  <c r="E1678" i="13"/>
  <c r="D1678" i="13"/>
  <c r="C1678" i="13"/>
  <c r="E1677" i="13"/>
  <c r="D1677" i="13"/>
  <c r="C1677" i="13"/>
  <c r="E1676" i="13"/>
  <c r="D1676" i="13"/>
  <c r="C1676" i="13"/>
  <c r="E1675" i="13"/>
  <c r="D1675" i="13"/>
  <c r="C1675" i="13"/>
  <c r="E1674" i="13"/>
  <c r="D1674" i="13"/>
  <c r="C1674" i="13"/>
  <c r="E1673" i="13"/>
  <c r="D1673" i="13"/>
  <c r="C1673" i="13"/>
  <c r="E1672" i="13"/>
  <c r="D1672" i="13"/>
  <c r="C1672" i="13"/>
  <c r="E1671" i="13"/>
  <c r="D1671" i="13"/>
  <c r="C1671" i="13"/>
  <c r="E1670" i="13"/>
  <c r="D1670" i="13"/>
  <c r="C1670" i="13"/>
  <c r="E1669" i="13"/>
  <c r="D1669" i="13"/>
  <c r="C1669" i="13"/>
  <c r="E1668" i="13"/>
  <c r="D1668" i="13"/>
  <c r="C1668" i="13"/>
  <c r="E1667" i="13"/>
  <c r="D1667" i="13"/>
  <c r="C1667" i="13"/>
  <c r="E1666" i="13"/>
  <c r="D1666" i="13"/>
  <c r="C1666" i="13"/>
  <c r="E1665" i="13"/>
  <c r="D1665" i="13"/>
  <c r="C1665" i="13"/>
  <c r="E1664" i="13"/>
  <c r="D1664" i="13"/>
  <c r="C1664" i="13"/>
  <c r="E1663" i="13"/>
  <c r="D1663" i="13"/>
  <c r="C1663" i="13"/>
  <c r="E1662" i="13"/>
  <c r="D1662" i="13"/>
  <c r="C1662" i="13"/>
  <c r="E1661" i="13"/>
  <c r="D1661" i="13"/>
  <c r="C1661" i="13"/>
  <c r="E1660" i="13"/>
  <c r="D1660" i="13"/>
  <c r="C1660" i="13"/>
  <c r="E1659" i="13"/>
  <c r="D1659" i="13"/>
  <c r="C1659" i="13"/>
  <c r="E1658" i="13"/>
  <c r="D1658" i="13"/>
  <c r="C1658" i="13"/>
  <c r="E1657" i="13"/>
  <c r="D1657" i="13"/>
  <c r="C1657" i="13"/>
  <c r="E1656" i="13"/>
  <c r="D1656" i="13"/>
  <c r="C1656" i="13"/>
  <c r="E1655" i="13"/>
  <c r="D1655" i="13"/>
  <c r="C1655" i="13"/>
  <c r="E1654" i="13"/>
  <c r="D1654" i="13"/>
  <c r="C1654" i="13"/>
  <c r="E1653" i="13"/>
  <c r="D1653" i="13"/>
  <c r="C1653" i="13"/>
  <c r="E1652" i="13"/>
  <c r="D1652" i="13"/>
  <c r="C1652" i="13"/>
  <c r="E1651" i="13"/>
  <c r="D1651" i="13"/>
  <c r="C1651" i="13"/>
  <c r="E1650" i="13"/>
  <c r="D1650" i="13"/>
  <c r="C1650" i="13"/>
  <c r="E1649" i="13"/>
  <c r="D1649" i="13"/>
  <c r="C1649" i="13"/>
  <c r="E1648" i="13"/>
  <c r="D1648" i="13"/>
  <c r="C1648" i="13"/>
  <c r="E1647" i="13"/>
  <c r="D1647" i="13"/>
  <c r="C1647" i="13"/>
  <c r="E1646" i="13"/>
  <c r="D1646" i="13"/>
  <c r="C1646" i="13"/>
  <c r="E1645" i="13"/>
  <c r="D1645" i="13"/>
  <c r="C1645" i="13"/>
  <c r="E1644" i="13"/>
  <c r="D1644" i="13"/>
  <c r="C1644" i="13"/>
  <c r="E1643" i="13"/>
  <c r="D1643" i="13"/>
  <c r="C1643" i="13"/>
  <c r="E1642" i="13"/>
  <c r="D1642" i="13"/>
  <c r="C1642" i="13"/>
  <c r="E1641" i="13"/>
  <c r="D1641" i="13"/>
  <c r="C1641" i="13"/>
  <c r="E1640" i="13"/>
  <c r="D1640" i="13"/>
  <c r="C1640" i="13"/>
  <c r="E1639" i="13"/>
  <c r="D1639" i="13"/>
  <c r="C1639" i="13"/>
  <c r="E1638" i="13"/>
  <c r="D1638" i="13"/>
  <c r="C1638" i="13"/>
  <c r="E1637" i="13"/>
  <c r="D1637" i="13"/>
  <c r="C1637" i="13"/>
  <c r="E1636" i="13"/>
  <c r="D1636" i="13"/>
  <c r="C1636" i="13"/>
  <c r="E1635" i="13"/>
  <c r="D1635" i="13"/>
  <c r="C1635" i="13"/>
  <c r="E1634" i="13"/>
  <c r="D1634" i="13"/>
  <c r="C1634" i="13"/>
  <c r="E1633" i="13"/>
  <c r="D1633" i="13"/>
  <c r="C1633" i="13"/>
  <c r="E1632" i="13"/>
  <c r="D1632" i="13"/>
  <c r="C1632" i="13"/>
  <c r="E1631" i="13"/>
  <c r="D1631" i="13"/>
  <c r="C1631" i="13"/>
  <c r="E1630" i="13"/>
  <c r="D1630" i="13"/>
  <c r="C1630" i="13"/>
  <c r="E1629" i="13"/>
  <c r="D1629" i="13"/>
  <c r="C1629" i="13"/>
  <c r="E1628" i="13"/>
  <c r="D1628" i="13"/>
  <c r="C1628" i="13"/>
  <c r="E1627" i="13"/>
  <c r="D1627" i="13"/>
  <c r="C1627" i="13"/>
  <c r="E1626" i="13"/>
  <c r="D1626" i="13"/>
  <c r="C1626" i="13"/>
  <c r="E1625" i="13"/>
  <c r="D1625" i="13"/>
  <c r="C1625" i="13"/>
  <c r="E1624" i="13"/>
  <c r="D1624" i="13"/>
  <c r="C1624" i="13"/>
  <c r="E1623" i="13"/>
  <c r="D1623" i="13"/>
  <c r="C1623" i="13"/>
  <c r="E1622" i="13"/>
  <c r="D1622" i="13"/>
  <c r="C1622" i="13"/>
  <c r="E1621" i="13"/>
  <c r="D1621" i="13"/>
  <c r="C1621" i="13"/>
  <c r="E1620" i="13"/>
  <c r="D1620" i="13"/>
  <c r="C1620" i="13"/>
  <c r="E1619" i="13"/>
  <c r="D1619" i="13"/>
  <c r="C1619" i="13"/>
  <c r="E1618" i="13"/>
  <c r="D1618" i="13"/>
  <c r="C1618" i="13"/>
  <c r="E1617" i="13"/>
  <c r="D1617" i="13"/>
  <c r="C1617" i="13"/>
  <c r="E1616" i="13"/>
  <c r="D1616" i="13"/>
  <c r="C1616" i="13"/>
  <c r="E1615" i="13"/>
  <c r="D1615" i="13"/>
  <c r="C1615" i="13"/>
  <c r="E1614" i="13"/>
  <c r="D1614" i="13"/>
  <c r="C1614" i="13"/>
  <c r="E1613" i="13"/>
  <c r="D1613" i="13"/>
  <c r="C1613" i="13"/>
  <c r="E1612" i="13"/>
  <c r="D1612" i="13"/>
  <c r="C1612" i="13"/>
  <c r="E1611" i="13"/>
  <c r="D1611" i="13"/>
  <c r="C1611" i="13"/>
  <c r="E1610" i="13"/>
  <c r="D1610" i="13"/>
  <c r="C1610" i="13"/>
  <c r="E1609" i="13"/>
  <c r="D1609" i="13"/>
  <c r="C1609" i="13"/>
  <c r="E1608" i="13"/>
  <c r="D1608" i="13"/>
  <c r="C1608" i="13"/>
  <c r="E1607" i="13"/>
  <c r="D1607" i="13"/>
  <c r="C1607" i="13"/>
  <c r="E1606" i="13"/>
  <c r="D1606" i="13"/>
  <c r="C1606" i="13"/>
  <c r="E1605" i="13"/>
  <c r="D1605" i="13"/>
  <c r="C1605" i="13"/>
  <c r="E1604" i="13"/>
  <c r="D1604" i="13"/>
  <c r="C1604" i="13"/>
  <c r="E1603" i="13"/>
  <c r="D1603" i="13"/>
  <c r="C1603" i="13"/>
  <c r="E1602" i="13"/>
  <c r="D1602" i="13"/>
  <c r="C1602" i="13"/>
  <c r="E1601" i="13"/>
  <c r="D1601" i="13"/>
  <c r="C1601" i="13"/>
  <c r="E1600" i="13"/>
  <c r="D1600" i="13"/>
  <c r="C1600" i="13"/>
  <c r="E1599" i="13"/>
  <c r="D1599" i="13"/>
  <c r="C1599" i="13"/>
  <c r="E1598" i="13"/>
  <c r="D1598" i="13"/>
  <c r="C1598" i="13"/>
  <c r="E1597" i="13"/>
  <c r="D1597" i="13"/>
  <c r="C1597" i="13"/>
  <c r="E1596" i="13"/>
  <c r="D1596" i="13"/>
  <c r="C1596" i="13"/>
  <c r="E1595" i="13"/>
  <c r="D1595" i="13"/>
  <c r="C1595" i="13"/>
  <c r="E1594" i="13"/>
  <c r="D1594" i="13"/>
  <c r="C1594" i="13"/>
  <c r="E1593" i="13"/>
  <c r="D1593" i="13"/>
  <c r="C1593" i="13"/>
  <c r="E1592" i="13"/>
  <c r="D1592" i="13"/>
  <c r="C1592" i="13"/>
  <c r="E1591" i="13"/>
  <c r="D1591" i="13"/>
  <c r="C1591" i="13"/>
  <c r="E1590" i="13"/>
  <c r="D1590" i="13"/>
  <c r="C1590" i="13"/>
  <c r="E1589" i="13"/>
  <c r="D1589" i="13"/>
  <c r="C1589" i="13"/>
  <c r="E1588" i="13"/>
  <c r="D1588" i="13"/>
  <c r="C1588" i="13"/>
  <c r="E1587" i="13"/>
  <c r="D1587" i="13"/>
  <c r="C1587" i="13"/>
  <c r="E1586" i="13"/>
  <c r="D1586" i="13"/>
  <c r="C1586" i="13"/>
  <c r="E1585" i="13"/>
  <c r="D1585" i="13"/>
  <c r="C1585" i="13"/>
  <c r="E1584" i="13"/>
  <c r="D1584" i="13"/>
  <c r="C1584" i="13"/>
  <c r="E1583" i="13"/>
  <c r="D1583" i="13"/>
  <c r="C1583" i="13"/>
  <c r="E1582" i="13"/>
  <c r="D1582" i="13"/>
  <c r="C1582" i="13"/>
  <c r="E1581" i="13"/>
  <c r="D1581" i="13"/>
  <c r="C1581" i="13"/>
  <c r="E1580" i="13"/>
  <c r="D1580" i="13"/>
  <c r="C1580" i="13"/>
  <c r="E1579" i="13"/>
  <c r="D1579" i="13"/>
  <c r="C1579" i="13"/>
  <c r="E1578" i="13"/>
  <c r="D1578" i="13"/>
  <c r="C1578" i="13"/>
  <c r="E1577" i="13"/>
  <c r="D1577" i="13"/>
  <c r="C1577" i="13"/>
  <c r="E1576" i="13"/>
  <c r="D1576" i="13"/>
  <c r="C1576" i="13"/>
  <c r="E1575" i="13"/>
  <c r="D1575" i="13"/>
  <c r="C1575" i="13"/>
  <c r="E1574" i="13"/>
  <c r="D1574" i="13"/>
  <c r="C1574" i="13"/>
  <c r="E1573" i="13"/>
  <c r="D1573" i="13"/>
  <c r="C1573" i="13"/>
  <c r="E1572" i="13"/>
  <c r="D1572" i="13"/>
  <c r="C1572" i="13"/>
  <c r="E1571" i="13"/>
  <c r="D1571" i="13"/>
  <c r="C1571" i="13"/>
  <c r="E1570" i="13"/>
  <c r="D1570" i="13"/>
  <c r="C1570" i="13"/>
  <c r="E1569" i="13"/>
  <c r="D1569" i="13"/>
  <c r="C1569" i="13"/>
  <c r="E1568" i="13"/>
  <c r="D1568" i="13"/>
  <c r="C1568" i="13"/>
  <c r="E1567" i="13"/>
  <c r="D1567" i="13"/>
  <c r="C1567" i="13"/>
  <c r="E1566" i="13"/>
  <c r="D1566" i="13"/>
  <c r="C1566" i="13"/>
  <c r="E1565" i="13"/>
  <c r="D1565" i="13"/>
  <c r="C1565" i="13"/>
  <c r="E1564" i="13"/>
  <c r="D1564" i="13"/>
  <c r="C1564" i="13"/>
  <c r="E1563" i="13"/>
  <c r="D1563" i="13"/>
  <c r="C1563" i="13"/>
  <c r="E1562" i="13"/>
  <c r="D1562" i="13"/>
  <c r="C1562" i="13"/>
  <c r="E1561" i="13"/>
  <c r="D1561" i="13"/>
  <c r="C1561" i="13"/>
  <c r="E1560" i="13"/>
  <c r="D1560" i="13"/>
  <c r="C1560" i="13"/>
  <c r="E1559" i="13"/>
  <c r="D1559" i="13"/>
  <c r="C1559" i="13"/>
  <c r="E1558" i="13"/>
  <c r="D1558" i="13"/>
  <c r="C1558" i="13"/>
  <c r="E1557" i="13"/>
  <c r="D1557" i="13"/>
  <c r="C1557" i="13"/>
  <c r="E1556" i="13"/>
  <c r="D1556" i="13"/>
  <c r="C1556" i="13"/>
  <c r="E1555" i="13"/>
  <c r="D1555" i="13"/>
  <c r="C1555" i="13"/>
  <c r="E1554" i="13"/>
  <c r="D1554" i="13"/>
  <c r="C1554" i="13"/>
  <c r="E1553" i="13"/>
  <c r="D1553" i="13"/>
  <c r="C1553" i="13"/>
  <c r="E1552" i="13"/>
  <c r="D1552" i="13"/>
  <c r="C1552" i="13"/>
  <c r="E1551" i="13"/>
  <c r="D1551" i="13"/>
  <c r="C1551" i="13"/>
  <c r="E1550" i="13"/>
  <c r="D1550" i="13"/>
  <c r="C1550" i="13"/>
  <c r="E1549" i="13"/>
  <c r="D1549" i="13"/>
  <c r="C1549" i="13"/>
  <c r="E1548" i="13"/>
  <c r="D1548" i="13"/>
  <c r="C1548" i="13"/>
  <c r="E1547" i="13"/>
  <c r="D1547" i="13"/>
  <c r="C1547" i="13"/>
  <c r="E1546" i="13"/>
  <c r="D1546" i="13"/>
  <c r="C1546" i="13"/>
  <c r="E1545" i="13"/>
  <c r="D1545" i="13"/>
  <c r="C1545" i="13"/>
  <c r="E1544" i="13"/>
  <c r="D1544" i="13"/>
  <c r="C1544" i="13"/>
  <c r="E1543" i="13"/>
  <c r="D1543" i="13"/>
  <c r="C1543" i="13"/>
  <c r="E1542" i="13"/>
  <c r="D1542" i="13"/>
  <c r="C1542" i="13"/>
  <c r="E1541" i="13"/>
  <c r="D1541" i="13"/>
  <c r="C1541" i="13"/>
  <c r="E1540" i="13"/>
  <c r="D1540" i="13"/>
  <c r="C1540" i="13"/>
  <c r="E1539" i="13"/>
  <c r="D1539" i="13"/>
  <c r="C1539" i="13"/>
  <c r="E1538" i="13"/>
  <c r="D1538" i="13"/>
  <c r="C1538" i="13"/>
  <c r="E1537" i="13"/>
  <c r="D1537" i="13"/>
  <c r="C1537" i="13"/>
  <c r="E1536" i="13"/>
  <c r="D1536" i="13"/>
  <c r="C1536" i="13"/>
  <c r="E1535" i="13"/>
  <c r="D1535" i="13"/>
  <c r="C1535" i="13"/>
  <c r="E1534" i="13"/>
  <c r="D1534" i="13"/>
  <c r="C1534" i="13"/>
  <c r="E1533" i="13"/>
  <c r="D1533" i="13"/>
  <c r="C1533" i="13"/>
  <c r="E1532" i="13"/>
  <c r="D1532" i="13"/>
  <c r="C1532" i="13"/>
  <c r="E1531" i="13"/>
  <c r="D1531" i="13"/>
  <c r="C1531" i="13"/>
  <c r="E1530" i="13"/>
  <c r="D1530" i="13"/>
  <c r="C1530" i="13"/>
  <c r="E1529" i="13"/>
  <c r="D1529" i="13"/>
  <c r="C1529" i="13"/>
  <c r="E1528" i="13"/>
  <c r="D1528" i="13"/>
  <c r="C1528" i="13"/>
  <c r="E1527" i="13"/>
  <c r="D1527" i="13"/>
  <c r="C1527" i="13"/>
  <c r="E1526" i="13"/>
  <c r="D1526" i="13"/>
  <c r="C1526" i="13"/>
  <c r="E1525" i="13"/>
  <c r="D1525" i="13"/>
  <c r="C1525" i="13"/>
  <c r="E1524" i="13"/>
  <c r="D1524" i="13"/>
  <c r="C1524" i="13"/>
  <c r="E1523" i="13"/>
  <c r="D1523" i="13"/>
  <c r="C1523" i="13"/>
  <c r="E1522" i="13"/>
  <c r="D1522" i="13"/>
  <c r="C1522" i="13"/>
  <c r="E1521" i="13"/>
  <c r="D1521" i="13"/>
  <c r="C1521" i="13"/>
  <c r="E1520" i="13"/>
  <c r="D1520" i="13"/>
  <c r="C1520" i="13"/>
  <c r="E1519" i="13"/>
  <c r="D1519" i="13"/>
  <c r="C1519" i="13"/>
  <c r="E1518" i="13"/>
  <c r="D1518" i="13"/>
  <c r="C1518" i="13"/>
  <c r="E1517" i="13"/>
  <c r="D1517" i="13"/>
  <c r="C1517" i="13"/>
  <c r="E1516" i="13"/>
  <c r="D1516" i="13"/>
  <c r="C1516" i="13"/>
  <c r="E1515" i="13"/>
  <c r="D1515" i="13"/>
  <c r="C1515" i="13"/>
  <c r="E1514" i="13"/>
  <c r="D1514" i="13"/>
  <c r="C1514" i="13"/>
  <c r="E1513" i="13"/>
  <c r="D1513" i="13"/>
  <c r="C1513" i="13"/>
  <c r="E1512" i="13"/>
  <c r="D1512" i="13"/>
  <c r="C1512" i="13"/>
  <c r="E1511" i="13"/>
  <c r="D1511" i="13"/>
  <c r="C1511" i="13"/>
  <c r="E1510" i="13"/>
  <c r="D1510" i="13"/>
  <c r="C1510" i="13"/>
  <c r="E1509" i="13"/>
  <c r="D1509" i="13"/>
  <c r="C1509" i="13"/>
  <c r="E1508" i="13"/>
  <c r="D1508" i="13"/>
  <c r="C1508" i="13"/>
  <c r="E1507" i="13"/>
  <c r="D1507" i="13"/>
  <c r="C1507" i="13"/>
  <c r="E1506" i="13"/>
  <c r="D1506" i="13"/>
  <c r="C1506" i="13"/>
  <c r="E1505" i="13"/>
  <c r="D1505" i="13"/>
  <c r="C1505" i="13"/>
  <c r="E1504" i="13"/>
  <c r="D1504" i="13"/>
  <c r="C1504" i="13"/>
  <c r="E1503" i="13"/>
  <c r="D1503" i="13"/>
  <c r="C1503" i="13"/>
  <c r="E1502" i="13"/>
  <c r="D1502" i="13"/>
  <c r="C1502" i="13"/>
  <c r="E1501" i="13"/>
  <c r="D1501" i="13"/>
  <c r="C1501" i="13"/>
  <c r="E1500" i="13"/>
  <c r="D1500" i="13"/>
  <c r="C1500" i="13"/>
  <c r="E1499" i="13"/>
  <c r="D1499" i="13"/>
  <c r="C1499" i="13"/>
  <c r="E1498" i="13"/>
  <c r="D1498" i="13"/>
  <c r="C1498" i="13"/>
  <c r="E1497" i="13"/>
  <c r="D1497" i="13"/>
  <c r="C1497" i="13"/>
  <c r="E1496" i="13"/>
  <c r="D1496" i="13"/>
  <c r="C1496" i="13"/>
  <c r="E1495" i="13"/>
  <c r="D1495" i="13"/>
  <c r="C1495" i="13"/>
  <c r="E1494" i="13"/>
  <c r="D1494" i="13"/>
  <c r="C1494" i="13"/>
  <c r="E1493" i="13"/>
  <c r="D1493" i="13"/>
  <c r="C1493" i="13"/>
  <c r="E1492" i="13"/>
  <c r="D1492" i="13"/>
  <c r="C1492" i="13"/>
  <c r="E1491" i="13"/>
  <c r="D1491" i="13"/>
  <c r="C1491" i="13"/>
  <c r="E1490" i="13"/>
  <c r="D1490" i="13"/>
  <c r="C1490" i="13"/>
  <c r="E1489" i="13"/>
  <c r="D1489" i="13"/>
  <c r="C1489" i="13"/>
  <c r="E1488" i="13"/>
  <c r="D1488" i="13"/>
  <c r="C1488" i="13"/>
  <c r="E1487" i="13"/>
  <c r="D1487" i="13"/>
  <c r="C1487" i="13"/>
  <c r="E1486" i="13"/>
  <c r="D1486" i="13"/>
  <c r="C1486" i="13"/>
  <c r="E1485" i="13"/>
  <c r="D1485" i="13"/>
  <c r="C1485" i="13"/>
  <c r="E1484" i="13"/>
  <c r="D1484" i="13"/>
  <c r="C1484" i="13"/>
  <c r="E1483" i="13"/>
  <c r="D1483" i="13"/>
  <c r="C1483" i="13"/>
  <c r="E1482" i="13"/>
  <c r="D1482" i="13"/>
  <c r="C1482" i="13"/>
  <c r="E1481" i="13"/>
  <c r="D1481" i="13"/>
  <c r="C1481" i="13"/>
  <c r="E1480" i="13"/>
  <c r="D1480" i="13"/>
  <c r="C1480" i="13"/>
  <c r="E1479" i="13"/>
  <c r="D1479" i="13"/>
  <c r="C1479" i="13"/>
  <c r="E1478" i="13"/>
  <c r="D1478" i="13"/>
  <c r="C1478" i="13"/>
  <c r="E1477" i="13"/>
  <c r="D1477" i="13"/>
  <c r="C1477" i="13"/>
  <c r="E1476" i="13"/>
  <c r="D1476" i="13"/>
  <c r="C1476" i="13"/>
  <c r="E1475" i="13"/>
  <c r="D1475" i="13"/>
  <c r="C1475" i="13"/>
  <c r="E1474" i="13"/>
  <c r="D1474" i="13"/>
  <c r="C1474" i="13"/>
  <c r="E1473" i="13"/>
  <c r="D1473" i="13"/>
  <c r="C1473" i="13"/>
  <c r="E1472" i="13"/>
  <c r="D1472" i="13"/>
  <c r="C1472" i="13"/>
  <c r="E1471" i="13"/>
  <c r="D1471" i="13"/>
  <c r="C1471" i="13"/>
  <c r="E1470" i="13"/>
  <c r="D1470" i="13"/>
  <c r="C1470" i="13"/>
  <c r="E1469" i="13"/>
  <c r="D1469" i="13"/>
  <c r="C1469" i="13"/>
  <c r="E1468" i="13"/>
  <c r="D1468" i="13"/>
  <c r="C1468" i="13"/>
  <c r="E1467" i="13"/>
  <c r="D1467" i="13"/>
  <c r="C1467" i="13"/>
  <c r="E1466" i="13"/>
  <c r="D1466" i="13"/>
  <c r="C1466" i="13"/>
  <c r="E1465" i="13"/>
  <c r="D1465" i="13"/>
  <c r="C1465" i="13"/>
  <c r="E1464" i="13"/>
  <c r="D1464" i="13"/>
  <c r="C1464" i="13"/>
  <c r="E1463" i="13"/>
  <c r="D1463" i="13"/>
  <c r="C1463" i="13"/>
  <c r="E1462" i="13"/>
  <c r="D1462" i="13"/>
  <c r="C1462" i="13"/>
  <c r="E1461" i="13"/>
  <c r="D1461" i="13"/>
  <c r="C1461" i="13"/>
  <c r="E1460" i="13"/>
  <c r="D1460" i="13"/>
  <c r="C1460" i="13"/>
  <c r="E1459" i="13"/>
  <c r="D1459" i="13"/>
  <c r="C1459" i="13"/>
  <c r="E1458" i="13"/>
  <c r="D1458" i="13"/>
  <c r="C1458" i="13"/>
  <c r="E1457" i="13"/>
  <c r="D1457" i="13"/>
  <c r="C1457" i="13"/>
  <c r="E1456" i="13"/>
  <c r="D1456" i="13"/>
  <c r="C1456" i="13"/>
  <c r="E1455" i="13"/>
  <c r="D1455" i="13"/>
  <c r="C1455" i="13"/>
  <c r="E1454" i="13"/>
  <c r="D1454" i="13"/>
  <c r="C1454" i="13"/>
  <c r="E1453" i="13"/>
  <c r="D1453" i="13"/>
  <c r="C1453" i="13"/>
  <c r="E1452" i="13"/>
  <c r="D1452" i="13"/>
  <c r="C1452" i="13"/>
  <c r="E1451" i="13"/>
  <c r="D1451" i="13"/>
  <c r="C1451" i="13"/>
  <c r="E1450" i="13"/>
  <c r="D1450" i="13"/>
  <c r="C1450" i="13"/>
  <c r="E1449" i="13"/>
  <c r="D1449" i="13"/>
  <c r="C1449" i="13"/>
  <c r="E1448" i="13"/>
  <c r="D1448" i="13"/>
  <c r="C1448" i="13"/>
  <c r="E1447" i="13"/>
  <c r="D1447" i="13"/>
  <c r="C1447" i="13"/>
  <c r="E1446" i="13"/>
  <c r="D1446" i="13"/>
  <c r="C1446" i="13"/>
  <c r="E1445" i="13"/>
  <c r="D1445" i="13"/>
  <c r="C1445" i="13"/>
  <c r="E1444" i="13"/>
  <c r="D1444" i="13"/>
  <c r="C1444" i="13"/>
  <c r="E1443" i="13"/>
  <c r="D1443" i="13"/>
  <c r="C1443" i="13"/>
  <c r="E1442" i="13"/>
  <c r="D1442" i="13"/>
  <c r="C1442" i="13"/>
  <c r="E1441" i="13"/>
  <c r="D1441" i="13"/>
  <c r="C1441" i="13"/>
  <c r="E1440" i="13"/>
  <c r="D1440" i="13"/>
  <c r="C1440" i="13"/>
  <c r="E1439" i="13"/>
  <c r="D1439" i="13"/>
  <c r="C1439" i="13"/>
  <c r="E1438" i="13"/>
  <c r="D1438" i="13"/>
  <c r="C1438" i="13"/>
  <c r="E1437" i="13"/>
  <c r="D1437" i="13"/>
  <c r="C1437" i="13"/>
  <c r="E1436" i="13"/>
  <c r="D1436" i="13"/>
  <c r="C1436" i="13"/>
  <c r="E1435" i="13"/>
  <c r="D1435" i="13"/>
  <c r="C1435" i="13"/>
  <c r="E1434" i="13"/>
  <c r="D1434" i="13"/>
  <c r="C1434" i="13"/>
  <c r="E1433" i="13"/>
  <c r="D1433" i="13"/>
  <c r="C1433" i="13"/>
  <c r="E1432" i="13"/>
  <c r="D1432" i="13"/>
  <c r="C1432" i="13"/>
  <c r="E1431" i="13"/>
  <c r="D1431" i="13"/>
  <c r="C1431" i="13"/>
  <c r="E1430" i="13"/>
  <c r="D1430" i="13"/>
  <c r="C1430" i="13"/>
  <c r="E1429" i="13"/>
  <c r="D1429" i="13"/>
  <c r="C1429" i="13"/>
  <c r="E1428" i="13"/>
  <c r="D1428" i="13"/>
  <c r="C1428" i="13"/>
  <c r="E1427" i="13"/>
  <c r="D1427" i="13"/>
  <c r="C1427" i="13"/>
  <c r="E1426" i="13"/>
  <c r="D1426" i="13"/>
  <c r="C1426" i="13"/>
  <c r="E1425" i="13"/>
  <c r="D1425" i="13"/>
  <c r="C1425" i="13"/>
  <c r="E1424" i="13"/>
  <c r="D1424" i="13"/>
  <c r="C1424" i="13"/>
  <c r="E1423" i="13"/>
  <c r="D1423" i="13"/>
  <c r="C1423" i="13"/>
  <c r="E1422" i="13"/>
  <c r="D1422" i="13"/>
  <c r="C1422" i="13"/>
  <c r="E1421" i="13"/>
  <c r="D1421" i="13"/>
  <c r="C1421" i="13"/>
  <c r="E1420" i="13"/>
  <c r="D1420" i="13"/>
  <c r="C1420" i="13"/>
  <c r="E1419" i="13"/>
  <c r="D1419" i="13"/>
  <c r="C1419" i="13"/>
  <c r="E1418" i="13"/>
  <c r="D1418" i="13"/>
  <c r="C1418" i="13"/>
  <c r="E1417" i="13"/>
  <c r="D1417" i="13"/>
  <c r="C1417" i="13"/>
  <c r="E1416" i="13"/>
  <c r="D1416" i="13"/>
  <c r="C1416" i="13"/>
  <c r="E1415" i="13"/>
  <c r="D1415" i="13"/>
  <c r="C1415" i="13"/>
  <c r="E1414" i="13"/>
  <c r="D1414" i="13"/>
  <c r="C1414" i="13"/>
  <c r="E1413" i="13"/>
  <c r="D1413" i="13"/>
  <c r="C1413" i="13"/>
  <c r="E1412" i="13"/>
  <c r="D1412" i="13"/>
  <c r="C1412" i="13"/>
  <c r="E1411" i="13"/>
  <c r="D1411" i="13"/>
  <c r="C1411" i="13"/>
  <c r="E1410" i="13"/>
  <c r="D1410" i="13"/>
  <c r="C1410" i="13"/>
  <c r="E1409" i="13"/>
  <c r="D1409" i="13"/>
  <c r="C1409" i="13"/>
  <c r="E1408" i="13"/>
  <c r="D1408" i="13"/>
  <c r="C1408" i="13"/>
  <c r="E1407" i="13"/>
  <c r="D1407" i="13"/>
  <c r="C1407" i="13"/>
  <c r="E1406" i="13"/>
  <c r="D1406" i="13"/>
  <c r="C1406" i="13"/>
  <c r="E1405" i="13"/>
  <c r="D1405" i="13"/>
  <c r="C1405" i="13"/>
  <c r="E1404" i="13"/>
  <c r="D1404" i="13"/>
  <c r="C1404" i="13"/>
  <c r="E1403" i="13"/>
  <c r="D1403" i="13"/>
  <c r="C1403" i="13"/>
  <c r="E1402" i="13"/>
  <c r="D1402" i="13"/>
  <c r="C1402" i="13"/>
  <c r="E1401" i="13"/>
  <c r="D1401" i="13"/>
  <c r="C1401" i="13"/>
  <c r="E1400" i="13"/>
  <c r="D1400" i="13"/>
  <c r="C1400" i="13"/>
  <c r="E1399" i="13"/>
  <c r="D1399" i="13"/>
  <c r="C1399" i="13"/>
  <c r="E1398" i="13"/>
  <c r="D1398" i="13"/>
  <c r="C1398" i="13"/>
  <c r="E1397" i="13"/>
  <c r="D1397" i="13"/>
  <c r="C1397" i="13"/>
  <c r="E1396" i="13"/>
  <c r="D1396" i="13"/>
  <c r="C1396" i="13"/>
  <c r="E1395" i="13"/>
  <c r="D1395" i="13"/>
  <c r="C1395" i="13"/>
  <c r="E1394" i="13"/>
  <c r="D1394" i="13"/>
  <c r="C1394" i="13"/>
  <c r="E1393" i="13"/>
  <c r="D1393" i="13"/>
  <c r="C1393" i="13"/>
  <c r="E1392" i="13"/>
  <c r="D1392" i="13"/>
  <c r="C1392" i="13"/>
  <c r="E1391" i="13"/>
  <c r="D1391" i="13"/>
  <c r="C1391" i="13"/>
  <c r="E1390" i="13"/>
  <c r="D1390" i="13"/>
  <c r="C1390" i="13"/>
  <c r="E1389" i="13"/>
  <c r="D1389" i="13"/>
  <c r="C1389" i="13"/>
  <c r="E1388" i="13"/>
  <c r="D1388" i="13"/>
  <c r="C1388" i="13"/>
  <c r="E1387" i="13"/>
  <c r="D1387" i="13"/>
  <c r="C1387" i="13"/>
  <c r="E1386" i="13"/>
  <c r="D1386" i="13"/>
  <c r="C1386" i="13"/>
  <c r="E1385" i="13"/>
  <c r="D1385" i="13"/>
  <c r="C1385" i="13"/>
  <c r="E1384" i="13"/>
  <c r="D1384" i="13"/>
  <c r="C1384" i="13"/>
  <c r="E1383" i="13"/>
  <c r="D1383" i="13"/>
  <c r="C1383" i="13"/>
  <c r="E1382" i="13"/>
  <c r="D1382" i="13"/>
  <c r="C1382" i="13"/>
  <c r="E1381" i="13"/>
  <c r="D1381" i="13"/>
  <c r="C1381" i="13"/>
  <c r="E1380" i="13"/>
  <c r="D1380" i="13"/>
  <c r="C1380" i="13"/>
  <c r="E1379" i="13"/>
  <c r="D1379" i="13"/>
  <c r="C1379" i="13"/>
  <c r="E1378" i="13"/>
  <c r="D1378" i="13"/>
  <c r="C1378" i="13"/>
  <c r="E1377" i="13"/>
  <c r="D1377" i="13"/>
  <c r="C1377" i="13"/>
  <c r="E1376" i="13"/>
  <c r="D1376" i="13"/>
  <c r="C1376" i="13"/>
  <c r="E1375" i="13"/>
  <c r="D1375" i="13"/>
  <c r="C1375" i="13"/>
  <c r="E1374" i="13"/>
  <c r="D1374" i="13"/>
  <c r="C1374" i="13"/>
  <c r="E1373" i="13"/>
  <c r="D1373" i="13"/>
  <c r="C1373" i="13"/>
  <c r="E1372" i="13"/>
  <c r="D1372" i="13"/>
  <c r="C1372" i="13"/>
  <c r="E1371" i="13"/>
  <c r="D1371" i="13"/>
  <c r="C1371" i="13"/>
  <c r="E1370" i="13"/>
  <c r="D1370" i="13"/>
  <c r="C1370" i="13"/>
  <c r="E1369" i="13"/>
  <c r="D1369" i="13"/>
  <c r="C1369" i="13"/>
  <c r="E1368" i="13"/>
  <c r="D1368" i="13"/>
  <c r="C1368" i="13"/>
  <c r="E1367" i="13"/>
  <c r="D1367" i="13"/>
  <c r="C1367" i="13"/>
  <c r="E1366" i="13"/>
  <c r="D1366" i="13"/>
  <c r="C1366" i="13"/>
  <c r="E1365" i="13"/>
  <c r="D1365" i="13"/>
  <c r="C1365" i="13"/>
  <c r="E1364" i="13"/>
  <c r="D1364" i="13"/>
  <c r="C1364" i="13"/>
  <c r="E1363" i="13"/>
  <c r="D1363" i="13"/>
  <c r="C1363" i="13"/>
  <c r="E1362" i="13"/>
  <c r="D1362" i="13"/>
  <c r="C1362" i="13"/>
  <c r="E1361" i="13"/>
  <c r="D1361" i="13"/>
  <c r="C1361" i="13"/>
  <c r="E1360" i="13"/>
  <c r="D1360" i="13"/>
  <c r="C1360" i="13"/>
  <c r="E1359" i="13"/>
  <c r="D1359" i="13"/>
  <c r="C1359" i="13"/>
  <c r="E1358" i="13"/>
  <c r="D1358" i="13"/>
  <c r="C1358" i="13"/>
  <c r="E1357" i="13"/>
  <c r="D1357" i="13"/>
  <c r="C1357" i="13"/>
  <c r="E1356" i="13"/>
  <c r="D1356" i="13"/>
  <c r="C1356" i="13"/>
  <c r="E1355" i="13"/>
  <c r="D1355" i="13"/>
  <c r="C1355" i="13"/>
  <c r="E1354" i="13"/>
  <c r="D1354" i="13"/>
  <c r="C1354" i="13"/>
  <c r="E1353" i="13"/>
  <c r="D1353" i="13"/>
  <c r="C1353" i="13"/>
  <c r="E1352" i="13"/>
  <c r="D1352" i="13"/>
  <c r="C1352" i="13"/>
  <c r="E1351" i="13"/>
  <c r="D1351" i="13"/>
  <c r="C1351" i="13"/>
  <c r="E1350" i="13"/>
  <c r="D1350" i="13"/>
  <c r="C1350" i="13"/>
  <c r="E1349" i="13"/>
  <c r="D1349" i="13"/>
  <c r="C1349" i="13"/>
  <c r="E1348" i="13"/>
  <c r="D1348" i="13"/>
  <c r="C1348" i="13"/>
  <c r="E1347" i="13"/>
  <c r="D1347" i="13"/>
  <c r="C1347" i="13"/>
  <c r="E1346" i="13"/>
  <c r="D1346" i="13"/>
  <c r="C1346" i="13"/>
  <c r="E1345" i="13"/>
  <c r="D1345" i="13"/>
  <c r="C1345" i="13"/>
  <c r="E1344" i="13"/>
  <c r="D1344" i="13"/>
  <c r="C1344" i="13"/>
  <c r="E1343" i="13"/>
  <c r="D1343" i="13"/>
  <c r="C1343" i="13"/>
  <c r="E1342" i="13"/>
  <c r="D1342" i="13"/>
  <c r="C1342" i="13"/>
  <c r="E1341" i="13"/>
  <c r="D1341" i="13"/>
  <c r="C1341" i="13"/>
  <c r="E1340" i="13"/>
  <c r="D1340" i="13"/>
  <c r="C1340" i="13"/>
  <c r="E1339" i="13"/>
  <c r="D1339" i="13"/>
  <c r="C1339" i="13"/>
  <c r="E1338" i="13"/>
  <c r="D1338" i="13"/>
  <c r="C1338" i="13"/>
  <c r="E1337" i="13"/>
  <c r="D1337" i="13"/>
  <c r="C1337" i="13"/>
  <c r="E1336" i="13"/>
  <c r="D1336" i="13"/>
  <c r="C1336" i="13"/>
  <c r="E1335" i="13"/>
  <c r="D1335" i="13"/>
  <c r="C1335" i="13"/>
  <c r="E1334" i="13"/>
  <c r="D1334" i="13"/>
  <c r="C1334" i="13"/>
  <c r="E1333" i="13"/>
  <c r="D1333" i="13"/>
  <c r="C1333" i="13"/>
  <c r="E1332" i="13"/>
  <c r="D1332" i="13"/>
  <c r="C1332" i="13"/>
  <c r="E1331" i="13"/>
  <c r="D1331" i="13"/>
  <c r="C1331" i="13"/>
  <c r="E1330" i="13"/>
  <c r="D1330" i="13"/>
  <c r="C1330" i="13"/>
  <c r="E1329" i="13"/>
  <c r="D1329" i="13"/>
  <c r="C1329" i="13"/>
  <c r="E1328" i="13"/>
  <c r="D1328" i="13"/>
  <c r="C1328" i="13"/>
  <c r="E1327" i="13"/>
  <c r="D1327" i="13"/>
  <c r="C1327" i="13"/>
  <c r="E1326" i="13"/>
  <c r="D1326" i="13"/>
  <c r="C1326" i="13"/>
  <c r="E1325" i="13"/>
  <c r="D1325" i="13"/>
  <c r="C1325" i="13"/>
  <c r="E1324" i="13"/>
  <c r="D1324" i="13"/>
  <c r="C1324" i="13"/>
  <c r="E1323" i="13"/>
  <c r="D1323" i="13"/>
  <c r="C1323" i="13"/>
  <c r="E1322" i="13"/>
  <c r="D1322" i="13"/>
  <c r="C1322" i="13"/>
  <c r="E1321" i="13"/>
  <c r="D1321" i="13"/>
  <c r="C1321" i="13"/>
  <c r="E1320" i="13"/>
  <c r="D1320" i="13"/>
  <c r="C1320" i="13"/>
  <c r="E1319" i="13"/>
  <c r="D1319" i="13"/>
  <c r="C1319" i="13"/>
  <c r="E1318" i="13"/>
  <c r="D1318" i="13"/>
  <c r="C1318" i="13"/>
  <c r="E1317" i="13"/>
  <c r="D1317" i="13"/>
  <c r="C1317" i="13"/>
  <c r="E1316" i="13"/>
  <c r="D1316" i="13"/>
  <c r="C1316" i="13"/>
  <c r="E1315" i="13"/>
  <c r="D1315" i="13"/>
  <c r="C1315" i="13"/>
  <c r="E1314" i="13"/>
  <c r="D1314" i="13"/>
  <c r="C1314" i="13"/>
  <c r="E1313" i="13"/>
  <c r="D1313" i="13"/>
  <c r="C1313" i="13"/>
  <c r="E1312" i="13"/>
  <c r="D1312" i="13"/>
  <c r="C1312" i="13"/>
  <c r="E1311" i="13"/>
  <c r="D1311" i="13"/>
  <c r="C1311" i="13"/>
  <c r="E1310" i="13"/>
  <c r="D1310" i="13"/>
  <c r="C1310" i="13"/>
  <c r="E1309" i="13"/>
  <c r="D1309" i="13"/>
  <c r="C1309" i="13"/>
  <c r="E1308" i="13"/>
  <c r="D1308" i="13"/>
  <c r="C1308" i="13"/>
  <c r="E1307" i="13"/>
  <c r="D1307" i="13"/>
  <c r="C1307" i="13"/>
  <c r="E1306" i="13"/>
  <c r="D1306" i="13"/>
  <c r="C1306" i="13"/>
  <c r="E1305" i="13"/>
  <c r="D1305" i="13"/>
  <c r="C1305" i="13"/>
  <c r="E1304" i="13"/>
  <c r="D1304" i="13"/>
  <c r="C1304" i="13"/>
  <c r="E1303" i="13"/>
  <c r="D1303" i="13"/>
  <c r="C1303" i="13"/>
  <c r="E1302" i="13"/>
  <c r="D1302" i="13"/>
  <c r="C1302" i="13"/>
  <c r="E1301" i="13"/>
  <c r="D1301" i="13"/>
  <c r="C1301" i="13"/>
  <c r="E1300" i="13"/>
  <c r="D1300" i="13"/>
  <c r="C1300" i="13"/>
  <c r="E1299" i="13"/>
  <c r="D1299" i="13"/>
  <c r="C1299" i="13"/>
  <c r="E1298" i="13"/>
  <c r="D1298" i="13"/>
  <c r="C1298" i="13"/>
  <c r="E1297" i="13"/>
  <c r="D1297" i="13"/>
  <c r="C1297" i="13"/>
  <c r="E1296" i="13"/>
  <c r="D1296" i="13"/>
  <c r="C1296" i="13"/>
  <c r="E1295" i="13"/>
  <c r="D1295" i="13"/>
  <c r="C1295" i="13"/>
  <c r="E1294" i="13"/>
  <c r="D1294" i="13"/>
  <c r="C1294" i="13"/>
  <c r="E1293" i="13"/>
  <c r="D1293" i="13"/>
  <c r="C1293" i="13"/>
  <c r="E1292" i="13"/>
  <c r="D1292" i="13"/>
  <c r="C1292" i="13"/>
  <c r="E1291" i="13"/>
  <c r="D1291" i="13"/>
  <c r="C1291" i="13"/>
  <c r="E1290" i="13"/>
  <c r="D1290" i="13"/>
  <c r="C1290" i="13"/>
  <c r="E1289" i="13"/>
  <c r="D1289" i="13"/>
  <c r="C1289" i="13"/>
  <c r="E1288" i="13"/>
  <c r="D1288" i="13"/>
  <c r="C1288" i="13"/>
  <c r="E1287" i="13"/>
  <c r="D1287" i="13"/>
  <c r="C1287" i="13"/>
  <c r="E1286" i="13"/>
  <c r="D1286" i="13"/>
  <c r="C1286" i="13"/>
  <c r="E1285" i="13"/>
  <c r="D1285" i="13"/>
  <c r="C1285" i="13"/>
  <c r="E1284" i="13"/>
  <c r="D1284" i="13"/>
  <c r="C1284" i="13"/>
  <c r="E1283" i="13"/>
  <c r="D1283" i="13"/>
  <c r="C1283" i="13"/>
  <c r="E1282" i="13"/>
  <c r="D1282" i="13"/>
  <c r="C1282" i="13"/>
  <c r="E1281" i="13"/>
  <c r="D1281" i="13"/>
  <c r="C1281" i="13"/>
  <c r="E1280" i="13"/>
  <c r="D1280" i="13"/>
  <c r="C1280" i="13"/>
  <c r="E1279" i="13"/>
  <c r="D1279" i="13"/>
  <c r="C1279" i="13"/>
  <c r="E1278" i="13"/>
  <c r="D1278" i="13"/>
  <c r="C1278" i="13"/>
  <c r="E1277" i="13"/>
  <c r="D1277" i="13"/>
  <c r="C1277" i="13"/>
  <c r="E1276" i="13"/>
  <c r="D1276" i="13"/>
  <c r="C1276" i="13"/>
  <c r="E1275" i="13"/>
  <c r="D1275" i="13"/>
  <c r="C1275" i="13"/>
  <c r="E1274" i="13"/>
  <c r="D1274" i="13"/>
  <c r="C1274" i="13"/>
  <c r="E1273" i="13"/>
  <c r="D1273" i="13"/>
  <c r="C1273" i="13"/>
  <c r="E1272" i="13"/>
  <c r="D1272" i="13"/>
  <c r="C1272" i="13"/>
  <c r="E1271" i="13"/>
  <c r="D1271" i="13"/>
  <c r="C1271" i="13"/>
  <c r="E1270" i="13"/>
  <c r="D1270" i="13"/>
  <c r="C1270" i="13"/>
  <c r="E1269" i="13"/>
  <c r="D1269" i="13"/>
  <c r="C1269" i="13"/>
  <c r="E1268" i="13"/>
  <c r="D1268" i="13"/>
  <c r="C1268" i="13"/>
  <c r="E1267" i="13"/>
  <c r="D1267" i="13"/>
  <c r="C1267" i="13"/>
  <c r="E1266" i="13"/>
  <c r="D1266" i="13"/>
  <c r="C1266" i="13"/>
  <c r="E1265" i="13"/>
  <c r="D1265" i="13"/>
  <c r="C1265" i="13"/>
  <c r="E1264" i="13"/>
  <c r="D1264" i="13"/>
  <c r="C1264" i="13"/>
  <c r="E1263" i="13"/>
  <c r="D1263" i="13"/>
  <c r="C1263" i="13"/>
  <c r="E1262" i="13"/>
  <c r="D1262" i="13"/>
  <c r="C1262" i="13"/>
  <c r="E1261" i="13"/>
  <c r="D1261" i="13"/>
  <c r="C1261" i="13"/>
  <c r="E1260" i="13"/>
  <c r="D1260" i="13"/>
  <c r="C1260" i="13"/>
  <c r="E1259" i="13"/>
  <c r="D1259" i="13"/>
  <c r="C1259" i="13"/>
  <c r="E1258" i="13"/>
  <c r="D1258" i="13"/>
  <c r="C1258" i="13"/>
  <c r="E1257" i="13"/>
  <c r="D1257" i="13"/>
  <c r="C1257" i="13"/>
  <c r="E1256" i="13"/>
  <c r="D1256" i="13"/>
  <c r="C1256" i="13"/>
  <c r="E1255" i="13"/>
  <c r="D1255" i="13"/>
  <c r="C1255" i="13"/>
  <c r="E1254" i="13"/>
  <c r="D1254" i="13"/>
  <c r="C1254" i="13"/>
  <c r="E1253" i="13"/>
  <c r="D1253" i="13"/>
  <c r="C1253" i="13"/>
  <c r="E1252" i="13"/>
  <c r="D1252" i="13"/>
  <c r="C1252" i="13"/>
  <c r="E1251" i="13"/>
  <c r="D1251" i="13"/>
  <c r="C1251" i="13"/>
  <c r="E1250" i="13"/>
  <c r="D1250" i="13"/>
  <c r="C1250" i="13"/>
  <c r="E1249" i="13"/>
  <c r="D1249" i="13"/>
  <c r="C1249" i="13"/>
  <c r="E1248" i="13"/>
  <c r="D1248" i="13"/>
  <c r="C1248" i="13"/>
  <c r="E1247" i="13"/>
  <c r="D1247" i="13"/>
  <c r="C1247" i="13"/>
  <c r="E1246" i="13"/>
  <c r="D1246" i="13"/>
  <c r="C1246" i="13"/>
  <c r="E1245" i="13"/>
  <c r="D1245" i="13"/>
  <c r="C1245" i="13"/>
  <c r="E1244" i="13"/>
  <c r="D1244" i="13"/>
  <c r="C1244" i="13"/>
  <c r="E1243" i="13"/>
  <c r="D1243" i="13"/>
  <c r="C1243" i="13"/>
  <c r="E1242" i="13"/>
  <c r="D1242" i="13"/>
  <c r="C1242" i="13"/>
  <c r="E1241" i="13"/>
  <c r="D1241" i="13"/>
  <c r="C1241" i="13"/>
  <c r="E1240" i="13"/>
  <c r="D1240" i="13"/>
  <c r="C1240" i="13"/>
  <c r="E1239" i="13"/>
  <c r="D1239" i="13"/>
  <c r="C1239" i="13"/>
  <c r="E1238" i="13"/>
  <c r="D1238" i="13"/>
  <c r="C1238" i="13"/>
  <c r="E1237" i="13"/>
  <c r="D1237" i="13"/>
  <c r="C1237" i="13"/>
  <c r="E1236" i="13"/>
  <c r="D1236" i="13"/>
  <c r="C1236" i="13"/>
  <c r="E1235" i="13"/>
  <c r="D1235" i="13"/>
  <c r="C1235" i="13"/>
  <c r="E1234" i="13"/>
  <c r="D1234" i="13"/>
  <c r="C1234" i="13"/>
  <c r="E1233" i="13"/>
  <c r="D1233" i="13"/>
  <c r="C1233" i="13"/>
  <c r="E1232" i="13"/>
  <c r="D1232" i="13"/>
  <c r="C1232" i="13"/>
  <c r="E1231" i="13"/>
  <c r="D1231" i="13"/>
  <c r="C1231" i="13"/>
  <c r="E1230" i="13"/>
  <c r="D1230" i="13"/>
  <c r="C1230" i="13"/>
  <c r="E1229" i="13"/>
  <c r="D1229" i="13"/>
  <c r="C1229" i="13"/>
  <c r="E1228" i="13"/>
  <c r="D1228" i="13"/>
  <c r="C1228" i="13"/>
  <c r="E1227" i="13"/>
  <c r="D1227" i="13"/>
  <c r="C1227" i="13"/>
  <c r="E1226" i="13"/>
  <c r="D1226" i="13"/>
  <c r="C1226" i="13"/>
  <c r="E1225" i="13"/>
  <c r="D1225" i="13"/>
  <c r="C1225" i="13"/>
  <c r="E1224" i="13"/>
  <c r="D1224" i="13"/>
  <c r="C1224" i="13"/>
  <c r="E1223" i="13"/>
  <c r="D1223" i="13"/>
  <c r="C1223" i="13"/>
  <c r="E1222" i="13"/>
  <c r="D1222" i="13"/>
  <c r="C1222" i="13"/>
  <c r="E1221" i="13"/>
  <c r="D1221" i="13"/>
  <c r="C1221" i="13"/>
  <c r="E1220" i="13"/>
  <c r="D1220" i="13"/>
  <c r="C1220" i="13"/>
  <c r="E1219" i="13"/>
  <c r="D1219" i="13"/>
  <c r="C1219" i="13"/>
  <c r="E1218" i="13"/>
  <c r="D1218" i="13"/>
  <c r="C1218" i="13"/>
  <c r="E1217" i="13"/>
  <c r="D1217" i="13"/>
  <c r="C1217" i="13"/>
  <c r="E1216" i="13"/>
  <c r="D1216" i="13"/>
  <c r="C1216" i="13"/>
  <c r="E1215" i="13"/>
  <c r="D1215" i="13"/>
  <c r="C1215" i="13"/>
  <c r="E1214" i="13"/>
  <c r="D1214" i="13"/>
  <c r="C1214" i="13"/>
  <c r="E1213" i="13"/>
  <c r="D1213" i="13"/>
  <c r="C1213" i="13"/>
  <c r="E1212" i="13"/>
  <c r="D1212" i="13"/>
  <c r="C1212" i="13"/>
  <c r="E1211" i="13"/>
  <c r="D1211" i="13"/>
  <c r="C1211" i="13"/>
  <c r="E1210" i="13"/>
  <c r="D1210" i="13"/>
  <c r="C1210" i="13"/>
  <c r="E1209" i="13"/>
  <c r="D1209" i="13"/>
  <c r="C1209" i="13"/>
  <c r="E1208" i="13"/>
  <c r="D1208" i="13"/>
  <c r="C1208" i="13"/>
  <c r="E1207" i="13"/>
  <c r="D1207" i="13"/>
  <c r="C1207" i="13"/>
  <c r="E1206" i="13"/>
  <c r="D1206" i="13"/>
  <c r="C1206" i="13"/>
  <c r="E1205" i="13"/>
  <c r="D1205" i="13"/>
  <c r="C1205" i="13"/>
  <c r="E1204" i="13"/>
  <c r="D1204" i="13"/>
  <c r="C1204" i="13"/>
  <c r="E1203" i="13"/>
  <c r="D1203" i="13"/>
  <c r="C1203" i="13"/>
  <c r="E1202" i="13"/>
  <c r="D1202" i="13"/>
  <c r="C1202" i="13"/>
  <c r="E1201" i="13"/>
  <c r="D1201" i="13"/>
  <c r="C1201" i="13"/>
  <c r="E1200" i="13"/>
  <c r="D1200" i="13"/>
  <c r="C1200" i="13"/>
  <c r="E1199" i="13"/>
  <c r="D1199" i="13"/>
  <c r="C1199" i="13"/>
  <c r="E1198" i="13"/>
  <c r="D1198" i="13"/>
  <c r="C1198" i="13"/>
  <c r="E1197" i="13"/>
  <c r="D1197" i="13"/>
  <c r="C1197" i="13"/>
  <c r="E1196" i="13"/>
  <c r="D1196" i="13"/>
  <c r="C1196" i="13"/>
  <c r="E1195" i="13"/>
  <c r="D1195" i="13"/>
  <c r="C1195" i="13"/>
  <c r="E1194" i="13"/>
  <c r="D1194" i="13"/>
  <c r="C1194" i="13"/>
  <c r="E1193" i="13"/>
  <c r="D1193" i="13"/>
  <c r="C1193" i="13"/>
  <c r="E1192" i="13"/>
  <c r="D1192" i="13"/>
  <c r="C1192" i="13"/>
  <c r="E1191" i="13"/>
  <c r="D1191" i="13"/>
  <c r="C1191" i="13"/>
  <c r="E1190" i="13"/>
  <c r="D1190" i="13"/>
  <c r="C1190" i="13"/>
  <c r="E1189" i="13"/>
  <c r="D1189" i="13"/>
  <c r="C1189" i="13"/>
  <c r="E1188" i="13"/>
  <c r="D1188" i="13"/>
  <c r="C1188" i="13"/>
  <c r="E1187" i="13"/>
  <c r="D1187" i="13"/>
  <c r="C1187" i="13"/>
  <c r="E1186" i="13"/>
  <c r="D1186" i="13"/>
  <c r="C1186" i="13"/>
  <c r="E1185" i="13"/>
  <c r="D1185" i="13"/>
  <c r="C1185" i="13"/>
  <c r="E1184" i="13"/>
  <c r="D1184" i="13"/>
  <c r="C1184" i="13"/>
  <c r="E1183" i="13"/>
  <c r="D1183" i="13"/>
  <c r="C1183" i="13"/>
  <c r="E1182" i="13"/>
  <c r="D1182" i="13"/>
  <c r="C1182" i="13"/>
  <c r="E1181" i="13"/>
  <c r="D1181" i="13"/>
  <c r="C1181" i="13"/>
  <c r="E1180" i="13"/>
  <c r="D1180" i="13"/>
  <c r="C1180" i="13"/>
  <c r="E1179" i="13"/>
  <c r="D1179" i="13"/>
  <c r="C1179" i="13"/>
  <c r="E1178" i="13"/>
  <c r="D1178" i="13"/>
  <c r="C1178" i="13"/>
  <c r="E1177" i="13"/>
  <c r="D1177" i="13"/>
  <c r="C1177" i="13"/>
  <c r="E1176" i="13"/>
  <c r="D1176" i="13"/>
  <c r="C1176" i="13"/>
  <c r="E1175" i="13"/>
  <c r="D1175" i="13"/>
  <c r="C1175" i="13"/>
  <c r="E1174" i="13"/>
  <c r="D1174" i="13"/>
  <c r="C1174" i="13"/>
  <c r="E1173" i="13"/>
  <c r="D1173" i="13"/>
  <c r="C1173" i="13"/>
  <c r="E1172" i="13"/>
  <c r="D1172" i="13"/>
  <c r="C1172" i="13"/>
  <c r="E1171" i="13"/>
  <c r="D1171" i="13"/>
  <c r="C1171" i="13"/>
  <c r="E1170" i="13"/>
  <c r="D1170" i="13"/>
  <c r="C1170" i="13"/>
  <c r="E1169" i="13"/>
  <c r="D1169" i="13"/>
  <c r="C1169" i="13"/>
  <c r="E1168" i="13"/>
  <c r="D1168" i="13"/>
  <c r="C1168" i="13"/>
  <c r="E1167" i="13"/>
  <c r="D1167" i="13"/>
  <c r="C1167" i="13"/>
  <c r="E1166" i="13"/>
  <c r="D1166" i="13"/>
  <c r="C1166" i="13"/>
  <c r="E1165" i="13"/>
  <c r="D1165" i="13"/>
  <c r="C1165" i="13"/>
  <c r="E1164" i="13"/>
  <c r="D1164" i="13"/>
  <c r="C1164" i="13"/>
  <c r="E1163" i="13"/>
  <c r="D1163" i="13"/>
  <c r="C1163" i="13"/>
  <c r="E1162" i="13"/>
  <c r="D1162" i="13"/>
  <c r="C1162" i="13"/>
  <c r="E1161" i="13"/>
  <c r="D1161" i="13"/>
  <c r="C1161" i="13"/>
  <c r="E1160" i="13"/>
  <c r="D1160" i="13"/>
  <c r="C1160" i="13"/>
  <c r="E1159" i="13"/>
  <c r="D1159" i="13"/>
  <c r="C1159" i="13"/>
  <c r="E1158" i="13"/>
  <c r="D1158" i="13"/>
  <c r="C1158" i="13"/>
  <c r="E1157" i="13"/>
  <c r="D1157" i="13"/>
  <c r="C1157" i="13"/>
  <c r="E1156" i="13"/>
  <c r="D1156" i="13"/>
  <c r="C1156" i="13"/>
  <c r="E1155" i="13"/>
  <c r="D1155" i="13"/>
  <c r="C1155" i="13"/>
  <c r="E1154" i="13"/>
  <c r="D1154" i="13"/>
  <c r="C1154" i="13"/>
  <c r="E1153" i="13"/>
  <c r="D1153" i="13"/>
  <c r="C1153" i="13"/>
  <c r="E1152" i="13"/>
  <c r="D1152" i="13"/>
  <c r="C1152" i="13"/>
  <c r="E1151" i="13"/>
  <c r="D1151" i="13"/>
  <c r="C1151" i="13"/>
  <c r="E1150" i="13"/>
  <c r="D1150" i="13"/>
  <c r="C1150" i="13"/>
  <c r="E1149" i="13"/>
  <c r="D1149" i="13"/>
  <c r="C1149" i="13"/>
  <c r="E1148" i="13"/>
  <c r="D1148" i="13"/>
  <c r="C1148" i="13"/>
  <c r="E1147" i="13"/>
  <c r="D1147" i="13"/>
  <c r="C1147" i="13"/>
  <c r="E1146" i="13"/>
  <c r="D1146" i="13"/>
  <c r="C1146" i="13"/>
  <c r="E1145" i="13"/>
  <c r="D1145" i="13"/>
  <c r="C1145" i="13"/>
  <c r="E1144" i="13"/>
  <c r="D1144" i="13"/>
  <c r="C1144" i="13"/>
  <c r="E1143" i="13"/>
  <c r="D1143" i="13"/>
  <c r="C1143" i="13"/>
  <c r="E1142" i="13"/>
  <c r="D1142" i="13"/>
  <c r="C1142" i="13"/>
  <c r="E1141" i="13"/>
  <c r="D1141" i="13"/>
  <c r="C1141" i="13"/>
  <c r="E1140" i="13"/>
  <c r="D1140" i="13"/>
  <c r="C1140" i="13"/>
  <c r="E1139" i="13"/>
  <c r="D1139" i="13"/>
  <c r="C1139" i="13"/>
  <c r="E1138" i="13"/>
  <c r="D1138" i="13"/>
  <c r="C1138" i="13"/>
  <c r="E1137" i="13"/>
  <c r="D1137" i="13"/>
  <c r="C1137" i="13"/>
  <c r="E1136" i="13"/>
  <c r="D1136" i="13"/>
  <c r="C1136" i="13"/>
  <c r="E1135" i="13"/>
  <c r="D1135" i="13"/>
  <c r="C1135" i="13"/>
  <c r="E1134" i="13"/>
  <c r="D1134" i="13"/>
  <c r="C1134" i="13"/>
  <c r="E1133" i="13"/>
  <c r="D1133" i="13"/>
  <c r="C1133" i="13"/>
  <c r="E1132" i="13"/>
  <c r="D1132" i="13"/>
  <c r="C1132" i="13"/>
  <c r="E1131" i="13"/>
  <c r="D1131" i="13"/>
  <c r="C1131" i="13"/>
  <c r="E1130" i="13"/>
  <c r="D1130" i="13"/>
  <c r="C1130" i="13"/>
  <c r="E1129" i="13"/>
  <c r="D1129" i="13"/>
  <c r="C1129" i="13"/>
  <c r="E1128" i="13"/>
  <c r="D1128" i="13"/>
  <c r="C1128" i="13"/>
  <c r="E1127" i="13"/>
  <c r="D1127" i="13"/>
  <c r="C1127" i="13"/>
  <c r="E1126" i="13"/>
  <c r="D1126" i="13"/>
  <c r="C1126" i="13"/>
  <c r="E1125" i="13"/>
  <c r="D1125" i="13"/>
  <c r="C1125" i="13"/>
  <c r="E1124" i="13"/>
  <c r="D1124" i="13"/>
  <c r="C1124" i="13"/>
  <c r="E1123" i="13"/>
  <c r="D1123" i="13"/>
  <c r="C1123" i="13"/>
  <c r="E1122" i="13"/>
  <c r="D1122" i="13"/>
  <c r="C1122" i="13"/>
  <c r="E1121" i="13"/>
  <c r="D1121" i="13"/>
  <c r="C1121" i="13"/>
  <c r="E1120" i="13"/>
  <c r="D1120" i="13"/>
  <c r="C1120" i="13"/>
  <c r="E1119" i="13"/>
  <c r="D1119" i="13"/>
  <c r="C1119" i="13"/>
  <c r="E1118" i="13"/>
  <c r="D1118" i="13"/>
  <c r="C1118" i="13"/>
  <c r="E1117" i="13"/>
  <c r="D1117" i="13"/>
  <c r="C1117" i="13"/>
  <c r="E1116" i="13"/>
  <c r="D1116" i="13"/>
  <c r="C1116" i="13"/>
  <c r="E1115" i="13"/>
  <c r="D1115" i="13"/>
  <c r="C1115" i="13"/>
  <c r="E1114" i="13"/>
  <c r="D1114" i="13"/>
  <c r="C1114" i="13"/>
  <c r="E1113" i="13"/>
  <c r="D1113" i="13"/>
  <c r="C1113" i="13"/>
  <c r="E1112" i="13"/>
  <c r="D1112" i="13"/>
  <c r="C1112" i="13"/>
  <c r="E1111" i="13"/>
  <c r="D1111" i="13"/>
  <c r="C1111" i="13"/>
  <c r="E1110" i="13"/>
  <c r="D1110" i="13"/>
  <c r="C1110" i="13"/>
  <c r="E1109" i="13"/>
  <c r="D1109" i="13"/>
  <c r="C1109" i="13"/>
  <c r="E1108" i="13"/>
  <c r="D1108" i="13"/>
  <c r="C1108" i="13"/>
  <c r="E1107" i="13"/>
  <c r="D1107" i="13"/>
  <c r="C1107" i="13"/>
  <c r="E1106" i="13"/>
  <c r="D1106" i="13"/>
  <c r="C1106" i="13"/>
  <c r="E1105" i="13"/>
  <c r="D1105" i="13"/>
  <c r="C1105" i="13"/>
  <c r="E1104" i="13"/>
  <c r="D1104" i="13"/>
  <c r="C1104" i="13"/>
  <c r="E1103" i="13"/>
  <c r="D1103" i="13"/>
  <c r="C1103" i="13"/>
  <c r="E1102" i="13"/>
  <c r="D1102" i="13"/>
  <c r="C1102" i="13"/>
  <c r="E1101" i="13"/>
  <c r="D1101" i="13"/>
  <c r="C1101" i="13"/>
  <c r="E1100" i="13"/>
  <c r="D1100" i="13"/>
  <c r="C1100" i="13"/>
  <c r="E1099" i="13"/>
  <c r="D1099" i="13"/>
  <c r="C1099" i="13"/>
  <c r="E1098" i="13"/>
  <c r="D1098" i="13"/>
  <c r="C1098" i="13"/>
  <c r="E1097" i="13"/>
  <c r="D1097" i="13"/>
  <c r="C1097" i="13"/>
  <c r="E1096" i="13"/>
  <c r="D1096" i="13"/>
  <c r="C1096" i="13"/>
  <c r="E1095" i="13"/>
  <c r="D1095" i="13"/>
  <c r="C1095" i="13"/>
  <c r="E1094" i="13"/>
  <c r="D1094" i="13"/>
  <c r="C1094" i="13"/>
  <c r="E1093" i="13"/>
  <c r="D1093" i="13"/>
  <c r="C1093" i="13"/>
  <c r="E1092" i="13"/>
  <c r="D1092" i="13"/>
  <c r="C1092" i="13"/>
  <c r="E1091" i="13"/>
  <c r="D1091" i="13"/>
  <c r="C1091" i="13"/>
  <c r="E1090" i="13"/>
  <c r="D1090" i="13"/>
  <c r="C1090" i="13"/>
  <c r="E1089" i="13"/>
  <c r="D1089" i="13"/>
  <c r="C1089" i="13"/>
  <c r="E1088" i="13"/>
  <c r="D1088" i="13"/>
  <c r="C1088" i="13"/>
  <c r="E1087" i="13"/>
  <c r="D1087" i="13"/>
  <c r="C1087" i="13"/>
  <c r="E1086" i="13"/>
  <c r="D1086" i="13"/>
  <c r="C1086" i="13"/>
  <c r="E1085" i="13"/>
  <c r="D1085" i="13"/>
  <c r="C1085" i="13"/>
  <c r="E1084" i="13"/>
  <c r="D1084" i="13"/>
  <c r="C1084" i="13"/>
  <c r="E1083" i="13"/>
  <c r="D1083" i="13"/>
  <c r="C1083" i="13"/>
  <c r="E1082" i="13"/>
  <c r="D1082" i="13"/>
  <c r="C1082" i="13"/>
  <c r="E1081" i="13"/>
  <c r="D1081" i="13"/>
  <c r="C1081" i="13"/>
  <c r="E1080" i="13"/>
  <c r="D1080" i="13"/>
  <c r="C1080" i="13"/>
  <c r="E1079" i="13"/>
  <c r="D1079" i="13"/>
  <c r="C1079" i="13"/>
  <c r="E1078" i="13"/>
  <c r="D1078" i="13"/>
  <c r="C1078" i="13"/>
  <c r="E1077" i="13"/>
  <c r="D1077" i="13"/>
  <c r="C1077" i="13"/>
  <c r="E1076" i="13"/>
  <c r="D1076" i="13"/>
  <c r="C1076" i="13"/>
  <c r="E1075" i="13"/>
  <c r="D1075" i="13"/>
  <c r="C1075" i="13"/>
  <c r="E1074" i="13"/>
  <c r="D1074" i="13"/>
  <c r="C1074" i="13"/>
  <c r="E1073" i="13"/>
  <c r="D1073" i="13"/>
  <c r="C1073" i="13"/>
  <c r="E1072" i="13"/>
  <c r="D1072" i="13"/>
  <c r="C1072" i="13"/>
  <c r="E1071" i="13"/>
  <c r="D1071" i="13"/>
  <c r="C1071" i="13"/>
  <c r="E1070" i="13"/>
  <c r="D1070" i="13"/>
  <c r="C1070" i="13"/>
  <c r="E1069" i="13"/>
  <c r="D1069" i="13"/>
  <c r="C1069" i="13"/>
  <c r="E1068" i="13"/>
  <c r="D1068" i="13"/>
  <c r="C1068" i="13"/>
  <c r="E1067" i="13"/>
  <c r="D1067" i="13"/>
  <c r="C1067" i="13"/>
  <c r="E1066" i="13"/>
  <c r="D1066" i="13"/>
  <c r="C1066" i="13"/>
  <c r="E1065" i="13"/>
  <c r="D1065" i="13"/>
  <c r="C1065" i="13"/>
  <c r="E1064" i="13"/>
  <c r="D1064" i="13"/>
  <c r="C1064" i="13"/>
  <c r="E1063" i="13"/>
  <c r="D1063" i="13"/>
  <c r="C1063" i="13"/>
  <c r="E1062" i="13"/>
  <c r="D1062" i="13"/>
  <c r="C1062" i="13"/>
  <c r="E1061" i="13"/>
  <c r="D1061" i="13"/>
  <c r="C1061" i="13"/>
  <c r="E1060" i="13"/>
  <c r="D1060" i="13"/>
  <c r="C1060" i="13"/>
  <c r="E1059" i="13"/>
  <c r="D1059" i="13"/>
  <c r="C1059" i="13"/>
  <c r="E1058" i="13"/>
  <c r="D1058" i="13"/>
  <c r="C1058" i="13"/>
  <c r="E1057" i="13"/>
  <c r="D1057" i="13"/>
  <c r="C1057" i="13"/>
  <c r="E1056" i="13"/>
  <c r="D1056" i="13"/>
  <c r="C1056" i="13"/>
  <c r="E1055" i="13"/>
  <c r="D1055" i="13"/>
  <c r="C1055" i="13"/>
  <c r="E1054" i="13"/>
  <c r="D1054" i="13"/>
  <c r="C1054" i="13"/>
  <c r="E1053" i="13"/>
  <c r="D1053" i="13"/>
  <c r="C1053" i="13"/>
  <c r="E1052" i="13"/>
  <c r="D1052" i="13"/>
  <c r="C1052" i="13"/>
  <c r="E1051" i="13"/>
  <c r="D1051" i="13"/>
  <c r="C1051" i="13"/>
  <c r="E1050" i="13"/>
  <c r="D1050" i="13"/>
  <c r="C1050" i="13"/>
  <c r="E1049" i="13"/>
  <c r="D1049" i="13"/>
  <c r="C1049" i="13"/>
  <c r="E1048" i="13"/>
  <c r="D1048" i="13"/>
  <c r="C1048" i="13"/>
  <c r="E1047" i="13"/>
  <c r="D1047" i="13"/>
  <c r="C1047" i="13"/>
  <c r="E1046" i="13"/>
  <c r="D1046" i="13"/>
  <c r="C1046" i="13"/>
  <c r="E1045" i="13"/>
  <c r="D1045" i="13"/>
  <c r="C1045" i="13"/>
  <c r="E1044" i="13"/>
  <c r="D1044" i="13"/>
  <c r="C1044" i="13"/>
  <c r="E1043" i="13"/>
  <c r="D1043" i="13"/>
  <c r="C1043" i="13"/>
  <c r="E1042" i="13"/>
  <c r="D1042" i="13"/>
  <c r="C1042" i="13"/>
  <c r="E1041" i="13"/>
  <c r="D1041" i="13"/>
  <c r="C1041" i="13"/>
  <c r="E1040" i="13"/>
  <c r="D1040" i="13"/>
  <c r="C1040" i="13"/>
  <c r="E1039" i="13"/>
  <c r="D1039" i="13"/>
  <c r="C1039" i="13"/>
  <c r="E1038" i="13"/>
  <c r="D1038" i="13"/>
  <c r="C1038" i="13"/>
  <c r="E1037" i="13"/>
  <c r="D1037" i="13"/>
  <c r="C1037" i="13"/>
  <c r="E1036" i="13"/>
  <c r="D1036" i="13"/>
  <c r="C1036" i="13"/>
  <c r="E1035" i="13"/>
  <c r="D1035" i="13"/>
  <c r="C1035" i="13"/>
  <c r="E1034" i="13"/>
  <c r="D1034" i="13"/>
  <c r="C1034" i="13"/>
  <c r="E1033" i="13"/>
  <c r="D1033" i="13"/>
  <c r="C1033" i="13"/>
  <c r="E1032" i="13"/>
  <c r="D1032" i="13"/>
  <c r="C1032" i="13"/>
  <c r="E1031" i="13"/>
  <c r="D1031" i="13"/>
  <c r="C1031" i="13"/>
  <c r="E1030" i="13"/>
  <c r="D1030" i="13"/>
  <c r="C1030" i="13"/>
  <c r="E1029" i="13"/>
  <c r="D1029" i="13"/>
  <c r="C1029" i="13"/>
  <c r="E1028" i="13"/>
  <c r="D1028" i="13"/>
  <c r="C1028" i="13"/>
  <c r="E1027" i="13"/>
  <c r="D1027" i="13"/>
  <c r="C1027" i="13"/>
  <c r="E1026" i="13"/>
  <c r="D1026" i="13"/>
  <c r="C1026" i="13"/>
  <c r="E1025" i="13"/>
  <c r="D1025" i="13"/>
  <c r="C1025" i="13"/>
  <c r="E1024" i="13"/>
  <c r="D1024" i="13"/>
  <c r="C1024" i="13"/>
  <c r="E1023" i="13"/>
  <c r="D1023" i="13"/>
  <c r="C1023" i="13"/>
  <c r="E1022" i="13"/>
  <c r="D1022" i="13"/>
  <c r="C1022" i="13"/>
  <c r="E1021" i="13"/>
  <c r="D1021" i="13"/>
  <c r="C1021" i="13"/>
  <c r="E1020" i="13"/>
  <c r="D1020" i="13"/>
  <c r="C1020" i="13"/>
  <c r="E1019" i="13"/>
  <c r="D1019" i="13"/>
  <c r="C1019" i="13"/>
  <c r="E1018" i="13"/>
  <c r="D1018" i="13"/>
  <c r="C1018" i="13"/>
  <c r="E1017" i="13"/>
  <c r="D1017" i="13"/>
  <c r="C1017" i="13"/>
  <c r="E1016" i="13"/>
  <c r="D1016" i="13"/>
  <c r="C1016" i="13"/>
  <c r="E1015" i="13"/>
  <c r="D1015" i="13"/>
  <c r="C1015" i="13"/>
  <c r="E1014" i="13"/>
  <c r="D1014" i="13"/>
  <c r="C1014" i="13"/>
  <c r="E1013" i="13"/>
  <c r="D1013" i="13"/>
  <c r="C1013" i="13"/>
  <c r="E1012" i="13"/>
  <c r="D1012" i="13"/>
  <c r="C1012" i="13"/>
  <c r="E1011" i="13"/>
  <c r="D1011" i="13"/>
  <c r="C1011" i="13"/>
  <c r="E1010" i="13"/>
  <c r="D1010" i="13"/>
  <c r="C1010" i="13"/>
  <c r="E1009" i="13"/>
  <c r="D1009" i="13"/>
  <c r="C1009" i="13"/>
  <c r="E1008" i="13"/>
  <c r="D1008" i="13"/>
  <c r="C1008" i="13"/>
  <c r="E1007" i="13"/>
  <c r="D1007" i="13"/>
  <c r="C1007" i="13"/>
  <c r="E1006" i="13"/>
  <c r="D1006" i="13"/>
  <c r="C1006" i="13"/>
  <c r="E1005" i="13"/>
  <c r="D1005" i="13"/>
  <c r="C1005" i="13"/>
  <c r="E1004" i="13"/>
  <c r="D1004" i="13"/>
  <c r="C1004" i="13"/>
  <c r="E1003" i="13"/>
  <c r="D1003" i="13"/>
  <c r="C1003" i="13"/>
  <c r="E1002" i="13"/>
  <c r="D1002" i="13"/>
  <c r="C1002" i="13"/>
  <c r="E1001" i="13"/>
  <c r="D1001" i="13"/>
  <c r="C1001" i="13"/>
  <c r="E1000" i="13"/>
  <c r="D1000" i="13"/>
  <c r="C1000" i="13"/>
  <c r="E999" i="13"/>
  <c r="D999" i="13"/>
  <c r="C999" i="13"/>
  <c r="E998" i="13"/>
  <c r="D998" i="13"/>
  <c r="C998" i="13"/>
  <c r="E997" i="13"/>
  <c r="D997" i="13"/>
  <c r="C997" i="13"/>
  <c r="E996" i="13"/>
  <c r="D996" i="13"/>
  <c r="C996" i="13"/>
  <c r="E995" i="13"/>
  <c r="D995" i="13"/>
  <c r="C995" i="13"/>
  <c r="E994" i="13"/>
  <c r="D994" i="13"/>
  <c r="C994" i="13"/>
  <c r="E993" i="13"/>
  <c r="D993" i="13"/>
  <c r="C993" i="13"/>
  <c r="E992" i="13"/>
  <c r="D992" i="13"/>
  <c r="C992" i="13"/>
  <c r="E991" i="13"/>
  <c r="D991" i="13"/>
  <c r="C991" i="13"/>
  <c r="E990" i="13"/>
  <c r="D990" i="13"/>
  <c r="C990" i="13"/>
  <c r="E989" i="13"/>
  <c r="D989" i="13"/>
  <c r="C989" i="13"/>
  <c r="E988" i="13"/>
  <c r="D988" i="13"/>
  <c r="C988" i="13"/>
  <c r="E987" i="13"/>
  <c r="D987" i="13"/>
  <c r="C987" i="13"/>
  <c r="E986" i="13"/>
  <c r="D986" i="13"/>
  <c r="C986" i="13"/>
  <c r="E985" i="13"/>
  <c r="D985" i="13"/>
  <c r="C985" i="13"/>
  <c r="E984" i="13"/>
  <c r="D984" i="13"/>
  <c r="C984" i="13"/>
  <c r="E983" i="13"/>
  <c r="D983" i="13"/>
  <c r="C983" i="13"/>
  <c r="E982" i="13"/>
  <c r="D982" i="13"/>
  <c r="C982" i="13"/>
  <c r="E981" i="13"/>
  <c r="D981" i="13"/>
  <c r="C981" i="13"/>
  <c r="E980" i="13"/>
  <c r="D980" i="13"/>
  <c r="C980" i="13"/>
  <c r="E979" i="13"/>
  <c r="D979" i="13"/>
  <c r="C979" i="13"/>
  <c r="E978" i="13"/>
  <c r="D978" i="13"/>
  <c r="C978" i="13"/>
  <c r="E977" i="13"/>
  <c r="D977" i="13"/>
  <c r="C977" i="13"/>
  <c r="E976" i="13"/>
  <c r="D976" i="13"/>
  <c r="C976" i="13"/>
  <c r="E975" i="13"/>
  <c r="D975" i="13"/>
  <c r="C975" i="13"/>
  <c r="E974" i="13"/>
  <c r="D974" i="13"/>
  <c r="C974" i="13"/>
  <c r="E973" i="13"/>
  <c r="D973" i="13"/>
  <c r="C973" i="13"/>
  <c r="E972" i="13"/>
  <c r="D972" i="13"/>
  <c r="C972" i="13"/>
  <c r="E971" i="13"/>
  <c r="D971" i="13"/>
  <c r="C971" i="13"/>
  <c r="E970" i="13"/>
  <c r="D970" i="13"/>
  <c r="C970" i="13"/>
  <c r="E969" i="13"/>
  <c r="D969" i="13"/>
  <c r="C969" i="13"/>
  <c r="E968" i="13"/>
  <c r="D968" i="13"/>
  <c r="C968" i="13"/>
  <c r="E967" i="13"/>
  <c r="D967" i="13"/>
  <c r="C967" i="13"/>
  <c r="E966" i="13"/>
  <c r="D966" i="13"/>
  <c r="C966" i="13"/>
  <c r="E965" i="13"/>
  <c r="D965" i="13"/>
  <c r="C965" i="13"/>
  <c r="E964" i="13"/>
  <c r="D964" i="13"/>
  <c r="C964" i="13"/>
  <c r="E963" i="13"/>
  <c r="D963" i="13"/>
  <c r="C963" i="13"/>
  <c r="E962" i="13"/>
  <c r="D962" i="13"/>
  <c r="C962" i="13"/>
  <c r="E961" i="13"/>
  <c r="D961" i="13"/>
  <c r="C961" i="13"/>
  <c r="E960" i="13"/>
  <c r="D960" i="13"/>
  <c r="C960" i="13"/>
  <c r="E959" i="13"/>
  <c r="D959" i="13"/>
  <c r="C959" i="13"/>
  <c r="E958" i="13"/>
  <c r="D958" i="13"/>
  <c r="C958" i="13"/>
  <c r="E957" i="13"/>
  <c r="D957" i="13"/>
  <c r="C957" i="13"/>
  <c r="E956" i="13"/>
  <c r="D956" i="13"/>
  <c r="C956" i="13"/>
  <c r="E955" i="13"/>
  <c r="D955" i="13"/>
  <c r="C955" i="13"/>
  <c r="E954" i="13"/>
  <c r="D954" i="13"/>
  <c r="C954" i="13"/>
  <c r="E953" i="13"/>
  <c r="D953" i="13"/>
  <c r="C953" i="13"/>
  <c r="E952" i="13"/>
  <c r="D952" i="13"/>
  <c r="C952" i="13"/>
  <c r="E951" i="13"/>
  <c r="D951" i="13"/>
  <c r="C951" i="13"/>
  <c r="E950" i="13"/>
  <c r="D950" i="13"/>
  <c r="C950" i="13"/>
  <c r="E949" i="13"/>
  <c r="D949" i="13"/>
  <c r="C949" i="13"/>
  <c r="E948" i="13"/>
  <c r="D948" i="13"/>
  <c r="C948" i="13"/>
  <c r="E947" i="13"/>
  <c r="D947" i="13"/>
  <c r="C947" i="13"/>
  <c r="E946" i="13"/>
  <c r="D946" i="13"/>
  <c r="C946" i="13"/>
  <c r="E945" i="13"/>
  <c r="D945" i="13"/>
  <c r="C945" i="13"/>
  <c r="E944" i="13"/>
  <c r="D944" i="13"/>
  <c r="C944" i="13"/>
  <c r="E943" i="13"/>
  <c r="D943" i="13"/>
  <c r="C943" i="13"/>
  <c r="E942" i="13"/>
  <c r="D942" i="13"/>
  <c r="C942" i="13"/>
  <c r="E941" i="13"/>
  <c r="D941" i="13"/>
  <c r="C941" i="13"/>
  <c r="E940" i="13"/>
  <c r="D940" i="13"/>
  <c r="C940" i="13"/>
  <c r="E939" i="13"/>
  <c r="D939" i="13"/>
  <c r="C939" i="13"/>
  <c r="E938" i="13"/>
  <c r="D938" i="13"/>
  <c r="C938" i="13"/>
  <c r="E937" i="13"/>
  <c r="D937" i="13"/>
  <c r="C937" i="13"/>
  <c r="E936" i="13"/>
  <c r="D936" i="13"/>
  <c r="C936" i="13"/>
  <c r="E935" i="13"/>
  <c r="D935" i="13"/>
  <c r="C935" i="13"/>
  <c r="E934" i="13"/>
  <c r="D934" i="13"/>
  <c r="C934" i="13"/>
  <c r="E933" i="13"/>
  <c r="D933" i="13"/>
  <c r="C933" i="13"/>
  <c r="E932" i="13"/>
  <c r="D932" i="13"/>
  <c r="C932" i="13"/>
  <c r="E931" i="13"/>
  <c r="D931" i="13"/>
  <c r="C931" i="13"/>
  <c r="E930" i="13"/>
  <c r="D930" i="13"/>
  <c r="C930" i="13"/>
  <c r="E929" i="13"/>
  <c r="D929" i="13"/>
  <c r="C929" i="13"/>
  <c r="E928" i="13"/>
  <c r="D928" i="13"/>
  <c r="C928" i="13"/>
  <c r="E927" i="13"/>
  <c r="D927" i="13"/>
  <c r="C927" i="13"/>
  <c r="E926" i="13"/>
  <c r="D926" i="13"/>
  <c r="C926" i="13"/>
  <c r="E925" i="13"/>
  <c r="D925" i="13"/>
  <c r="C925" i="13"/>
  <c r="E924" i="13"/>
  <c r="D924" i="13"/>
  <c r="C924" i="13"/>
  <c r="E923" i="13"/>
  <c r="D923" i="13"/>
  <c r="C923" i="13"/>
  <c r="E922" i="13"/>
  <c r="D922" i="13"/>
  <c r="C922" i="13"/>
  <c r="E921" i="13"/>
  <c r="D921" i="13"/>
  <c r="C921" i="13"/>
  <c r="E920" i="13"/>
  <c r="D920" i="13"/>
  <c r="C920" i="13"/>
  <c r="E919" i="13"/>
  <c r="D919" i="13"/>
  <c r="C919" i="13"/>
  <c r="E918" i="13"/>
  <c r="D918" i="13"/>
  <c r="C918" i="13"/>
  <c r="E917" i="13"/>
  <c r="D917" i="13"/>
  <c r="C917" i="13"/>
  <c r="E916" i="13"/>
  <c r="D916" i="13"/>
  <c r="C916" i="13"/>
  <c r="E915" i="13"/>
  <c r="D915" i="13"/>
  <c r="C915" i="13"/>
  <c r="E914" i="13"/>
  <c r="D914" i="13"/>
  <c r="C914" i="13"/>
  <c r="E913" i="13"/>
  <c r="D913" i="13"/>
  <c r="C913" i="13"/>
  <c r="E912" i="13"/>
  <c r="D912" i="13"/>
  <c r="C912" i="13"/>
  <c r="E911" i="13"/>
  <c r="D911" i="13"/>
  <c r="C911" i="13"/>
  <c r="E910" i="13"/>
  <c r="D910" i="13"/>
  <c r="C910" i="13"/>
  <c r="E909" i="13"/>
  <c r="D909" i="13"/>
  <c r="C909" i="13"/>
  <c r="E908" i="13"/>
  <c r="D908" i="13"/>
  <c r="C908" i="13"/>
  <c r="E907" i="13"/>
  <c r="D907" i="13"/>
  <c r="C907" i="13"/>
  <c r="E906" i="13"/>
  <c r="D906" i="13"/>
  <c r="C906" i="13"/>
  <c r="E905" i="13"/>
  <c r="D905" i="13"/>
  <c r="C905" i="13"/>
  <c r="E904" i="13"/>
  <c r="D904" i="13"/>
  <c r="C904" i="13"/>
  <c r="E903" i="13"/>
  <c r="D903" i="13"/>
  <c r="C903" i="13"/>
  <c r="E902" i="13"/>
  <c r="D902" i="13"/>
  <c r="C902" i="13"/>
  <c r="E901" i="13"/>
  <c r="D901" i="13"/>
  <c r="C901" i="13"/>
  <c r="E900" i="13"/>
  <c r="D900" i="13"/>
  <c r="C900" i="13"/>
  <c r="E899" i="13"/>
  <c r="D899" i="13"/>
  <c r="C899" i="13"/>
  <c r="E898" i="13"/>
  <c r="D898" i="13"/>
  <c r="C898" i="13"/>
  <c r="E897" i="13"/>
  <c r="D897" i="13"/>
  <c r="C897" i="13"/>
  <c r="E896" i="13"/>
  <c r="D896" i="13"/>
  <c r="C896" i="13"/>
  <c r="E895" i="13"/>
  <c r="D895" i="13"/>
  <c r="C895" i="13"/>
  <c r="E894" i="13"/>
  <c r="D894" i="13"/>
  <c r="C894" i="13"/>
  <c r="E893" i="13"/>
  <c r="D893" i="13"/>
  <c r="C893" i="13"/>
  <c r="E892" i="13"/>
  <c r="D892" i="13"/>
  <c r="C892" i="13"/>
  <c r="E891" i="13"/>
  <c r="D891" i="13"/>
  <c r="C891" i="13"/>
  <c r="E890" i="13"/>
  <c r="D890" i="13"/>
  <c r="C890" i="13"/>
  <c r="E889" i="13"/>
  <c r="D889" i="13"/>
  <c r="C889" i="13"/>
  <c r="E888" i="13"/>
  <c r="D888" i="13"/>
  <c r="C888" i="13"/>
  <c r="E887" i="13"/>
  <c r="D887" i="13"/>
  <c r="C887" i="13"/>
  <c r="E886" i="13"/>
  <c r="D886" i="13"/>
  <c r="C886" i="13"/>
  <c r="E885" i="13"/>
  <c r="D885" i="13"/>
  <c r="C885" i="13"/>
  <c r="E884" i="13"/>
  <c r="D884" i="13"/>
  <c r="C884" i="13"/>
  <c r="E883" i="13"/>
  <c r="D883" i="13"/>
  <c r="C883" i="13"/>
  <c r="E882" i="13"/>
  <c r="D882" i="13"/>
  <c r="C882" i="13"/>
  <c r="E881" i="13"/>
  <c r="D881" i="13"/>
  <c r="C881" i="13"/>
  <c r="E880" i="13"/>
  <c r="D880" i="13"/>
  <c r="C880" i="13"/>
  <c r="E879" i="13"/>
  <c r="D879" i="13"/>
  <c r="C879" i="13"/>
  <c r="E878" i="13"/>
  <c r="D878" i="13"/>
  <c r="C878" i="13"/>
  <c r="E877" i="13"/>
  <c r="D877" i="13"/>
  <c r="C877" i="13"/>
  <c r="E876" i="13"/>
  <c r="D876" i="13"/>
  <c r="C876" i="13"/>
  <c r="E875" i="13"/>
  <c r="D875" i="13"/>
  <c r="C875" i="13"/>
  <c r="E874" i="13"/>
  <c r="D874" i="13"/>
  <c r="C874" i="13"/>
  <c r="E873" i="13"/>
  <c r="D873" i="13"/>
  <c r="C873" i="13"/>
  <c r="E872" i="13"/>
  <c r="D872" i="13"/>
  <c r="C872" i="13"/>
  <c r="E871" i="13"/>
  <c r="D871" i="13"/>
  <c r="C871" i="13"/>
  <c r="E870" i="13"/>
  <c r="D870" i="13"/>
  <c r="C870" i="13"/>
  <c r="E869" i="13"/>
  <c r="D869" i="13"/>
  <c r="C869" i="13"/>
  <c r="E868" i="13"/>
  <c r="D868" i="13"/>
  <c r="C868" i="13"/>
  <c r="E867" i="13"/>
  <c r="D867" i="13"/>
  <c r="C867" i="13"/>
  <c r="E866" i="13"/>
  <c r="D866" i="13"/>
  <c r="C866" i="13"/>
  <c r="E865" i="13"/>
  <c r="D865" i="13"/>
  <c r="C865" i="13"/>
  <c r="E864" i="13"/>
  <c r="D864" i="13"/>
  <c r="C864" i="13"/>
  <c r="E863" i="13"/>
  <c r="D863" i="13"/>
  <c r="C863" i="13"/>
  <c r="E862" i="13"/>
  <c r="D862" i="13"/>
  <c r="C862" i="13"/>
  <c r="E861" i="13"/>
  <c r="D861" i="13"/>
  <c r="C861" i="13"/>
  <c r="E860" i="13"/>
  <c r="D860" i="13"/>
  <c r="C860" i="13"/>
  <c r="E859" i="13"/>
  <c r="D859" i="13"/>
  <c r="C859" i="13"/>
  <c r="E858" i="13"/>
  <c r="D858" i="13"/>
  <c r="C858" i="13"/>
  <c r="E857" i="13"/>
  <c r="D857" i="13"/>
  <c r="C857" i="13"/>
  <c r="E856" i="13"/>
  <c r="D856" i="13"/>
  <c r="C856" i="13"/>
  <c r="E855" i="13"/>
  <c r="D855" i="13"/>
  <c r="C855" i="13"/>
  <c r="E854" i="13"/>
  <c r="D854" i="13"/>
  <c r="C854" i="13"/>
  <c r="E853" i="13"/>
  <c r="D853" i="13"/>
  <c r="C853" i="13"/>
  <c r="E852" i="13"/>
  <c r="D852" i="13"/>
  <c r="C852" i="13"/>
  <c r="E851" i="13"/>
  <c r="D851" i="13"/>
  <c r="C851" i="13"/>
  <c r="E850" i="13"/>
  <c r="D850" i="13"/>
  <c r="C850" i="13"/>
  <c r="E849" i="13"/>
  <c r="D849" i="13"/>
  <c r="C849" i="13"/>
  <c r="E848" i="13"/>
  <c r="D848" i="13"/>
  <c r="C848" i="13"/>
  <c r="E847" i="13"/>
  <c r="D847" i="13"/>
  <c r="C847" i="13"/>
  <c r="E846" i="13"/>
  <c r="D846" i="13"/>
  <c r="C846" i="13"/>
  <c r="E845" i="13"/>
  <c r="D845" i="13"/>
  <c r="C845" i="13"/>
  <c r="E844" i="13"/>
  <c r="D844" i="13"/>
  <c r="C844" i="13"/>
  <c r="E843" i="13"/>
  <c r="D843" i="13"/>
  <c r="C843" i="13"/>
  <c r="E842" i="13"/>
  <c r="D842" i="13"/>
  <c r="C842" i="13"/>
  <c r="E841" i="13"/>
  <c r="D841" i="13"/>
  <c r="C841" i="13"/>
  <c r="E840" i="13"/>
  <c r="D840" i="13"/>
  <c r="C840" i="13"/>
  <c r="E839" i="13"/>
  <c r="D839" i="13"/>
  <c r="C839" i="13"/>
  <c r="E838" i="13"/>
  <c r="D838" i="13"/>
  <c r="C838" i="13"/>
  <c r="E837" i="13"/>
  <c r="D837" i="13"/>
  <c r="C837" i="13"/>
  <c r="E836" i="13"/>
  <c r="D836" i="13"/>
  <c r="C836" i="13"/>
  <c r="E835" i="13"/>
  <c r="D835" i="13"/>
  <c r="C835" i="13"/>
  <c r="E834" i="13"/>
  <c r="D834" i="13"/>
  <c r="C834" i="13"/>
  <c r="E833" i="13"/>
  <c r="D833" i="13"/>
  <c r="C833" i="13"/>
  <c r="E832" i="13"/>
  <c r="D832" i="13"/>
  <c r="C832" i="13"/>
  <c r="E831" i="13"/>
  <c r="D831" i="13"/>
  <c r="C831" i="13"/>
  <c r="E830" i="13"/>
  <c r="D830" i="13"/>
  <c r="C830" i="13"/>
  <c r="E829" i="13"/>
  <c r="D829" i="13"/>
  <c r="C829" i="13"/>
  <c r="E828" i="13"/>
  <c r="D828" i="13"/>
  <c r="C828" i="13"/>
  <c r="E827" i="13"/>
  <c r="D827" i="13"/>
  <c r="C827" i="13"/>
  <c r="E826" i="13"/>
  <c r="D826" i="13"/>
  <c r="C826" i="13"/>
  <c r="E825" i="13"/>
  <c r="D825" i="13"/>
  <c r="C825" i="13"/>
  <c r="E824" i="13"/>
  <c r="D824" i="13"/>
  <c r="C824" i="13"/>
  <c r="E823" i="13"/>
  <c r="D823" i="13"/>
  <c r="C823" i="13"/>
  <c r="E822" i="13"/>
  <c r="D822" i="13"/>
  <c r="C822" i="13"/>
  <c r="E821" i="13"/>
  <c r="D821" i="13"/>
  <c r="C821" i="13"/>
  <c r="E820" i="13"/>
  <c r="D820" i="13"/>
  <c r="C820" i="13"/>
  <c r="E819" i="13"/>
  <c r="D819" i="13"/>
  <c r="C819" i="13"/>
  <c r="E818" i="13"/>
  <c r="D818" i="13"/>
  <c r="C818" i="13"/>
  <c r="E817" i="13"/>
  <c r="D817" i="13"/>
  <c r="C817" i="13"/>
  <c r="E816" i="13"/>
  <c r="D816" i="13"/>
  <c r="C816" i="13"/>
  <c r="E815" i="13"/>
  <c r="D815" i="13"/>
  <c r="C815" i="13"/>
  <c r="E814" i="13"/>
  <c r="D814" i="13"/>
  <c r="C814" i="13"/>
  <c r="E813" i="13"/>
  <c r="D813" i="13"/>
  <c r="C813" i="13"/>
  <c r="E812" i="13"/>
  <c r="D812" i="13"/>
  <c r="C812" i="13"/>
  <c r="E811" i="13"/>
  <c r="D811" i="13"/>
  <c r="C811" i="13"/>
  <c r="E810" i="13"/>
  <c r="D810" i="13"/>
  <c r="C810" i="13"/>
  <c r="E809" i="13"/>
  <c r="D809" i="13"/>
  <c r="C809" i="13"/>
  <c r="E808" i="13"/>
  <c r="D808" i="13"/>
  <c r="C808" i="13"/>
  <c r="E807" i="13"/>
  <c r="D807" i="13"/>
  <c r="C807" i="13"/>
  <c r="E806" i="13"/>
  <c r="D806" i="13"/>
  <c r="C806" i="13"/>
  <c r="E805" i="13"/>
  <c r="D805" i="13"/>
  <c r="C805" i="13"/>
  <c r="E804" i="13"/>
  <c r="D804" i="13"/>
  <c r="C804" i="13"/>
  <c r="E803" i="13"/>
  <c r="D803" i="13"/>
  <c r="C803" i="13"/>
  <c r="E802" i="13"/>
  <c r="D802" i="13"/>
  <c r="C802" i="13"/>
  <c r="E801" i="13"/>
  <c r="D801" i="13"/>
  <c r="C801" i="13"/>
  <c r="E800" i="13"/>
  <c r="D800" i="13"/>
  <c r="C800" i="13"/>
  <c r="E799" i="13"/>
  <c r="D799" i="13"/>
  <c r="C799" i="13"/>
  <c r="E798" i="13"/>
  <c r="D798" i="13"/>
  <c r="C798" i="13"/>
  <c r="E797" i="13"/>
  <c r="D797" i="13"/>
  <c r="C797" i="13"/>
  <c r="E796" i="13"/>
  <c r="D796" i="13"/>
  <c r="C796" i="13"/>
  <c r="E795" i="13"/>
  <c r="D795" i="13"/>
  <c r="C795" i="13"/>
  <c r="E794" i="13"/>
  <c r="D794" i="13"/>
  <c r="C794" i="13"/>
  <c r="E793" i="13"/>
  <c r="D793" i="13"/>
  <c r="C793" i="13"/>
  <c r="E792" i="13"/>
  <c r="D792" i="13"/>
  <c r="C792" i="13"/>
  <c r="E791" i="13"/>
  <c r="D791" i="13"/>
  <c r="C791" i="13"/>
  <c r="E790" i="13"/>
  <c r="D790" i="13"/>
  <c r="C790" i="13"/>
  <c r="E789" i="13"/>
  <c r="D789" i="13"/>
  <c r="C789" i="13"/>
  <c r="E788" i="13"/>
  <c r="D788" i="13"/>
  <c r="C788" i="13"/>
  <c r="E787" i="13"/>
  <c r="D787" i="13"/>
  <c r="C787" i="13"/>
  <c r="E786" i="13"/>
  <c r="D786" i="13"/>
  <c r="C786" i="13"/>
  <c r="E785" i="13"/>
  <c r="D785" i="13"/>
  <c r="C785" i="13"/>
  <c r="E784" i="13"/>
  <c r="D784" i="13"/>
  <c r="C784" i="13"/>
  <c r="E783" i="13"/>
  <c r="D783" i="13"/>
  <c r="C783" i="13"/>
  <c r="E782" i="13"/>
  <c r="D782" i="13"/>
  <c r="C782" i="13"/>
  <c r="E781" i="13"/>
  <c r="D781" i="13"/>
  <c r="C781" i="13"/>
  <c r="E780" i="13"/>
  <c r="D780" i="13"/>
  <c r="C780" i="13"/>
  <c r="E779" i="13"/>
  <c r="D779" i="13"/>
  <c r="C779" i="13"/>
  <c r="E778" i="13"/>
  <c r="D778" i="13"/>
  <c r="C778" i="13"/>
  <c r="E777" i="13"/>
  <c r="D777" i="13"/>
  <c r="C777" i="13"/>
  <c r="E776" i="13"/>
  <c r="D776" i="13"/>
  <c r="C776" i="13"/>
  <c r="E775" i="13"/>
  <c r="D775" i="13"/>
  <c r="C775" i="13"/>
  <c r="E774" i="13"/>
  <c r="D774" i="13"/>
  <c r="C774" i="13"/>
  <c r="E773" i="13"/>
  <c r="D773" i="13"/>
  <c r="C773" i="13"/>
  <c r="E772" i="13"/>
  <c r="D772" i="13"/>
  <c r="C772" i="13"/>
  <c r="E771" i="13"/>
  <c r="D771" i="13"/>
  <c r="C771" i="13"/>
  <c r="E770" i="13"/>
  <c r="D770" i="13"/>
  <c r="C770" i="13"/>
  <c r="E769" i="13"/>
  <c r="D769" i="13"/>
  <c r="C769" i="13"/>
  <c r="E768" i="13"/>
  <c r="D768" i="13"/>
  <c r="C768" i="13"/>
  <c r="E767" i="13"/>
  <c r="D767" i="13"/>
  <c r="C767" i="13"/>
  <c r="E766" i="13"/>
  <c r="D766" i="13"/>
  <c r="C766" i="13"/>
  <c r="E765" i="13"/>
  <c r="D765" i="13"/>
  <c r="C765" i="13"/>
  <c r="E764" i="13"/>
  <c r="D764" i="13"/>
  <c r="C764" i="13"/>
  <c r="E763" i="13"/>
  <c r="D763" i="13"/>
  <c r="C763" i="13"/>
  <c r="E762" i="13"/>
  <c r="D762" i="13"/>
  <c r="C762" i="13"/>
  <c r="E761" i="13"/>
  <c r="D761" i="13"/>
  <c r="C761" i="13"/>
  <c r="E760" i="13"/>
  <c r="D760" i="13"/>
  <c r="C760" i="13"/>
  <c r="E759" i="13"/>
  <c r="D759" i="13"/>
  <c r="C759" i="13"/>
  <c r="E758" i="13"/>
  <c r="D758" i="13"/>
  <c r="C758" i="13"/>
  <c r="E757" i="13"/>
  <c r="D757" i="13"/>
  <c r="C757" i="13"/>
  <c r="E756" i="13"/>
  <c r="D756" i="13"/>
  <c r="C756" i="13"/>
  <c r="E755" i="13"/>
  <c r="D755" i="13"/>
  <c r="C755" i="13"/>
  <c r="E754" i="13"/>
  <c r="D754" i="13"/>
  <c r="C754" i="13"/>
  <c r="E753" i="13"/>
  <c r="D753" i="13"/>
  <c r="C753" i="13"/>
  <c r="E752" i="13"/>
  <c r="D752" i="13"/>
  <c r="C752" i="13"/>
  <c r="E751" i="13"/>
  <c r="C7" i="13"/>
  <c r="C9" i="13"/>
  <c r="C10" i="13"/>
  <c r="C11" i="13"/>
  <c r="D9" i="13"/>
  <c r="E9" i="13"/>
  <c r="D10" i="13"/>
  <c r="E10" i="13"/>
  <c r="D11" i="13"/>
  <c r="C161" i="7" s="1"/>
  <c r="E29" i="49" s="1"/>
  <c r="E11" i="13"/>
  <c r="C12" i="13"/>
  <c r="D12" i="13"/>
  <c r="E12" i="13"/>
  <c r="C13" i="13"/>
  <c r="D13" i="13"/>
  <c r="E13" i="13"/>
  <c r="C14" i="13"/>
  <c r="D14" i="13"/>
  <c r="E14" i="13"/>
  <c r="C15" i="13"/>
  <c r="D15" i="13"/>
  <c r="E15" i="13"/>
  <c r="C16" i="13"/>
  <c r="D16" i="13"/>
  <c r="E16" i="13"/>
  <c r="C17" i="13"/>
  <c r="D17" i="13"/>
  <c r="E17" i="13"/>
  <c r="C18" i="13"/>
  <c r="D18" i="13"/>
  <c r="E18" i="13"/>
  <c r="C19" i="13"/>
  <c r="D19" i="13"/>
  <c r="E19" i="13"/>
  <c r="C20" i="13"/>
  <c r="D20" i="13"/>
  <c r="E20" i="13"/>
  <c r="C21" i="13"/>
  <c r="D21" i="13"/>
  <c r="E21" i="13"/>
  <c r="C22" i="13"/>
  <c r="D22" i="13"/>
  <c r="E22" i="13"/>
  <c r="C23" i="13"/>
  <c r="D23" i="13"/>
  <c r="E23" i="13"/>
  <c r="C24" i="13"/>
  <c r="D24" i="13"/>
  <c r="E24" i="13"/>
  <c r="C25" i="13"/>
  <c r="D25" i="13"/>
  <c r="E25" i="13"/>
  <c r="C26" i="13"/>
  <c r="D26" i="13"/>
  <c r="E26" i="13"/>
  <c r="C27" i="13"/>
  <c r="D27" i="13"/>
  <c r="E27" i="13"/>
  <c r="C28" i="13"/>
  <c r="D28" i="13"/>
  <c r="E28" i="13"/>
  <c r="C29" i="13"/>
  <c r="D29" i="13"/>
  <c r="E29" i="13"/>
  <c r="C30" i="13"/>
  <c r="D30" i="13"/>
  <c r="E30" i="13"/>
  <c r="C31" i="13"/>
  <c r="D31" i="13"/>
  <c r="E31" i="13"/>
  <c r="C32" i="13"/>
  <c r="D32" i="13"/>
  <c r="E32" i="13"/>
  <c r="C33" i="13"/>
  <c r="D33" i="13"/>
  <c r="E33" i="13"/>
  <c r="C34" i="13"/>
  <c r="D34" i="13"/>
  <c r="E34" i="13"/>
  <c r="C35" i="13"/>
  <c r="D35" i="13"/>
  <c r="E35" i="13"/>
  <c r="C36" i="13"/>
  <c r="D36" i="13"/>
  <c r="E36" i="13"/>
  <c r="C37" i="13"/>
  <c r="D37" i="13"/>
  <c r="E37" i="13"/>
  <c r="C38" i="13"/>
  <c r="D38" i="13"/>
  <c r="E38" i="13"/>
  <c r="C39" i="13"/>
  <c r="D39" i="13"/>
  <c r="E39" i="13"/>
  <c r="C40" i="13"/>
  <c r="D40" i="13"/>
  <c r="E40" i="13"/>
  <c r="C41" i="13"/>
  <c r="D41" i="13"/>
  <c r="E41" i="13"/>
  <c r="C42" i="13"/>
  <c r="D42" i="13"/>
  <c r="E42" i="13"/>
  <c r="C43" i="13"/>
  <c r="D43" i="13"/>
  <c r="E43" i="13"/>
  <c r="C44" i="13"/>
  <c r="D44" i="13"/>
  <c r="E44" i="13"/>
  <c r="C45" i="13"/>
  <c r="D45" i="13"/>
  <c r="E45" i="13"/>
  <c r="C46" i="13"/>
  <c r="D46" i="13"/>
  <c r="E46" i="13"/>
  <c r="C47" i="13"/>
  <c r="D47" i="13"/>
  <c r="E47" i="13"/>
  <c r="C48" i="13"/>
  <c r="D48" i="13"/>
  <c r="E48" i="13"/>
  <c r="C49" i="13"/>
  <c r="D49" i="13"/>
  <c r="E49" i="13"/>
  <c r="C50" i="13"/>
  <c r="D50" i="13"/>
  <c r="E50" i="13"/>
  <c r="C51" i="13"/>
  <c r="D51" i="13"/>
  <c r="E51" i="13"/>
  <c r="C52" i="13"/>
  <c r="D52" i="13"/>
  <c r="E52" i="13"/>
  <c r="C53" i="13"/>
  <c r="D53" i="13"/>
  <c r="E53" i="13"/>
  <c r="C54" i="13"/>
  <c r="D54" i="13"/>
  <c r="E54" i="13"/>
  <c r="C55" i="13"/>
  <c r="D55" i="13"/>
  <c r="E55" i="13"/>
  <c r="C56" i="13"/>
  <c r="D56" i="13"/>
  <c r="E56" i="13"/>
  <c r="C57" i="13"/>
  <c r="D57" i="13"/>
  <c r="E57" i="13"/>
  <c r="C58" i="13"/>
  <c r="D58" i="13"/>
  <c r="E58" i="13"/>
  <c r="C59" i="13"/>
  <c r="D59" i="13"/>
  <c r="E59" i="13"/>
  <c r="C60" i="13"/>
  <c r="D60" i="13"/>
  <c r="E60" i="13"/>
  <c r="C61" i="13"/>
  <c r="D61" i="13"/>
  <c r="E61" i="13"/>
  <c r="C62" i="13"/>
  <c r="D62" i="13"/>
  <c r="E62" i="13"/>
  <c r="C63" i="13"/>
  <c r="D63" i="13"/>
  <c r="E63" i="13"/>
  <c r="C64" i="13"/>
  <c r="D64" i="13"/>
  <c r="E64" i="13"/>
  <c r="C65" i="13"/>
  <c r="D65" i="13"/>
  <c r="E65" i="13"/>
  <c r="C66" i="13"/>
  <c r="D66" i="13"/>
  <c r="E66" i="13"/>
  <c r="C67" i="13"/>
  <c r="D67" i="13"/>
  <c r="E67" i="13"/>
  <c r="C68" i="13"/>
  <c r="D68" i="13"/>
  <c r="E68" i="13"/>
  <c r="C69" i="13"/>
  <c r="D69" i="13"/>
  <c r="E69" i="13"/>
  <c r="C70" i="13"/>
  <c r="D70" i="13"/>
  <c r="E70" i="13"/>
  <c r="C71" i="13"/>
  <c r="D71" i="13"/>
  <c r="E71" i="13"/>
  <c r="C72" i="13"/>
  <c r="D72" i="13"/>
  <c r="E72" i="13"/>
  <c r="C73" i="13"/>
  <c r="D73" i="13"/>
  <c r="E73" i="13"/>
  <c r="C74" i="13"/>
  <c r="D74" i="13"/>
  <c r="E74" i="13"/>
  <c r="C75" i="13"/>
  <c r="D75" i="13"/>
  <c r="E75" i="13"/>
  <c r="C76" i="13"/>
  <c r="D76" i="13"/>
  <c r="E76" i="13"/>
  <c r="C77" i="13"/>
  <c r="D77" i="13"/>
  <c r="E77" i="13"/>
  <c r="C78" i="13"/>
  <c r="D78" i="13"/>
  <c r="E78" i="13"/>
  <c r="C79" i="13"/>
  <c r="D79" i="13"/>
  <c r="E79" i="13"/>
  <c r="C80" i="13"/>
  <c r="D80" i="13"/>
  <c r="E80" i="13"/>
  <c r="C81" i="13"/>
  <c r="D81" i="13"/>
  <c r="E81" i="13"/>
  <c r="C82" i="13"/>
  <c r="D82" i="13"/>
  <c r="E82" i="13"/>
  <c r="C83" i="13"/>
  <c r="D83" i="13"/>
  <c r="E83" i="13"/>
  <c r="C84" i="13"/>
  <c r="D84" i="13"/>
  <c r="E84" i="13"/>
  <c r="C85" i="13"/>
  <c r="D85" i="13"/>
  <c r="E85" i="13"/>
  <c r="C86" i="13"/>
  <c r="D86" i="13"/>
  <c r="E86" i="13"/>
  <c r="C87" i="13"/>
  <c r="D87" i="13"/>
  <c r="E87" i="13"/>
  <c r="C88" i="13"/>
  <c r="D88" i="13"/>
  <c r="E88" i="13"/>
  <c r="C89" i="13"/>
  <c r="D89" i="13"/>
  <c r="E89" i="13"/>
  <c r="C90" i="13"/>
  <c r="D90" i="13"/>
  <c r="E90" i="13"/>
  <c r="C91" i="13"/>
  <c r="D91" i="13"/>
  <c r="E91" i="13"/>
  <c r="C92" i="13"/>
  <c r="D92" i="13"/>
  <c r="E92" i="13"/>
  <c r="C93" i="13"/>
  <c r="D93" i="13"/>
  <c r="E93" i="13"/>
  <c r="C94" i="13"/>
  <c r="D94" i="13"/>
  <c r="E94" i="13"/>
  <c r="C95" i="13"/>
  <c r="D95" i="13"/>
  <c r="E95" i="13"/>
  <c r="C96" i="13"/>
  <c r="D96" i="13"/>
  <c r="E96" i="13"/>
  <c r="C97" i="13"/>
  <c r="D97" i="13"/>
  <c r="E97" i="13"/>
  <c r="C98" i="13"/>
  <c r="D98" i="13"/>
  <c r="E98" i="13"/>
  <c r="C99" i="13"/>
  <c r="D99" i="13"/>
  <c r="E99" i="13"/>
  <c r="C100" i="13"/>
  <c r="D100" i="13"/>
  <c r="E100" i="13"/>
  <c r="C101" i="13"/>
  <c r="D101" i="13"/>
  <c r="E101" i="13"/>
  <c r="C102" i="13"/>
  <c r="D102" i="13"/>
  <c r="E102" i="13"/>
  <c r="C103" i="13"/>
  <c r="D103" i="13"/>
  <c r="E103" i="13"/>
  <c r="C104" i="13"/>
  <c r="D104" i="13"/>
  <c r="E104" i="13"/>
  <c r="C105" i="13"/>
  <c r="D105" i="13"/>
  <c r="E105" i="13"/>
  <c r="C106" i="13"/>
  <c r="D106" i="13"/>
  <c r="E106" i="13"/>
  <c r="C107" i="13"/>
  <c r="D107" i="13"/>
  <c r="E107" i="13"/>
  <c r="C108" i="13"/>
  <c r="D108" i="13"/>
  <c r="E108" i="13"/>
  <c r="C109" i="13"/>
  <c r="D109" i="13"/>
  <c r="E109" i="13"/>
  <c r="C110" i="13"/>
  <c r="D110" i="13"/>
  <c r="E110" i="13"/>
  <c r="C111" i="13"/>
  <c r="D111" i="13"/>
  <c r="E111" i="13"/>
  <c r="C112" i="13"/>
  <c r="D112" i="13"/>
  <c r="E112" i="13"/>
  <c r="C113" i="13"/>
  <c r="D113" i="13"/>
  <c r="E113" i="13"/>
  <c r="C114" i="13"/>
  <c r="D114" i="13"/>
  <c r="E114" i="13"/>
  <c r="C115" i="13"/>
  <c r="D115" i="13"/>
  <c r="E115" i="13"/>
  <c r="C116" i="13"/>
  <c r="D116" i="13"/>
  <c r="E116" i="13"/>
  <c r="C117" i="13"/>
  <c r="D117" i="13"/>
  <c r="E117" i="13"/>
  <c r="C118" i="13"/>
  <c r="D118" i="13"/>
  <c r="E118" i="13"/>
  <c r="C119" i="13"/>
  <c r="D119" i="13"/>
  <c r="E119" i="13"/>
  <c r="C120" i="13"/>
  <c r="D120" i="13"/>
  <c r="E120" i="13"/>
  <c r="C121" i="13"/>
  <c r="D121" i="13"/>
  <c r="E121" i="13"/>
  <c r="C122" i="13"/>
  <c r="D122" i="13"/>
  <c r="E122" i="13"/>
  <c r="C123" i="13"/>
  <c r="D123" i="13"/>
  <c r="E123" i="13"/>
  <c r="C124" i="13"/>
  <c r="D124" i="13"/>
  <c r="E124" i="13"/>
  <c r="C125" i="13"/>
  <c r="D125" i="13"/>
  <c r="E125" i="13"/>
  <c r="C126" i="13"/>
  <c r="D126" i="13"/>
  <c r="E126" i="13"/>
  <c r="C127" i="13"/>
  <c r="D127" i="13"/>
  <c r="E127" i="13"/>
  <c r="C128" i="13"/>
  <c r="D128" i="13"/>
  <c r="E128" i="13"/>
  <c r="C129" i="13"/>
  <c r="D129" i="13"/>
  <c r="E129" i="13"/>
  <c r="C130" i="13"/>
  <c r="D130" i="13"/>
  <c r="E130" i="13"/>
  <c r="C131" i="13"/>
  <c r="D131" i="13"/>
  <c r="E131" i="13"/>
  <c r="C132" i="13"/>
  <c r="D132" i="13"/>
  <c r="E132" i="13"/>
  <c r="C133" i="13"/>
  <c r="D133" i="13"/>
  <c r="E133" i="13"/>
  <c r="C134" i="13"/>
  <c r="D134" i="13"/>
  <c r="E134" i="13"/>
  <c r="C135" i="13"/>
  <c r="D135" i="13"/>
  <c r="E135" i="13"/>
  <c r="C136" i="13"/>
  <c r="D136" i="13"/>
  <c r="E136" i="13"/>
  <c r="C137" i="13"/>
  <c r="D137" i="13"/>
  <c r="E137" i="13"/>
  <c r="C138" i="13"/>
  <c r="D138" i="13"/>
  <c r="E138" i="13"/>
  <c r="C139" i="13"/>
  <c r="D139" i="13"/>
  <c r="E139" i="13"/>
  <c r="C140" i="13"/>
  <c r="D140" i="13"/>
  <c r="E140" i="13"/>
  <c r="C141" i="13"/>
  <c r="D141" i="13"/>
  <c r="E141" i="13"/>
  <c r="C142" i="13"/>
  <c r="D142" i="13"/>
  <c r="E142" i="13"/>
  <c r="C143" i="13"/>
  <c r="D143" i="13"/>
  <c r="E143" i="13"/>
  <c r="C144" i="13"/>
  <c r="D144" i="13"/>
  <c r="E144" i="13"/>
  <c r="C145" i="13"/>
  <c r="D145" i="13"/>
  <c r="E145" i="13"/>
  <c r="C146" i="13"/>
  <c r="D146" i="13"/>
  <c r="E146" i="13"/>
  <c r="C147" i="13"/>
  <c r="D147" i="13"/>
  <c r="E147" i="13"/>
  <c r="C148" i="13"/>
  <c r="D148" i="13"/>
  <c r="E148" i="13"/>
  <c r="C149" i="13"/>
  <c r="D149" i="13"/>
  <c r="E149" i="13"/>
  <c r="C150" i="13"/>
  <c r="D150" i="13"/>
  <c r="E150" i="13"/>
  <c r="C151" i="13"/>
  <c r="D151" i="13"/>
  <c r="E151" i="13"/>
  <c r="C152" i="13"/>
  <c r="D152" i="13"/>
  <c r="E152" i="13"/>
  <c r="C153" i="13"/>
  <c r="D153" i="13"/>
  <c r="E153" i="13"/>
  <c r="C154" i="13"/>
  <c r="D154" i="13"/>
  <c r="E154" i="13"/>
  <c r="C155" i="13"/>
  <c r="D155" i="13"/>
  <c r="E155" i="13"/>
  <c r="C156" i="13"/>
  <c r="D156" i="13"/>
  <c r="E156" i="13"/>
  <c r="C157" i="13"/>
  <c r="D157" i="13"/>
  <c r="E157" i="13"/>
  <c r="C158" i="13"/>
  <c r="D158" i="13"/>
  <c r="E158" i="13"/>
  <c r="C159" i="13"/>
  <c r="D159" i="13"/>
  <c r="E159" i="13"/>
  <c r="C160" i="13"/>
  <c r="D160" i="13"/>
  <c r="E160" i="13"/>
  <c r="C161" i="13"/>
  <c r="D161" i="13"/>
  <c r="E161" i="13"/>
  <c r="C162" i="13"/>
  <c r="D162" i="13"/>
  <c r="E162" i="13"/>
  <c r="C163" i="13"/>
  <c r="D163" i="13"/>
  <c r="E163" i="13"/>
  <c r="C164" i="13"/>
  <c r="D164" i="13"/>
  <c r="E164" i="13"/>
  <c r="C165" i="13"/>
  <c r="D165" i="13"/>
  <c r="E165" i="13"/>
  <c r="C166" i="13"/>
  <c r="D166" i="13"/>
  <c r="E166" i="13"/>
  <c r="C167" i="13"/>
  <c r="D167" i="13"/>
  <c r="E167" i="13"/>
  <c r="C168" i="13"/>
  <c r="D168" i="13"/>
  <c r="E168" i="13"/>
  <c r="C169" i="13"/>
  <c r="D169" i="13"/>
  <c r="E169" i="13"/>
  <c r="C170" i="13"/>
  <c r="D170" i="13"/>
  <c r="E170" i="13"/>
  <c r="C171" i="13"/>
  <c r="D171" i="13"/>
  <c r="E171" i="13"/>
  <c r="C172" i="13"/>
  <c r="D172" i="13"/>
  <c r="E172" i="13"/>
  <c r="C173" i="13"/>
  <c r="D173" i="13"/>
  <c r="E173" i="13"/>
  <c r="C174" i="13"/>
  <c r="D174" i="13"/>
  <c r="E174" i="13"/>
  <c r="C175" i="13"/>
  <c r="D175" i="13"/>
  <c r="E175" i="13"/>
  <c r="C176" i="13"/>
  <c r="D176" i="13"/>
  <c r="E176" i="13"/>
  <c r="C177" i="13"/>
  <c r="D177" i="13"/>
  <c r="E177" i="13"/>
  <c r="C178" i="13"/>
  <c r="D178" i="13"/>
  <c r="E178" i="13"/>
  <c r="C179" i="13"/>
  <c r="D179" i="13"/>
  <c r="E179" i="13"/>
  <c r="C180" i="13"/>
  <c r="D180" i="13"/>
  <c r="E180" i="13"/>
  <c r="C181" i="13"/>
  <c r="D181" i="13"/>
  <c r="E181" i="13"/>
  <c r="C182" i="13"/>
  <c r="D182" i="13"/>
  <c r="E182" i="13"/>
  <c r="C183" i="13"/>
  <c r="D183" i="13"/>
  <c r="E183" i="13"/>
  <c r="C184" i="13"/>
  <c r="D184" i="13"/>
  <c r="E184" i="13"/>
  <c r="C185" i="13"/>
  <c r="D185" i="13"/>
  <c r="E185" i="13"/>
  <c r="C186" i="13"/>
  <c r="D186" i="13"/>
  <c r="E186" i="13"/>
  <c r="C187" i="13"/>
  <c r="D187" i="13"/>
  <c r="E187" i="13"/>
  <c r="C188" i="13"/>
  <c r="D188" i="13"/>
  <c r="E188" i="13"/>
  <c r="C189" i="13"/>
  <c r="D189" i="13"/>
  <c r="E189" i="13"/>
  <c r="C190" i="13"/>
  <c r="D190" i="13"/>
  <c r="E190" i="13"/>
  <c r="C191" i="13"/>
  <c r="D191" i="13"/>
  <c r="E191" i="13"/>
  <c r="C192" i="13"/>
  <c r="D192" i="13"/>
  <c r="E192" i="13"/>
  <c r="C193" i="13"/>
  <c r="D193" i="13"/>
  <c r="E193" i="13"/>
  <c r="C194" i="13"/>
  <c r="D194" i="13"/>
  <c r="E194" i="13"/>
  <c r="C195" i="13"/>
  <c r="D195" i="13"/>
  <c r="E195" i="13"/>
  <c r="C196" i="13"/>
  <c r="D196" i="13"/>
  <c r="E196" i="13"/>
  <c r="C197" i="13"/>
  <c r="D197" i="13"/>
  <c r="E197" i="13"/>
  <c r="C198" i="13"/>
  <c r="D198" i="13"/>
  <c r="E198" i="13"/>
  <c r="C199" i="13"/>
  <c r="D199" i="13"/>
  <c r="E199" i="13"/>
  <c r="C200" i="13"/>
  <c r="D200" i="13"/>
  <c r="E200" i="13"/>
  <c r="C201" i="13"/>
  <c r="D201" i="13"/>
  <c r="E201" i="13"/>
  <c r="C202" i="13"/>
  <c r="D202" i="13"/>
  <c r="E202" i="13"/>
  <c r="C203" i="13"/>
  <c r="D203" i="13"/>
  <c r="E203" i="13"/>
  <c r="C204" i="13"/>
  <c r="D204" i="13"/>
  <c r="E204" i="13"/>
  <c r="C205" i="13"/>
  <c r="D205" i="13"/>
  <c r="E205" i="13"/>
  <c r="C206" i="13"/>
  <c r="D206" i="13"/>
  <c r="E206" i="13"/>
  <c r="C207" i="13"/>
  <c r="D207" i="13"/>
  <c r="E207" i="13"/>
  <c r="C208" i="13"/>
  <c r="D208" i="13"/>
  <c r="E208" i="13"/>
  <c r="C209" i="13"/>
  <c r="D209" i="13"/>
  <c r="E209" i="13"/>
  <c r="C210" i="13"/>
  <c r="D210" i="13"/>
  <c r="E210" i="13"/>
  <c r="C211" i="13"/>
  <c r="D211" i="13"/>
  <c r="E211" i="13"/>
  <c r="C212" i="13"/>
  <c r="D212" i="13"/>
  <c r="E212" i="13"/>
  <c r="C213" i="13"/>
  <c r="D213" i="13"/>
  <c r="E213" i="13"/>
  <c r="C214" i="13"/>
  <c r="D214" i="13"/>
  <c r="E214" i="13"/>
  <c r="C215" i="13"/>
  <c r="D215" i="13"/>
  <c r="E215" i="13"/>
  <c r="C216" i="13"/>
  <c r="D216" i="13"/>
  <c r="E216" i="13"/>
  <c r="C217" i="13"/>
  <c r="D217" i="13"/>
  <c r="E217" i="13"/>
  <c r="C218" i="13"/>
  <c r="D218" i="13"/>
  <c r="E218" i="13"/>
  <c r="C219" i="13"/>
  <c r="D219" i="13"/>
  <c r="E219" i="13"/>
  <c r="C220" i="13"/>
  <c r="D220" i="13"/>
  <c r="E220" i="13"/>
  <c r="C221" i="13"/>
  <c r="D221" i="13"/>
  <c r="E221" i="13"/>
  <c r="C222" i="13"/>
  <c r="D222" i="13"/>
  <c r="E222" i="13"/>
  <c r="C223" i="13"/>
  <c r="D223" i="13"/>
  <c r="E223" i="13"/>
  <c r="C224" i="13"/>
  <c r="D224" i="13"/>
  <c r="E224" i="13"/>
  <c r="C225" i="13"/>
  <c r="D225" i="13"/>
  <c r="E225" i="13"/>
  <c r="C226" i="13"/>
  <c r="D226" i="13"/>
  <c r="E226" i="13"/>
  <c r="C227" i="13"/>
  <c r="D227" i="13"/>
  <c r="E227" i="13"/>
  <c r="C228" i="13"/>
  <c r="D228" i="13"/>
  <c r="E228" i="13"/>
  <c r="C229" i="13"/>
  <c r="D229" i="13"/>
  <c r="E229" i="13"/>
  <c r="C230" i="13"/>
  <c r="D230" i="13"/>
  <c r="E230" i="13"/>
  <c r="C231" i="13"/>
  <c r="D231" i="13"/>
  <c r="E231" i="13"/>
  <c r="C232" i="13"/>
  <c r="D232" i="13"/>
  <c r="E232" i="13"/>
  <c r="C233" i="13"/>
  <c r="D233" i="13"/>
  <c r="E233" i="13"/>
  <c r="C234" i="13"/>
  <c r="D234" i="13"/>
  <c r="E234" i="13"/>
  <c r="C235" i="13"/>
  <c r="D235" i="13"/>
  <c r="E235" i="13"/>
  <c r="C236" i="13"/>
  <c r="D236" i="13"/>
  <c r="E236" i="13"/>
  <c r="C237" i="13"/>
  <c r="D237" i="13"/>
  <c r="E237" i="13"/>
  <c r="C238" i="13"/>
  <c r="D238" i="13"/>
  <c r="E238" i="13"/>
  <c r="C239" i="13"/>
  <c r="D239" i="13"/>
  <c r="E239" i="13"/>
  <c r="C240" i="13"/>
  <c r="D240" i="13"/>
  <c r="E240" i="13"/>
  <c r="C241" i="13"/>
  <c r="D241" i="13"/>
  <c r="E241" i="13"/>
  <c r="C242" i="13"/>
  <c r="D242" i="13"/>
  <c r="E242" i="13"/>
  <c r="C243" i="13"/>
  <c r="D243" i="13"/>
  <c r="E243" i="13"/>
  <c r="C244" i="13"/>
  <c r="D244" i="13"/>
  <c r="E244" i="13"/>
  <c r="C245" i="13"/>
  <c r="D245" i="13"/>
  <c r="E245" i="13"/>
  <c r="C246" i="13"/>
  <c r="D246" i="13"/>
  <c r="E246" i="13"/>
  <c r="C247" i="13"/>
  <c r="D247" i="13"/>
  <c r="E247" i="13"/>
  <c r="C248" i="13"/>
  <c r="D248" i="13"/>
  <c r="E248" i="13"/>
  <c r="C249" i="13"/>
  <c r="D249" i="13"/>
  <c r="E249" i="13"/>
  <c r="C250" i="13"/>
  <c r="D250" i="13"/>
  <c r="E250" i="13"/>
  <c r="C251" i="13"/>
  <c r="D251" i="13"/>
  <c r="E251" i="13"/>
  <c r="C252" i="13"/>
  <c r="D252" i="13"/>
  <c r="E252" i="13"/>
  <c r="C253" i="13"/>
  <c r="D253" i="13"/>
  <c r="E253" i="13"/>
  <c r="C254" i="13"/>
  <c r="D254" i="13"/>
  <c r="E254" i="13"/>
  <c r="C255" i="13"/>
  <c r="D255" i="13"/>
  <c r="E255" i="13"/>
  <c r="C256" i="13"/>
  <c r="D256" i="13"/>
  <c r="E256" i="13"/>
  <c r="C257" i="13"/>
  <c r="D257" i="13"/>
  <c r="E257" i="13"/>
  <c r="C258" i="13"/>
  <c r="D258" i="13"/>
  <c r="E258" i="13"/>
  <c r="C259" i="13"/>
  <c r="D259" i="13"/>
  <c r="E259" i="13"/>
  <c r="C260" i="13"/>
  <c r="D260" i="13"/>
  <c r="E260" i="13"/>
  <c r="C261" i="13"/>
  <c r="D261" i="13"/>
  <c r="E261" i="13"/>
  <c r="C262" i="13"/>
  <c r="D262" i="13"/>
  <c r="E262" i="13"/>
  <c r="C263" i="13"/>
  <c r="D263" i="13"/>
  <c r="E263" i="13"/>
  <c r="C264" i="13"/>
  <c r="D264" i="13"/>
  <c r="E264" i="13"/>
  <c r="C265" i="13"/>
  <c r="D265" i="13"/>
  <c r="E265" i="13"/>
  <c r="C266" i="13"/>
  <c r="D266" i="13"/>
  <c r="E266" i="13"/>
  <c r="C267" i="13"/>
  <c r="D267" i="13"/>
  <c r="E267" i="13"/>
  <c r="C268" i="13"/>
  <c r="D268" i="13"/>
  <c r="E268" i="13"/>
  <c r="C269" i="13"/>
  <c r="D269" i="13"/>
  <c r="E269" i="13"/>
  <c r="C270" i="13"/>
  <c r="D270" i="13"/>
  <c r="E270" i="13"/>
  <c r="C271" i="13"/>
  <c r="D271" i="13"/>
  <c r="E271" i="13"/>
  <c r="C272" i="13"/>
  <c r="D272" i="13"/>
  <c r="E272" i="13"/>
  <c r="C273" i="13"/>
  <c r="D273" i="13"/>
  <c r="E273" i="13"/>
  <c r="C274" i="13"/>
  <c r="D274" i="13"/>
  <c r="E274" i="13"/>
  <c r="C275" i="13"/>
  <c r="D275" i="13"/>
  <c r="E275" i="13"/>
  <c r="C276" i="13"/>
  <c r="D276" i="13"/>
  <c r="E276" i="13"/>
  <c r="C277" i="13"/>
  <c r="D277" i="13"/>
  <c r="E277" i="13"/>
  <c r="C278" i="13"/>
  <c r="D278" i="13"/>
  <c r="E278" i="13"/>
  <c r="C279" i="13"/>
  <c r="D279" i="13"/>
  <c r="E279" i="13"/>
  <c r="C280" i="13"/>
  <c r="D280" i="13"/>
  <c r="E280" i="13"/>
  <c r="C281" i="13"/>
  <c r="D281" i="13"/>
  <c r="E281" i="13"/>
  <c r="C282" i="13"/>
  <c r="D282" i="13"/>
  <c r="E282" i="13"/>
  <c r="C283" i="13"/>
  <c r="D283" i="13"/>
  <c r="E283" i="13"/>
  <c r="C284" i="13"/>
  <c r="D284" i="13"/>
  <c r="E284" i="13"/>
  <c r="C285" i="13"/>
  <c r="D285" i="13"/>
  <c r="E285" i="13"/>
  <c r="C286" i="13"/>
  <c r="D286" i="13"/>
  <c r="E286" i="13"/>
  <c r="C287" i="13"/>
  <c r="D287" i="13"/>
  <c r="E287" i="13"/>
  <c r="C288" i="13"/>
  <c r="D288" i="13"/>
  <c r="E288" i="13"/>
  <c r="C289" i="13"/>
  <c r="D289" i="13"/>
  <c r="E289" i="13"/>
  <c r="C290" i="13"/>
  <c r="D290" i="13"/>
  <c r="E290" i="13"/>
  <c r="C291" i="13"/>
  <c r="D291" i="13"/>
  <c r="E291" i="13"/>
  <c r="C292" i="13"/>
  <c r="D292" i="13"/>
  <c r="E292" i="13"/>
  <c r="C293" i="13"/>
  <c r="D293" i="13"/>
  <c r="E293" i="13"/>
  <c r="C294" i="13"/>
  <c r="D294" i="13"/>
  <c r="E294" i="13"/>
  <c r="C295" i="13"/>
  <c r="D295" i="13"/>
  <c r="E295" i="13"/>
  <c r="C296" i="13"/>
  <c r="D296" i="13"/>
  <c r="E296" i="13"/>
  <c r="C297" i="13"/>
  <c r="D297" i="13"/>
  <c r="E297" i="13"/>
  <c r="C298" i="13"/>
  <c r="D298" i="13"/>
  <c r="E298" i="13"/>
  <c r="C299" i="13"/>
  <c r="D299" i="13"/>
  <c r="E299" i="13"/>
  <c r="C300" i="13"/>
  <c r="D300" i="13"/>
  <c r="E300" i="13"/>
  <c r="C301" i="13"/>
  <c r="D301" i="13"/>
  <c r="E301" i="13"/>
  <c r="C302" i="13"/>
  <c r="D302" i="13"/>
  <c r="E302" i="13"/>
  <c r="C303" i="13"/>
  <c r="D303" i="13"/>
  <c r="E303" i="13"/>
  <c r="C304" i="13"/>
  <c r="D304" i="13"/>
  <c r="E304" i="13"/>
  <c r="C305" i="13"/>
  <c r="D305" i="13"/>
  <c r="E305" i="13"/>
  <c r="C306" i="13"/>
  <c r="D306" i="13"/>
  <c r="E306" i="13"/>
  <c r="C307" i="13"/>
  <c r="D307" i="13"/>
  <c r="E307" i="13"/>
  <c r="C308" i="13"/>
  <c r="D308" i="13"/>
  <c r="E308" i="13"/>
  <c r="C309" i="13"/>
  <c r="D309" i="13"/>
  <c r="E309" i="13"/>
  <c r="C310" i="13"/>
  <c r="D310" i="13"/>
  <c r="E310" i="13"/>
  <c r="C311" i="13"/>
  <c r="D311" i="13"/>
  <c r="E311" i="13"/>
  <c r="C312" i="13"/>
  <c r="D312" i="13"/>
  <c r="E312" i="13"/>
  <c r="C313" i="13"/>
  <c r="D313" i="13"/>
  <c r="E313" i="13"/>
  <c r="C314" i="13"/>
  <c r="D314" i="13"/>
  <c r="E314" i="13"/>
  <c r="C315" i="13"/>
  <c r="D315" i="13"/>
  <c r="E315" i="13"/>
  <c r="C316" i="13"/>
  <c r="D316" i="13"/>
  <c r="E316" i="13"/>
  <c r="C317" i="13"/>
  <c r="D317" i="13"/>
  <c r="E317" i="13"/>
  <c r="C318" i="13"/>
  <c r="D318" i="13"/>
  <c r="E318" i="13"/>
  <c r="C319" i="13"/>
  <c r="D319" i="13"/>
  <c r="E319" i="13"/>
  <c r="C320" i="13"/>
  <c r="D320" i="13"/>
  <c r="E320" i="13"/>
  <c r="C321" i="13"/>
  <c r="D321" i="13"/>
  <c r="E321" i="13"/>
  <c r="C322" i="13"/>
  <c r="D322" i="13"/>
  <c r="E322" i="13"/>
  <c r="C323" i="13"/>
  <c r="D323" i="13"/>
  <c r="E323" i="13"/>
  <c r="C324" i="13"/>
  <c r="D324" i="13"/>
  <c r="E324" i="13"/>
  <c r="C325" i="13"/>
  <c r="D325" i="13"/>
  <c r="E325" i="13"/>
  <c r="C326" i="13"/>
  <c r="D326" i="13"/>
  <c r="E326" i="13"/>
  <c r="C327" i="13"/>
  <c r="D327" i="13"/>
  <c r="E327" i="13"/>
  <c r="C328" i="13"/>
  <c r="D328" i="13"/>
  <c r="E328" i="13"/>
  <c r="C329" i="13"/>
  <c r="D329" i="13"/>
  <c r="E329" i="13"/>
  <c r="C330" i="13"/>
  <c r="D330" i="13"/>
  <c r="E330" i="13"/>
  <c r="C331" i="13"/>
  <c r="D331" i="13"/>
  <c r="E331" i="13"/>
  <c r="C332" i="13"/>
  <c r="D332" i="13"/>
  <c r="E332" i="13"/>
  <c r="C333" i="13"/>
  <c r="D333" i="13"/>
  <c r="E333" i="13"/>
  <c r="C334" i="13"/>
  <c r="D334" i="13"/>
  <c r="E334" i="13"/>
  <c r="C335" i="13"/>
  <c r="D335" i="13"/>
  <c r="E335" i="13"/>
  <c r="C336" i="13"/>
  <c r="D336" i="13"/>
  <c r="E336" i="13"/>
  <c r="C337" i="13"/>
  <c r="D337" i="13"/>
  <c r="E337" i="13"/>
  <c r="C338" i="13"/>
  <c r="D338" i="13"/>
  <c r="E338" i="13"/>
  <c r="C339" i="13"/>
  <c r="D339" i="13"/>
  <c r="E339" i="13"/>
  <c r="C340" i="13"/>
  <c r="D340" i="13"/>
  <c r="E340" i="13"/>
  <c r="C341" i="13"/>
  <c r="D341" i="13"/>
  <c r="E341" i="13"/>
  <c r="C342" i="13"/>
  <c r="D342" i="13"/>
  <c r="E342" i="13"/>
  <c r="C343" i="13"/>
  <c r="D343" i="13"/>
  <c r="E343" i="13"/>
  <c r="C344" i="13"/>
  <c r="D344" i="13"/>
  <c r="E344" i="13"/>
  <c r="C345" i="13"/>
  <c r="D345" i="13"/>
  <c r="E345" i="13"/>
  <c r="C346" i="13"/>
  <c r="D346" i="13"/>
  <c r="E346" i="13"/>
  <c r="C347" i="13"/>
  <c r="D347" i="13"/>
  <c r="E347" i="13"/>
  <c r="C348" i="13"/>
  <c r="D348" i="13"/>
  <c r="E348" i="13"/>
  <c r="C349" i="13"/>
  <c r="D349" i="13"/>
  <c r="E349" i="13"/>
  <c r="C350" i="13"/>
  <c r="D350" i="13"/>
  <c r="E350" i="13"/>
  <c r="C351" i="13"/>
  <c r="D351" i="13"/>
  <c r="E351" i="13"/>
  <c r="C352" i="13"/>
  <c r="D352" i="13"/>
  <c r="E352" i="13"/>
  <c r="C353" i="13"/>
  <c r="D353" i="13"/>
  <c r="E353" i="13"/>
  <c r="C354" i="13"/>
  <c r="D354" i="13"/>
  <c r="E354" i="13"/>
  <c r="C355" i="13"/>
  <c r="D355" i="13"/>
  <c r="E355" i="13"/>
  <c r="C356" i="13"/>
  <c r="D356" i="13"/>
  <c r="E356" i="13"/>
  <c r="C357" i="13"/>
  <c r="D357" i="13"/>
  <c r="E357" i="13"/>
  <c r="C358" i="13"/>
  <c r="D358" i="13"/>
  <c r="E358" i="13"/>
  <c r="C359" i="13"/>
  <c r="D359" i="13"/>
  <c r="E359" i="13"/>
  <c r="C360" i="13"/>
  <c r="D360" i="13"/>
  <c r="E360" i="13"/>
  <c r="C361" i="13"/>
  <c r="D361" i="13"/>
  <c r="E361" i="13"/>
  <c r="C362" i="13"/>
  <c r="D362" i="13"/>
  <c r="E362" i="13"/>
  <c r="C363" i="13"/>
  <c r="D363" i="13"/>
  <c r="E363" i="13"/>
  <c r="C364" i="13"/>
  <c r="D364" i="13"/>
  <c r="E364" i="13"/>
  <c r="C365" i="13"/>
  <c r="D365" i="13"/>
  <c r="E365" i="13"/>
  <c r="C366" i="13"/>
  <c r="D366" i="13"/>
  <c r="E366" i="13"/>
  <c r="C367" i="13"/>
  <c r="D367" i="13"/>
  <c r="E367" i="13"/>
  <c r="C368" i="13"/>
  <c r="D368" i="13"/>
  <c r="E368" i="13"/>
  <c r="C369" i="13"/>
  <c r="D369" i="13"/>
  <c r="E369" i="13"/>
  <c r="C370" i="13"/>
  <c r="D370" i="13"/>
  <c r="E370" i="13"/>
  <c r="C371" i="13"/>
  <c r="D371" i="13"/>
  <c r="E371" i="13"/>
  <c r="C372" i="13"/>
  <c r="D372" i="13"/>
  <c r="E372" i="13"/>
  <c r="C373" i="13"/>
  <c r="D373" i="13"/>
  <c r="E373" i="13"/>
  <c r="C374" i="13"/>
  <c r="D374" i="13"/>
  <c r="E374" i="13"/>
  <c r="C375" i="13"/>
  <c r="D375" i="13"/>
  <c r="E375" i="13"/>
  <c r="C376" i="13"/>
  <c r="D376" i="13"/>
  <c r="E376" i="13"/>
  <c r="C377" i="13"/>
  <c r="D377" i="13"/>
  <c r="E377" i="13"/>
  <c r="C378" i="13"/>
  <c r="D378" i="13"/>
  <c r="E378" i="13"/>
  <c r="C379" i="13"/>
  <c r="D379" i="13"/>
  <c r="E379" i="13"/>
  <c r="C380" i="13"/>
  <c r="D380" i="13"/>
  <c r="E380" i="13"/>
  <c r="C381" i="13"/>
  <c r="D381" i="13"/>
  <c r="E381" i="13"/>
  <c r="C382" i="13"/>
  <c r="D382" i="13"/>
  <c r="E382" i="13"/>
  <c r="C383" i="13"/>
  <c r="D383" i="13"/>
  <c r="E383" i="13"/>
  <c r="C384" i="13"/>
  <c r="D384" i="13"/>
  <c r="E384" i="13"/>
  <c r="C385" i="13"/>
  <c r="D385" i="13"/>
  <c r="E385" i="13"/>
  <c r="C386" i="13"/>
  <c r="D386" i="13"/>
  <c r="E386" i="13"/>
  <c r="C387" i="13"/>
  <c r="D387" i="13"/>
  <c r="E387" i="13"/>
  <c r="C388" i="13"/>
  <c r="D388" i="13"/>
  <c r="E388" i="13"/>
  <c r="C389" i="13"/>
  <c r="D389" i="13"/>
  <c r="E389" i="13"/>
  <c r="C390" i="13"/>
  <c r="D390" i="13"/>
  <c r="E390" i="13"/>
  <c r="C391" i="13"/>
  <c r="D391" i="13"/>
  <c r="E391" i="13"/>
  <c r="C392" i="13"/>
  <c r="D392" i="13"/>
  <c r="E392" i="13"/>
  <c r="C393" i="13"/>
  <c r="D393" i="13"/>
  <c r="E393" i="13"/>
  <c r="C394" i="13"/>
  <c r="D394" i="13"/>
  <c r="E394" i="13"/>
  <c r="C395" i="13"/>
  <c r="D395" i="13"/>
  <c r="E395" i="13"/>
  <c r="C396" i="13"/>
  <c r="D396" i="13"/>
  <c r="E396" i="13"/>
  <c r="C397" i="13"/>
  <c r="D397" i="13"/>
  <c r="E397" i="13"/>
  <c r="C398" i="13"/>
  <c r="D398" i="13"/>
  <c r="E398" i="13"/>
  <c r="C399" i="13"/>
  <c r="D399" i="13"/>
  <c r="E399" i="13"/>
  <c r="C400" i="13"/>
  <c r="D400" i="13"/>
  <c r="E400" i="13"/>
  <c r="C401" i="13"/>
  <c r="D401" i="13"/>
  <c r="E401" i="13"/>
  <c r="C402" i="13"/>
  <c r="D402" i="13"/>
  <c r="E402" i="13"/>
  <c r="C403" i="13"/>
  <c r="D403" i="13"/>
  <c r="E403" i="13"/>
  <c r="C404" i="13"/>
  <c r="D404" i="13"/>
  <c r="E404" i="13"/>
  <c r="C405" i="13"/>
  <c r="D405" i="13"/>
  <c r="E405" i="13"/>
  <c r="C406" i="13"/>
  <c r="D406" i="13"/>
  <c r="E406" i="13"/>
  <c r="C407" i="13"/>
  <c r="D407" i="13"/>
  <c r="E407" i="13"/>
  <c r="C408" i="13"/>
  <c r="D408" i="13"/>
  <c r="E408" i="13"/>
  <c r="C409" i="13"/>
  <c r="D409" i="13"/>
  <c r="E409" i="13"/>
  <c r="C410" i="13"/>
  <c r="D410" i="13"/>
  <c r="E410" i="13"/>
  <c r="C411" i="13"/>
  <c r="D411" i="13"/>
  <c r="E411" i="13"/>
  <c r="C412" i="13"/>
  <c r="D412" i="13"/>
  <c r="E412" i="13"/>
  <c r="C413" i="13"/>
  <c r="D413" i="13"/>
  <c r="E413" i="13"/>
  <c r="C414" i="13"/>
  <c r="D414" i="13"/>
  <c r="E414" i="13"/>
  <c r="C415" i="13"/>
  <c r="D415" i="13"/>
  <c r="E415" i="13"/>
  <c r="C416" i="13"/>
  <c r="D416" i="13"/>
  <c r="E416" i="13"/>
  <c r="C417" i="13"/>
  <c r="D417" i="13"/>
  <c r="E417" i="13"/>
  <c r="C418" i="13"/>
  <c r="D418" i="13"/>
  <c r="E418" i="13"/>
  <c r="C419" i="13"/>
  <c r="D419" i="13"/>
  <c r="E419" i="13"/>
  <c r="C420" i="13"/>
  <c r="D420" i="13"/>
  <c r="E420" i="13"/>
  <c r="C421" i="13"/>
  <c r="D421" i="13"/>
  <c r="E421" i="13"/>
  <c r="C422" i="13"/>
  <c r="D422" i="13"/>
  <c r="E422" i="13"/>
  <c r="C423" i="13"/>
  <c r="D423" i="13"/>
  <c r="E423" i="13"/>
  <c r="C424" i="13"/>
  <c r="D424" i="13"/>
  <c r="E424" i="13"/>
  <c r="C425" i="13"/>
  <c r="D425" i="13"/>
  <c r="E425" i="13"/>
  <c r="C426" i="13"/>
  <c r="D426" i="13"/>
  <c r="E426" i="13"/>
  <c r="C427" i="13"/>
  <c r="D427" i="13"/>
  <c r="E427" i="13"/>
  <c r="C428" i="13"/>
  <c r="D428" i="13"/>
  <c r="E428" i="13"/>
  <c r="C429" i="13"/>
  <c r="D429" i="13"/>
  <c r="E429" i="13"/>
  <c r="C430" i="13"/>
  <c r="D430" i="13"/>
  <c r="E430" i="13"/>
  <c r="C431" i="13"/>
  <c r="D431" i="13"/>
  <c r="E431" i="13"/>
  <c r="C432" i="13"/>
  <c r="D432" i="13"/>
  <c r="E432" i="13"/>
  <c r="C433" i="13"/>
  <c r="D433" i="13"/>
  <c r="E433" i="13"/>
  <c r="C434" i="13"/>
  <c r="D434" i="13"/>
  <c r="E434" i="13"/>
  <c r="C435" i="13"/>
  <c r="D435" i="13"/>
  <c r="E435" i="13"/>
  <c r="C436" i="13"/>
  <c r="D436" i="13"/>
  <c r="E436" i="13"/>
  <c r="C437" i="13"/>
  <c r="D437" i="13"/>
  <c r="E437" i="13"/>
  <c r="C438" i="13"/>
  <c r="D438" i="13"/>
  <c r="E438" i="13"/>
  <c r="C439" i="13"/>
  <c r="D439" i="13"/>
  <c r="E439" i="13"/>
  <c r="C440" i="13"/>
  <c r="D440" i="13"/>
  <c r="E440" i="13"/>
  <c r="C441" i="13"/>
  <c r="D441" i="13"/>
  <c r="E441" i="13"/>
  <c r="C442" i="13"/>
  <c r="D442" i="13"/>
  <c r="E442" i="13"/>
  <c r="C443" i="13"/>
  <c r="D443" i="13"/>
  <c r="E443" i="13"/>
  <c r="C444" i="13"/>
  <c r="D444" i="13"/>
  <c r="E444" i="13"/>
  <c r="C445" i="13"/>
  <c r="D445" i="13"/>
  <c r="E445" i="13"/>
  <c r="C446" i="13"/>
  <c r="D446" i="13"/>
  <c r="E446" i="13"/>
  <c r="C447" i="13"/>
  <c r="D447" i="13"/>
  <c r="E447" i="13"/>
  <c r="C448" i="13"/>
  <c r="D448" i="13"/>
  <c r="E448" i="13"/>
  <c r="C449" i="13"/>
  <c r="D449" i="13"/>
  <c r="E449" i="13"/>
  <c r="C450" i="13"/>
  <c r="D450" i="13"/>
  <c r="E450" i="13"/>
  <c r="C451" i="13"/>
  <c r="D451" i="13"/>
  <c r="E451" i="13"/>
  <c r="C452" i="13"/>
  <c r="D452" i="13"/>
  <c r="E452" i="13"/>
  <c r="C453" i="13"/>
  <c r="D453" i="13"/>
  <c r="E453" i="13"/>
  <c r="C454" i="13"/>
  <c r="D454" i="13"/>
  <c r="E454" i="13"/>
  <c r="C455" i="13"/>
  <c r="D455" i="13"/>
  <c r="E455" i="13"/>
  <c r="C456" i="13"/>
  <c r="D456" i="13"/>
  <c r="E456" i="13"/>
  <c r="C457" i="13"/>
  <c r="D457" i="13"/>
  <c r="E457" i="13"/>
  <c r="C458" i="13"/>
  <c r="D458" i="13"/>
  <c r="E458" i="13"/>
  <c r="C459" i="13"/>
  <c r="D459" i="13"/>
  <c r="E459" i="13"/>
  <c r="C460" i="13"/>
  <c r="D460" i="13"/>
  <c r="E460" i="13"/>
  <c r="C461" i="13"/>
  <c r="D461" i="13"/>
  <c r="E461" i="13"/>
  <c r="C462" i="13"/>
  <c r="D462" i="13"/>
  <c r="E462" i="13"/>
  <c r="C463" i="13"/>
  <c r="D463" i="13"/>
  <c r="E463" i="13"/>
  <c r="C464" i="13"/>
  <c r="D464" i="13"/>
  <c r="E464" i="13"/>
  <c r="C465" i="13"/>
  <c r="D465" i="13"/>
  <c r="E465" i="13"/>
  <c r="C466" i="13"/>
  <c r="D466" i="13"/>
  <c r="E466" i="13"/>
  <c r="C467" i="13"/>
  <c r="D467" i="13"/>
  <c r="E467" i="13"/>
  <c r="C468" i="13"/>
  <c r="D468" i="13"/>
  <c r="E468" i="13"/>
  <c r="C469" i="13"/>
  <c r="D469" i="13"/>
  <c r="E469" i="13"/>
  <c r="C470" i="13"/>
  <c r="D470" i="13"/>
  <c r="E470" i="13"/>
  <c r="C471" i="13"/>
  <c r="D471" i="13"/>
  <c r="E471" i="13"/>
  <c r="C472" i="13"/>
  <c r="D472" i="13"/>
  <c r="E472" i="13"/>
  <c r="C473" i="13"/>
  <c r="D473" i="13"/>
  <c r="E473" i="13"/>
  <c r="C474" i="13"/>
  <c r="D474" i="13"/>
  <c r="E474" i="13"/>
  <c r="C475" i="13"/>
  <c r="D475" i="13"/>
  <c r="E475" i="13"/>
  <c r="C476" i="13"/>
  <c r="D476" i="13"/>
  <c r="E476" i="13"/>
  <c r="C477" i="13"/>
  <c r="D477" i="13"/>
  <c r="E477" i="13"/>
  <c r="C478" i="13"/>
  <c r="D478" i="13"/>
  <c r="E478" i="13"/>
  <c r="C479" i="13"/>
  <c r="D479" i="13"/>
  <c r="E479" i="13"/>
  <c r="C480" i="13"/>
  <c r="D480" i="13"/>
  <c r="E480" i="13"/>
  <c r="C481" i="13"/>
  <c r="D481" i="13"/>
  <c r="E481" i="13"/>
  <c r="C482" i="13"/>
  <c r="D482" i="13"/>
  <c r="E482" i="13"/>
  <c r="C483" i="13"/>
  <c r="D483" i="13"/>
  <c r="E483" i="13"/>
  <c r="C484" i="13"/>
  <c r="D484" i="13"/>
  <c r="E484" i="13"/>
  <c r="C485" i="13"/>
  <c r="D485" i="13"/>
  <c r="E485" i="13"/>
  <c r="C486" i="13"/>
  <c r="D486" i="13"/>
  <c r="E486" i="13"/>
  <c r="C487" i="13"/>
  <c r="D487" i="13"/>
  <c r="E487" i="13"/>
  <c r="C488" i="13"/>
  <c r="D488" i="13"/>
  <c r="E488" i="13"/>
  <c r="C489" i="13"/>
  <c r="D489" i="13"/>
  <c r="E489" i="13"/>
  <c r="C490" i="13"/>
  <c r="D490" i="13"/>
  <c r="E490" i="13"/>
  <c r="C491" i="13"/>
  <c r="D491" i="13"/>
  <c r="E491" i="13"/>
  <c r="C492" i="13"/>
  <c r="D492" i="13"/>
  <c r="E492" i="13"/>
  <c r="C493" i="13"/>
  <c r="D493" i="13"/>
  <c r="E493" i="13"/>
  <c r="C494" i="13"/>
  <c r="D494" i="13"/>
  <c r="E494" i="13"/>
  <c r="C495" i="13"/>
  <c r="D495" i="13"/>
  <c r="E495" i="13"/>
  <c r="C496" i="13"/>
  <c r="D496" i="13"/>
  <c r="E496" i="13"/>
  <c r="C497" i="13"/>
  <c r="D497" i="13"/>
  <c r="E497" i="13"/>
  <c r="C498" i="13"/>
  <c r="D498" i="13"/>
  <c r="E498" i="13"/>
  <c r="C499" i="13"/>
  <c r="D499" i="13"/>
  <c r="E499" i="13"/>
  <c r="C500" i="13"/>
  <c r="D500" i="13"/>
  <c r="E500" i="13"/>
  <c r="C501" i="13"/>
  <c r="D501" i="13"/>
  <c r="E501" i="13"/>
  <c r="C502" i="13"/>
  <c r="D502" i="13"/>
  <c r="E502" i="13"/>
  <c r="C503" i="13"/>
  <c r="D503" i="13"/>
  <c r="E503" i="13"/>
  <c r="C504" i="13"/>
  <c r="D504" i="13"/>
  <c r="E504" i="13"/>
  <c r="C505" i="13"/>
  <c r="D505" i="13"/>
  <c r="E505" i="13"/>
  <c r="C506" i="13"/>
  <c r="D506" i="13"/>
  <c r="E506" i="13"/>
  <c r="C507" i="13"/>
  <c r="D507" i="13"/>
  <c r="E507" i="13"/>
  <c r="C508" i="13"/>
  <c r="D508" i="13"/>
  <c r="E508" i="13"/>
  <c r="C509" i="13"/>
  <c r="D509" i="13"/>
  <c r="E509" i="13"/>
  <c r="C510" i="13"/>
  <c r="D510" i="13"/>
  <c r="E510" i="13"/>
  <c r="C511" i="13"/>
  <c r="D511" i="13"/>
  <c r="E511" i="13"/>
  <c r="C512" i="13"/>
  <c r="D512" i="13"/>
  <c r="E512" i="13"/>
  <c r="C513" i="13"/>
  <c r="D513" i="13"/>
  <c r="E513" i="13"/>
  <c r="C514" i="13"/>
  <c r="D514" i="13"/>
  <c r="E514" i="13"/>
  <c r="C515" i="13"/>
  <c r="D515" i="13"/>
  <c r="E515" i="13"/>
  <c r="C516" i="13"/>
  <c r="D516" i="13"/>
  <c r="E516" i="13"/>
  <c r="C517" i="13"/>
  <c r="D517" i="13"/>
  <c r="E517" i="13"/>
  <c r="C518" i="13"/>
  <c r="D518" i="13"/>
  <c r="E518" i="13"/>
  <c r="C519" i="13"/>
  <c r="D519" i="13"/>
  <c r="E519" i="13"/>
  <c r="C520" i="13"/>
  <c r="D520" i="13"/>
  <c r="E520" i="13"/>
  <c r="C521" i="13"/>
  <c r="D521" i="13"/>
  <c r="E521" i="13"/>
  <c r="C522" i="13"/>
  <c r="D522" i="13"/>
  <c r="E522" i="13"/>
  <c r="C523" i="13"/>
  <c r="D523" i="13"/>
  <c r="E523" i="13"/>
  <c r="C524" i="13"/>
  <c r="D524" i="13"/>
  <c r="E524" i="13"/>
  <c r="C525" i="13"/>
  <c r="D525" i="13"/>
  <c r="E525" i="13"/>
  <c r="C526" i="13"/>
  <c r="D526" i="13"/>
  <c r="E526" i="13"/>
  <c r="C527" i="13"/>
  <c r="D527" i="13"/>
  <c r="E527" i="13"/>
  <c r="C528" i="13"/>
  <c r="D528" i="13"/>
  <c r="E528" i="13"/>
  <c r="C529" i="13"/>
  <c r="D529" i="13"/>
  <c r="E529" i="13"/>
  <c r="C530" i="13"/>
  <c r="D530" i="13"/>
  <c r="E530" i="13"/>
  <c r="C531" i="13"/>
  <c r="D531" i="13"/>
  <c r="E531" i="13"/>
  <c r="C532" i="13"/>
  <c r="D532" i="13"/>
  <c r="E532" i="13"/>
  <c r="C533" i="13"/>
  <c r="D533" i="13"/>
  <c r="E533" i="13"/>
  <c r="C534" i="13"/>
  <c r="D534" i="13"/>
  <c r="E534" i="13"/>
  <c r="C535" i="13"/>
  <c r="D535" i="13"/>
  <c r="E535" i="13"/>
  <c r="C536" i="13"/>
  <c r="D536" i="13"/>
  <c r="E536" i="13"/>
  <c r="C537" i="13"/>
  <c r="D537" i="13"/>
  <c r="E537" i="13"/>
  <c r="C538" i="13"/>
  <c r="D538" i="13"/>
  <c r="E538" i="13"/>
  <c r="C539" i="13"/>
  <c r="D539" i="13"/>
  <c r="E539" i="13"/>
  <c r="C540" i="13"/>
  <c r="D540" i="13"/>
  <c r="E540" i="13"/>
  <c r="C541" i="13"/>
  <c r="D541" i="13"/>
  <c r="E541" i="13"/>
  <c r="C542" i="13"/>
  <c r="D542" i="13"/>
  <c r="E542" i="13"/>
  <c r="C543" i="13"/>
  <c r="D543" i="13"/>
  <c r="E543" i="13"/>
  <c r="C544" i="13"/>
  <c r="D544" i="13"/>
  <c r="E544" i="13"/>
  <c r="C545" i="13"/>
  <c r="D545" i="13"/>
  <c r="E545" i="13"/>
  <c r="C546" i="13"/>
  <c r="D546" i="13"/>
  <c r="E546" i="13"/>
  <c r="C547" i="13"/>
  <c r="D547" i="13"/>
  <c r="E547" i="13"/>
  <c r="C548" i="13"/>
  <c r="D548" i="13"/>
  <c r="E548" i="13"/>
  <c r="C549" i="13"/>
  <c r="D549" i="13"/>
  <c r="E549" i="13"/>
  <c r="C550" i="13"/>
  <c r="D550" i="13"/>
  <c r="E550" i="13"/>
  <c r="C551" i="13"/>
  <c r="D551" i="13"/>
  <c r="E551" i="13"/>
  <c r="C552" i="13"/>
  <c r="D552" i="13"/>
  <c r="E552" i="13"/>
  <c r="C553" i="13"/>
  <c r="D553" i="13"/>
  <c r="E553" i="13"/>
  <c r="C554" i="13"/>
  <c r="D554" i="13"/>
  <c r="E554" i="13"/>
  <c r="C555" i="13"/>
  <c r="D555" i="13"/>
  <c r="E555" i="13"/>
  <c r="C556" i="13"/>
  <c r="D556" i="13"/>
  <c r="E556" i="13"/>
  <c r="C557" i="13"/>
  <c r="D557" i="13"/>
  <c r="E557" i="13"/>
  <c r="C558" i="13"/>
  <c r="D558" i="13"/>
  <c r="E558" i="13"/>
  <c r="C559" i="13"/>
  <c r="D559" i="13"/>
  <c r="E559" i="13"/>
  <c r="C560" i="13"/>
  <c r="D560" i="13"/>
  <c r="E560" i="13"/>
  <c r="C561" i="13"/>
  <c r="D561" i="13"/>
  <c r="E561" i="13"/>
  <c r="C562" i="13"/>
  <c r="D562" i="13"/>
  <c r="E562" i="13"/>
  <c r="C563" i="13"/>
  <c r="D563" i="13"/>
  <c r="E563" i="13"/>
  <c r="C564" i="13"/>
  <c r="D564" i="13"/>
  <c r="E564" i="13"/>
  <c r="C565" i="13"/>
  <c r="D565" i="13"/>
  <c r="E565" i="13"/>
  <c r="C566" i="13"/>
  <c r="D566" i="13"/>
  <c r="E566" i="13"/>
  <c r="C567" i="13"/>
  <c r="D567" i="13"/>
  <c r="E567" i="13"/>
  <c r="C568" i="13"/>
  <c r="D568" i="13"/>
  <c r="E568" i="13"/>
  <c r="C569" i="13"/>
  <c r="D569" i="13"/>
  <c r="E569" i="13"/>
  <c r="C570" i="13"/>
  <c r="D570" i="13"/>
  <c r="E570" i="13"/>
  <c r="C571" i="13"/>
  <c r="D571" i="13"/>
  <c r="E571" i="13"/>
  <c r="C572" i="13"/>
  <c r="D572" i="13"/>
  <c r="E572" i="13"/>
  <c r="C573" i="13"/>
  <c r="D573" i="13"/>
  <c r="E573" i="13"/>
  <c r="C574" i="13"/>
  <c r="D574" i="13"/>
  <c r="E574" i="13"/>
  <c r="C575" i="13"/>
  <c r="D575" i="13"/>
  <c r="E575" i="13"/>
  <c r="C576" i="13"/>
  <c r="D576" i="13"/>
  <c r="E576" i="13"/>
  <c r="C577" i="13"/>
  <c r="D577" i="13"/>
  <c r="E577" i="13"/>
  <c r="C578" i="13"/>
  <c r="D578" i="13"/>
  <c r="E578" i="13"/>
  <c r="C579" i="13"/>
  <c r="D579" i="13"/>
  <c r="E579" i="13"/>
  <c r="C580" i="13"/>
  <c r="D580" i="13"/>
  <c r="E580" i="13"/>
  <c r="C581" i="13"/>
  <c r="D581" i="13"/>
  <c r="E581" i="13"/>
  <c r="C582" i="13"/>
  <c r="D582" i="13"/>
  <c r="E582" i="13"/>
  <c r="C583" i="13"/>
  <c r="D583" i="13"/>
  <c r="E583" i="13"/>
  <c r="C584" i="13"/>
  <c r="D584" i="13"/>
  <c r="E584" i="13"/>
  <c r="C585" i="13"/>
  <c r="D585" i="13"/>
  <c r="E585" i="13"/>
  <c r="C586" i="13"/>
  <c r="D586" i="13"/>
  <c r="E586" i="13"/>
  <c r="C587" i="13"/>
  <c r="D587" i="13"/>
  <c r="E587" i="13"/>
  <c r="C588" i="13"/>
  <c r="D588" i="13"/>
  <c r="E588" i="13"/>
  <c r="C589" i="13"/>
  <c r="D589" i="13"/>
  <c r="E589" i="13"/>
  <c r="C590" i="13"/>
  <c r="D590" i="13"/>
  <c r="E590" i="13"/>
  <c r="C591" i="13"/>
  <c r="D591" i="13"/>
  <c r="E591" i="13"/>
  <c r="C592" i="13"/>
  <c r="D592" i="13"/>
  <c r="E592" i="13"/>
  <c r="C593" i="13"/>
  <c r="D593" i="13"/>
  <c r="E593" i="13"/>
  <c r="C594" i="13"/>
  <c r="D594" i="13"/>
  <c r="E594" i="13"/>
  <c r="C595" i="13"/>
  <c r="D595" i="13"/>
  <c r="E595" i="13"/>
  <c r="C596" i="13"/>
  <c r="D596" i="13"/>
  <c r="E596" i="13"/>
  <c r="C597" i="13"/>
  <c r="D597" i="13"/>
  <c r="E597" i="13"/>
  <c r="C598" i="13"/>
  <c r="D598" i="13"/>
  <c r="E598" i="13"/>
  <c r="C599" i="13"/>
  <c r="D599" i="13"/>
  <c r="E599" i="13"/>
  <c r="C600" i="13"/>
  <c r="D600" i="13"/>
  <c r="E600" i="13"/>
  <c r="C601" i="13"/>
  <c r="D601" i="13"/>
  <c r="E601" i="13"/>
  <c r="C602" i="13"/>
  <c r="D602" i="13"/>
  <c r="E602" i="13"/>
  <c r="C603" i="13"/>
  <c r="D603" i="13"/>
  <c r="E603" i="13"/>
  <c r="C604" i="13"/>
  <c r="D604" i="13"/>
  <c r="E604" i="13"/>
  <c r="C605" i="13"/>
  <c r="D605" i="13"/>
  <c r="E605" i="13"/>
  <c r="C606" i="13"/>
  <c r="D606" i="13"/>
  <c r="E606" i="13"/>
  <c r="C607" i="13"/>
  <c r="D607" i="13"/>
  <c r="E607" i="13"/>
  <c r="C608" i="13"/>
  <c r="D608" i="13"/>
  <c r="E608" i="13"/>
  <c r="C609" i="13"/>
  <c r="D609" i="13"/>
  <c r="E609" i="13"/>
  <c r="C610" i="13"/>
  <c r="D610" i="13"/>
  <c r="E610" i="13"/>
  <c r="C611" i="13"/>
  <c r="D611" i="13"/>
  <c r="E611" i="13"/>
  <c r="C612" i="13"/>
  <c r="D612" i="13"/>
  <c r="E612" i="13"/>
  <c r="C613" i="13"/>
  <c r="D613" i="13"/>
  <c r="E613" i="13"/>
  <c r="C614" i="13"/>
  <c r="D614" i="13"/>
  <c r="E614" i="13"/>
  <c r="C615" i="13"/>
  <c r="D615" i="13"/>
  <c r="E615" i="13"/>
  <c r="C616" i="13"/>
  <c r="D616" i="13"/>
  <c r="E616" i="13"/>
  <c r="C617" i="13"/>
  <c r="D617" i="13"/>
  <c r="E617" i="13"/>
  <c r="C618" i="13"/>
  <c r="D618" i="13"/>
  <c r="E618" i="13"/>
  <c r="C619" i="13"/>
  <c r="D619" i="13"/>
  <c r="E619" i="13"/>
  <c r="C620" i="13"/>
  <c r="D620" i="13"/>
  <c r="E620" i="13"/>
  <c r="C621" i="13"/>
  <c r="D621" i="13"/>
  <c r="E621" i="13"/>
  <c r="C622" i="13"/>
  <c r="D622" i="13"/>
  <c r="E622" i="13"/>
  <c r="C623" i="13"/>
  <c r="D623" i="13"/>
  <c r="E623" i="13"/>
  <c r="C624" i="13"/>
  <c r="D624" i="13"/>
  <c r="E624" i="13"/>
  <c r="C625" i="13"/>
  <c r="D625" i="13"/>
  <c r="E625" i="13"/>
  <c r="C626" i="13"/>
  <c r="D626" i="13"/>
  <c r="E626" i="13"/>
  <c r="C627" i="13"/>
  <c r="D627" i="13"/>
  <c r="E627" i="13"/>
  <c r="C628" i="13"/>
  <c r="D628" i="13"/>
  <c r="E628" i="13"/>
  <c r="C629" i="13"/>
  <c r="D629" i="13"/>
  <c r="E629" i="13"/>
  <c r="C630" i="13"/>
  <c r="D630" i="13"/>
  <c r="E630" i="13"/>
  <c r="C631" i="13"/>
  <c r="D631" i="13"/>
  <c r="E631" i="13"/>
  <c r="C632" i="13"/>
  <c r="D632" i="13"/>
  <c r="E632" i="13"/>
  <c r="C633" i="13"/>
  <c r="D633" i="13"/>
  <c r="E633" i="13"/>
  <c r="C634" i="13"/>
  <c r="D634" i="13"/>
  <c r="E634" i="13"/>
  <c r="C635" i="13"/>
  <c r="D635" i="13"/>
  <c r="E635" i="13"/>
  <c r="C636" i="13"/>
  <c r="D636" i="13"/>
  <c r="E636" i="13"/>
  <c r="C637" i="13"/>
  <c r="D637" i="13"/>
  <c r="E637" i="13"/>
  <c r="C638" i="13"/>
  <c r="D638" i="13"/>
  <c r="E638" i="13"/>
  <c r="C639" i="13"/>
  <c r="D639" i="13"/>
  <c r="E639" i="13"/>
  <c r="C640" i="13"/>
  <c r="D640" i="13"/>
  <c r="E640" i="13"/>
  <c r="C641" i="13"/>
  <c r="D641" i="13"/>
  <c r="E641" i="13"/>
  <c r="C642" i="13"/>
  <c r="D642" i="13"/>
  <c r="E642" i="13"/>
  <c r="C643" i="13"/>
  <c r="D643" i="13"/>
  <c r="E643" i="13"/>
  <c r="C644" i="13"/>
  <c r="D644" i="13"/>
  <c r="E644" i="13"/>
  <c r="C645" i="13"/>
  <c r="D645" i="13"/>
  <c r="E645" i="13"/>
  <c r="C646" i="13"/>
  <c r="D646" i="13"/>
  <c r="E646" i="13"/>
  <c r="C647" i="13"/>
  <c r="D647" i="13"/>
  <c r="E647" i="13"/>
  <c r="C648" i="13"/>
  <c r="D648" i="13"/>
  <c r="E648" i="13"/>
  <c r="C649" i="13"/>
  <c r="D649" i="13"/>
  <c r="E649" i="13"/>
  <c r="C650" i="13"/>
  <c r="D650" i="13"/>
  <c r="E650" i="13"/>
  <c r="C651" i="13"/>
  <c r="D651" i="13"/>
  <c r="E651" i="13"/>
  <c r="C652" i="13"/>
  <c r="D652" i="13"/>
  <c r="E652" i="13"/>
  <c r="C653" i="13"/>
  <c r="D653" i="13"/>
  <c r="E653" i="13"/>
  <c r="C654" i="13"/>
  <c r="D654" i="13"/>
  <c r="E654" i="13"/>
  <c r="C655" i="13"/>
  <c r="D655" i="13"/>
  <c r="E655" i="13"/>
  <c r="C656" i="13"/>
  <c r="D656" i="13"/>
  <c r="E656" i="13"/>
  <c r="C657" i="13"/>
  <c r="D657" i="13"/>
  <c r="E657" i="13"/>
  <c r="C658" i="13"/>
  <c r="D658" i="13"/>
  <c r="E658" i="13"/>
  <c r="C659" i="13"/>
  <c r="D659" i="13"/>
  <c r="E659" i="13"/>
  <c r="C660" i="13"/>
  <c r="D660" i="13"/>
  <c r="E660" i="13"/>
  <c r="C661" i="13"/>
  <c r="D661" i="13"/>
  <c r="E661" i="13"/>
  <c r="C662" i="13"/>
  <c r="D662" i="13"/>
  <c r="E662" i="13"/>
  <c r="C663" i="13"/>
  <c r="D663" i="13"/>
  <c r="E663" i="13"/>
  <c r="C664" i="13"/>
  <c r="D664" i="13"/>
  <c r="E664" i="13"/>
  <c r="C665" i="13"/>
  <c r="D665" i="13"/>
  <c r="E665" i="13"/>
  <c r="C666" i="13"/>
  <c r="D666" i="13"/>
  <c r="E666" i="13"/>
  <c r="C667" i="13"/>
  <c r="D667" i="13"/>
  <c r="E667" i="13"/>
  <c r="C668" i="13"/>
  <c r="D668" i="13"/>
  <c r="E668" i="13"/>
  <c r="C669" i="13"/>
  <c r="D669" i="13"/>
  <c r="E669" i="13"/>
  <c r="C670" i="13"/>
  <c r="D670" i="13"/>
  <c r="E670" i="13"/>
  <c r="C671" i="13"/>
  <c r="D671" i="13"/>
  <c r="E671" i="13"/>
  <c r="C672" i="13"/>
  <c r="D672" i="13"/>
  <c r="E672" i="13"/>
  <c r="C673" i="13"/>
  <c r="D673" i="13"/>
  <c r="E673" i="13"/>
  <c r="C674" i="13"/>
  <c r="D674" i="13"/>
  <c r="E674" i="13"/>
  <c r="C675" i="13"/>
  <c r="D675" i="13"/>
  <c r="E675" i="13"/>
  <c r="C676" i="13"/>
  <c r="D676" i="13"/>
  <c r="E676" i="13"/>
  <c r="C677" i="13"/>
  <c r="D677" i="13"/>
  <c r="E677" i="13"/>
  <c r="C678" i="13"/>
  <c r="D678" i="13"/>
  <c r="E678" i="13"/>
  <c r="C679" i="13"/>
  <c r="D679" i="13"/>
  <c r="E679" i="13"/>
  <c r="C680" i="13"/>
  <c r="D680" i="13"/>
  <c r="E680" i="13"/>
  <c r="C681" i="13"/>
  <c r="D681" i="13"/>
  <c r="E681" i="13"/>
  <c r="C682" i="13"/>
  <c r="D682" i="13"/>
  <c r="E682" i="13"/>
  <c r="C683" i="13"/>
  <c r="D683" i="13"/>
  <c r="E683" i="13"/>
  <c r="C684" i="13"/>
  <c r="D684" i="13"/>
  <c r="E684" i="13"/>
  <c r="C685" i="13"/>
  <c r="D685" i="13"/>
  <c r="E685" i="13"/>
  <c r="C686" i="13"/>
  <c r="D686" i="13"/>
  <c r="E686" i="13"/>
  <c r="C687" i="13"/>
  <c r="D687" i="13"/>
  <c r="E687" i="13"/>
  <c r="C688" i="13"/>
  <c r="D688" i="13"/>
  <c r="E688" i="13"/>
  <c r="C689" i="13"/>
  <c r="D689" i="13"/>
  <c r="E689" i="13"/>
  <c r="C690" i="13"/>
  <c r="D690" i="13"/>
  <c r="E690" i="13"/>
  <c r="C691" i="13"/>
  <c r="D691" i="13"/>
  <c r="E691" i="13"/>
  <c r="C692" i="13"/>
  <c r="D692" i="13"/>
  <c r="E692" i="13"/>
  <c r="C693" i="13"/>
  <c r="D693" i="13"/>
  <c r="E693" i="13"/>
  <c r="C694" i="13"/>
  <c r="D694" i="13"/>
  <c r="E694" i="13"/>
  <c r="C695" i="13"/>
  <c r="D695" i="13"/>
  <c r="E695" i="13"/>
  <c r="C696" i="13"/>
  <c r="D696" i="13"/>
  <c r="E696" i="13"/>
  <c r="C697" i="13"/>
  <c r="D697" i="13"/>
  <c r="E697" i="13"/>
  <c r="C698" i="13"/>
  <c r="D698" i="13"/>
  <c r="E698" i="13"/>
  <c r="C699" i="13"/>
  <c r="D699" i="13"/>
  <c r="E699" i="13"/>
  <c r="C700" i="13"/>
  <c r="D700" i="13"/>
  <c r="E700" i="13"/>
  <c r="C701" i="13"/>
  <c r="D701" i="13"/>
  <c r="E701" i="13"/>
  <c r="C702" i="13"/>
  <c r="D702" i="13"/>
  <c r="E702" i="13"/>
  <c r="C703" i="13"/>
  <c r="D703" i="13"/>
  <c r="E703" i="13"/>
  <c r="C704" i="13"/>
  <c r="D704" i="13"/>
  <c r="E704" i="13"/>
  <c r="C705" i="13"/>
  <c r="D705" i="13"/>
  <c r="E705" i="13"/>
  <c r="C706" i="13"/>
  <c r="D706" i="13"/>
  <c r="E706" i="13"/>
  <c r="C707" i="13"/>
  <c r="D707" i="13"/>
  <c r="E707" i="13"/>
  <c r="C708" i="13"/>
  <c r="D708" i="13"/>
  <c r="E708" i="13"/>
  <c r="C709" i="13"/>
  <c r="D709" i="13"/>
  <c r="E709" i="13"/>
  <c r="C710" i="13"/>
  <c r="D710" i="13"/>
  <c r="E710" i="13"/>
  <c r="C711" i="13"/>
  <c r="D711" i="13"/>
  <c r="E711" i="13"/>
  <c r="C712" i="13"/>
  <c r="D712" i="13"/>
  <c r="E712" i="13"/>
  <c r="C713" i="13"/>
  <c r="D713" i="13"/>
  <c r="E713" i="13"/>
  <c r="C714" i="13"/>
  <c r="D714" i="13"/>
  <c r="E714" i="13"/>
  <c r="C715" i="13"/>
  <c r="D715" i="13"/>
  <c r="E715" i="13"/>
  <c r="C716" i="13"/>
  <c r="D716" i="13"/>
  <c r="E716" i="13"/>
  <c r="C717" i="13"/>
  <c r="D717" i="13"/>
  <c r="E717" i="13"/>
  <c r="C718" i="13"/>
  <c r="D718" i="13"/>
  <c r="E718" i="13"/>
  <c r="C719" i="13"/>
  <c r="D719" i="13"/>
  <c r="E719" i="13"/>
  <c r="C720" i="13"/>
  <c r="D720" i="13"/>
  <c r="E720" i="13"/>
  <c r="C721" i="13"/>
  <c r="D721" i="13"/>
  <c r="E721" i="13"/>
  <c r="C722" i="13"/>
  <c r="D722" i="13"/>
  <c r="E722" i="13"/>
  <c r="C723" i="13"/>
  <c r="D723" i="13"/>
  <c r="E723" i="13"/>
  <c r="C724" i="13"/>
  <c r="D724" i="13"/>
  <c r="E724" i="13"/>
  <c r="C725" i="13"/>
  <c r="D725" i="13"/>
  <c r="E725" i="13"/>
  <c r="C726" i="13"/>
  <c r="D726" i="13"/>
  <c r="E726" i="13"/>
  <c r="C727" i="13"/>
  <c r="D727" i="13"/>
  <c r="E727" i="13"/>
  <c r="C728" i="13"/>
  <c r="D728" i="13"/>
  <c r="E728" i="13"/>
  <c r="C729" i="13"/>
  <c r="D729" i="13"/>
  <c r="E729" i="13"/>
  <c r="C730" i="13"/>
  <c r="D730" i="13"/>
  <c r="E730" i="13"/>
  <c r="C731" i="13"/>
  <c r="D731" i="13"/>
  <c r="E731" i="13"/>
  <c r="C732" i="13"/>
  <c r="D732" i="13"/>
  <c r="E732" i="13"/>
  <c r="C733" i="13"/>
  <c r="D733" i="13"/>
  <c r="E733" i="13"/>
  <c r="C734" i="13"/>
  <c r="D734" i="13"/>
  <c r="E734" i="13"/>
  <c r="C735" i="13"/>
  <c r="D735" i="13"/>
  <c r="E735" i="13"/>
  <c r="C736" i="13"/>
  <c r="D736" i="13"/>
  <c r="E736" i="13"/>
  <c r="C737" i="13"/>
  <c r="D737" i="13"/>
  <c r="E737" i="13"/>
  <c r="C738" i="13"/>
  <c r="D738" i="13"/>
  <c r="E738" i="13"/>
  <c r="C739" i="13"/>
  <c r="D739" i="13"/>
  <c r="E739" i="13"/>
  <c r="C740" i="13"/>
  <c r="D740" i="13"/>
  <c r="E740" i="13"/>
  <c r="C741" i="13"/>
  <c r="D741" i="13"/>
  <c r="E741" i="13"/>
  <c r="C742" i="13"/>
  <c r="D742" i="13"/>
  <c r="E742" i="13"/>
  <c r="C743" i="13"/>
  <c r="D743" i="13"/>
  <c r="E743" i="13"/>
  <c r="C744" i="13"/>
  <c r="D744" i="13"/>
  <c r="E744" i="13"/>
  <c r="C745" i="13"/>
  <c r="D745" i="13"/>
  <c r="E745" i="13"/>
  <c r="C746" i="13"/>
  <c r="D746" i="13"/>
  <c r="E746" i="13"/>
  <c r="C747" i="13"/>
  <c r="D747" i="13"/>
  <c r="E747" i="13"/>
  <c r="C748" i="13"/>
  <c r="D748" i="13"/>
  <c r="E748" i="13"/>
  <c r="C749" i="13"/>
  <c r="D749" i="13"/>
  <c r="E749" i="13"/>
  <c r="C750" i="13"/>
  <c r="D750" i="13"/>
  <c r="E750" i="13"/>
  <c r="C751" i="13"/>
  <c r="D751" i="13"/>
  <c r="H20" i="8"/>
  <c r="K20" i="8" s="1"/>
  <c r="G65" i="7" s="1"/>
  <c r="G13" i="8"/>
  <c r="H13" i="8" s="1"/>
  <c r="K13" i="8" s="1"/>
  <c r="F15" i="8"/>
  <c r="H15" i="8" s="1"/>
  <c r="K14" i="8" s="1"/>
  <c r="H5" i="8"/>
  <c r="L5" i="8" s="1"/>
  <c r="H6" i="8"/>
  <c r="L6" i="8" s="1"/>
  <c r="L7" i="8"/>
  <c r="A338" i="7"/>
  <c r="A304" i="7"/>
  <c r="A297" i="7"/>
  <c r="B206" i="7"/>
  <c r="B205" i="7"/>
  <c r="B204" i="7"/>
  <c r="G195" i="7"/>
  <c r="F183" i="7"/>
  <c r="F182" i="7"/>
  <c r="F181" i="7"/>
  <c r="F180" i="7"/>
  <c r="F179" i="7"/>
  <c r="F168" i="7"/>
  <c r="F167" i="7"/>
  <c r="F166" i="7"/>
  <c r="F165" i="7"/>
  <c r="F164" i="7"/>
  <c r="G160" i="7"/>
  <c r="B124" i="7"/>
  <c r="G69" i="7"/>
  <c r="A76" i="40"/>
  <c r="A74" i="40"/>
  <c r="A2" i="40"/>
  <c r="A77" i="39"/>
  <c r="A75" i="39"/>
  <c r="A77" i="37"/>
  <c r="A75" i="37"/>
  <c r="A76" i="38"/>
  <c r="A74" i="38"/>
  <c r="A87" i="43"/>
  <c r="A85" i="43"/>
  <c r="A60" i="10"/>
  <c r="A58" i="10"/>
  <c r="A93" i="44"/>
  <c r="A75" i="44"/>
  <c r="K7" i="8"/>
  <c r="G5" i="17"/>
  <c r="C67" i="7" s="1"/>
  <c r="C105" i="7"/>
  <c r="C137" i="7"/>
  <c r="C47" i="7"/>
  <c r="C116" i="7"/>
  <c r="C121" i="7"/>
  <c r="C85" i="7"/>
  <c r="C51" i="7"/>
  <c r="C81" i="7"/>
  <c r="C139" i="7"/>
  <c r="C94" i="7"/>
  <c r="C86" i="7"/>
  <c r="C191" i="7"/>
  <c r="C84" i="7"/>
  <c r="C192" i="7"/>
  <c r="C175" i="7"/>
  <c r="C32" i="7"/>
  <c r="C140" i="7"/>
  <c r="C21" i="7"/>
  <c r="C104" i="7"/>
  <c r="C63" i="7"/>
  <c r="C97" i="7"/>
  <c r="C45" i="7"/>
  <c r="C134" i="7"/>
  <c r="C83" i="7"/>
  <c r="C126" i="7"/>
  <c r="C87" i="7"/>
  <c r="C135" i="7"/>
  <c r="C117" i="7"/>
  <c r="C115" i="7"/>
  <c r="C125" i="7"/>
  <c r="C195" i="7"/>
  <c r="C136" i="7"/>
  <c r="C138" i="7"/>
  <c r="C108" i="7"/>
  <c r="C76" i="7"/>
  <c r="C193" i="7"/>
  <c r="C194" i="7"/>
  <c r="C95" i="7"/>
  <c r="C165" i="7"/>
  <c r="C46" i="7"/>
  <c r="C73" i="7"/>
  <c r="E16" i="49" l="1"/>
  <c r="E10" i="49"/>
  <c r="E13" i="49"/>
  <c r="E7" i="49"/>
  <c r="E4" i="49"/>
  <c r="B36" i="49"/>
  <c r="B34" i="49"/>
  <c r="C74" i="7"/>
  <c r="C75" i="7" s="1"/>
  <c r="C77" i="7" s="1"/>
  <c r="C7" i="50"/>
  <c r="C11" i="50"/>
  <c r="G46" i="7"/>
  <c r="C17" i="7"/>
  <c r="G67" i="7"/>
  <c r="D41" i="49"/>
  <c r="D42" i="49"/>
  <c r="E37" i="49"/>
  <c r="E35" i="49"/>
  <c r="E33" i="49"/>
  <c r="E32" i="49"/>
  <c r="E25" i="49"/>
  <c r="E22" i="49"/>
  <c r="C196" i="7"/>
  <c r="K6" i="8"/>
  <c r="G68" i="7"/>
  <c r="C144" i="7"/>
  <c r="C71" i="7"/>
  <c r="G197" i="7" s="1"/>
  <c r="C96" i="7"/>
  <c r="C98" i="7" s="1"/>
  <c r="C10" i="7"/>
  <c r="C141" i="7"/>
  <c r="C162" i="7"/>
  <c r="K15" i="8"/>
  <c r="C127" i="7"/>
  <c r="L8" i="8"/>
  <c r="G187" i="7"/>
  <c r="G190" i="7"/>
  <c r="C64" i="7"/>
  <c r="G188" i="7"/>
  <c r="G191" i="7"/>
  <c r="G63" i="7"/>
  <c r="C29" i="7"/>
  <c r="C153" i="7"/>
  <c r="B7" i="49" s="1"/>
  <c r="D44" i="49" s="1"/>
  <c r="F5" i="17"/>
  <c r="C39" i="7" s="1"/>
  <c r="K5" i="8"/>
  <c r="C65" i="7"/>
  <c r="C169" i="7"/>
  <c r="C23" i="7"/>
  <c r="C33" i="7"/>
  <c r="C20" i="7"/>
  <c r="E27" i="49" l="1"/>
  <c r="C8" i="50"/>
  <c r="C88" i="7"/>
  <c r="K8" i="8"/>
  <c r="G64" i="7" s="1"/>
  <c r="C82" i="7" s="1"/>
  <c r="G193" i="7"/>
  <c r="G194" i="7"/>
  <c r="G196" i="7"/>
  <c r="C66" i="7"/>
  <c r="C68" i="7" s="1"/>
  <c r="C78" i="7" s="1"/>
  <c r="G50" i="7"/>
  <c r="C22" i="7"/>
  <c r="C69" i="7"/>
  <c r="C89" i="7" l="1"/>
  <c r="C90" i="7" s="1"/>
  <c r="C91" i="7" s="1"/>
  <c r="C128" i="7"/>
  <c r="C129" i="7" s="1"/>
  <c r="C145" i="7"/>
  <c r="C146" i="7" s="1"/>
  <c r="C99" i="7"/>
  <c r="C100" i="7" s="1"/>
  <c r="C101" i="7" s="1"/>
  <c r="C109" i="7"/>
  <c r="C185" i="7"/>
  <c r="C24" i="7"/>
  <c r="C25" i="7" s="1"/>
  <c r="C26" i="7" s="1"/>
  <c r="C118" i="7"/>
  <c r="C27" i="7" l="1"/>
  <c r="C30" i="7" s="1"/>
  <c r="C50" i="7" s="1"/>
  <c r="C55" i="7" s="1"/>
  <c r="C119" i="7"/>
  <c r="C120" i="7"/>
  <c r="C106" i="7" l="1"/>
  <c r="C122" i="7"/>
  <c r="C123" i="7" s="1"/>
  <c r="C34" i="7"/>
  <c r="C176" i="7"/>
  <c r="C54" i="7"/>
  <c r="C31" i="7"/>
  <c r="C166" i="7"/>
  <c r="C107" i="7" l="1"/>
  <c r="C110" i="7" s="1"/>
  <c r="C111" i="7" s="1"/>
  <c r="C112" i="7" s="1"/>
  <c r="G192" i="7"/>
  <c r="C184" i="7" s="1"/>
  <c r="C186" i="7" s="1"/>
  <c r="E26" i="49"/>
  <c r="E23" i="49"/>
  <c r="C167" i="7" a="1"/>
  <c r="C167" i="7" s="1"/>
  <c r="C168" i="7" s="1" a="1"/>
  <c r="C168" i="7" s="1"/>
  <c r="C170" i="7" s="1"/>
  <c r="C171" i="7" s="1"/>
  <c r="C40" i="7"/>
  <c r="C48" i="7" s="1"/>
  <c r="C52" i="7" s="1"/>
  <c r="C177" i="7"/>
  <c r="C178" i="7" s="1" a="1"/>
  <c r="C178" i="7" s="1"/>
  <c r="E24" i="49" s="1"/>
  <c r="C35" i="7"/>
  <c r="E21" i="49" l="1"/>
  <c r="C9" i="50"/>
  <c r="C14" i="50" s="1"/>
  <c r="C187" i="7"/>
  <c r="C130" i="7"/>
  <c r="C147" i="7"/>
  <c r="C92" i="7"/>
  <c r="C113" i="7"/>
  <c r="C79" i="7"/>
  <c r="C102" i="7"/>
  <c r="C37" i="7"/>
  <c r="C36" i="7"/>
  <c r="C188" i="7" l="1"/>
  <c r="E31" i="49"/>
  <c r="C131" i="7"/>
  <c r="C152" i="7" s="1"/>
  <c r="C49" i="7"/>
  <c r="C53" i="7" s="1"/>
  <c r="C57" i="7" s="1"/>
  <c r="C38" i="7"/>
  <c r="C41" i="7" s="1"/>
  <c r="C58" i="7" s="1"/>
  <c r="D152" i="7" l="1"/>
  <c r="B13" i="49" s="1"/>
  <c r="B9" i="49"/>
  <c r="B32" i="49" s="1"/>
  <c r="C199" i="7"/>
  <c r="E30" i="49"/>
  <c r="C59" i="7"/>
  <c r="C151" i="7" s="1"/>
  <c r="B14" i="49" l="1"/>
  <c r="E20" i="49"/>
  <c r="B30" i="49"/>
  <c r="B25" i="49"/>
  <c r="C154" i="7"/>
  <c r="B11" i="49" s="1"/>
  <c r="B8" i="49"/>
  <c r="D151" i="7"/>
  <c r="B10" i="49" l="1"/>
  <c r="B28" i="49"/>
  <c r="C156" i="7"/>
  <c r="C201" i="7" s="1"/>
  <c r="B12" i="49"/>
  <c r="B27" i="49" s="1"/>
  <c r="E151" i="7" l="1"/>
  <c r="B15" i="49"/>
  <c r="B24" i="49" s="1"/>
</calcChain>
</file>

<file path=xl/sharedStrings.xml><?xml version="1.0" encoding="utf-8"?>
<sst xmlns="http://schemas.openxmlformats.org/spreadsheetml/2006/main" count="5211" uniqueCount="2672">
  <si>
    <t>Sales and Use Tax Exclusion Program</t>
  </si>
  <si>
    <r>
      <rPr>
        <b/>
        <sz val="14"/>
        <rFont val="Calibri"/>
        <family val="2"/>
        <scheme val="minor"/>
      </rPr>
      <t xml:space="preserve">Instructions: </t>
    </r>
    <r>
      <rPr>
        <sz val="14"/>
        <rFont val="Calibri"/>
        <family val="2"/>
        <scheme val="minor"/>
      </rPr>
      <t>Please enter the information requested in the white boxes below or select from the choices in the blue drop-down list. If you have any additional comments or explanations, please place them in the optional comment box at the end of this Section.</t>
    </r>
  </si>
  <si>
    <t>A1</t>
  </si>
  <si>
    <t>Applicant Legal Name</t>
  </si>
  <si>
    <t>A2</t>
  </si>
  <si>
    <t>Applicant Legal Entity Type. Select from List</t>
  </si>
  <si>
    <t>SELECT FROM DROPDOWN</t>
  </si>
  <si>
    <t>A3</t>
  </si>
  <si>
    <t>A4</t>
  </si>
  <si>
    <t>Place of Incorporation or Establishment</t>
  </si>
  <si>
    <t>A5</t>
  </si>
  <si>
    <t>Applicant's Tax Payer ID Number</t>
  </si>
  <si>
    <t>A6</t>
  </si>
  <si>
    <t>Date of Incorporation or Establishment</t>
  </si>
  <si>
    <t>A7</t>
  </si>
  <si>
    <t>Applicant's Street Address</t>
  </si>
  <si>
    <t>A8</t>
  </si>
  <si>
    <t>Applicant's City</t>
  </si>
  <si>
    <t>A9</t>
  </si>
  <si>
    <t>Applicant's State</t>
  </si>
  <si>
    <t>A10</t>
  </si>
  <si>
    <t>Applicant's Zip Code</t>
  </si>
  <si>
    <t>A11</t>
  </si>
  <si>
    <t>Primary Contact Person</t>
  </si>
  <si>
    <t>A12</t>
  </si>
  <si>
    <t>Primary Contact's Title or Relationship to Applicant</t>
  </si>
  <si>
    <t>A13</t>
  </si>
  <si>
    <t>Primary Contact's Email Address</t>
  </si>
  <si>
    <t>A14</t>
  </si>
  <si>
    <t>Primary Contact's Phone Number</t>
  </si>
  <si>
    <t>A15</t>
  </si>
  <si>
    <t>Primary Contact's  Mailing  Address (Street)</t>
  </si>
  <si>
    <t>A16</t>
  </si>
  <si>
    <t>Primary Contact's City, State, and Zipcode</t>
  </si>
  <si>
    <t>A17</t>
  </si>
  <si>
    <t>Secondary Contact Person</t>
  </si>
  <si>
    <t>A18</t>
  </si>
  <si>
    <t>Secondary Contact's Title or Relationship to Applicant</t>
  </si>
  <si>
    <t>A19</t>
  </si>
  <si>
    <t>Secondary Contact's Email Address</t>
  </si>
  <si>
    <t>A20</t>
  </si>
  <si>
    <t>Secondary Contact's Phone Number</t>
  </si>
  <si>
    <t>A21</t>
  </si>
  <si>
    <t>Secondary Contact's  Mailing  Address (Street)</t>
  </si>
  <si>
    <t>A22</t>
  </si>
  <si>
    <t>Secondary Contact's City, State, and Zipcode</t>
  </si>
  <si>
    <t>A23</t>
  </si>
  <si>
    <r>
      <rPr>
        <b/>
        <sz val="11"/>
        <rFont val="Calibri"/>
        <family val="2"/>
        <scheme val="minor"/>
      </rPr>
      <t xml:space="preserve">Company Ownership and Officer Information: </t>
    </r>
    <r>
      <rPr>
        <sz val="11"/>
        <rFont val="Calibri"/>
        <family val="2"/>
        <scheme val="minor"/>
      </rPr>
      <t>List each owner of the Applicant with at least 10% ownership interest and each owner's share of ownership. List the names of the corporate or company officers.</t>
    </r>
  </si>
  <si>
    <t>A24</t>
  </si>
  <si>
    <r>
      <rPr>
        <b/>
        <sz val="11"/>
        <rFont val="Calibri"/>
        <family val="2"/>
        <scheme val="minor"/>
      </rPr>
      <t>Parent Company Ownership:</t>
    </r>
    <r>
      <rPr>
        <sz val="11"/>
        <rFont val="Calibri"/>
        <family val="2"/>
        <scheme val="minor"/>
      </rPr>
      <t xml:space="preserve"> If a parent company owns 10 percent or more of the company, provide a list of each entity with an ownership interest of 10 percent or greater in the parent company (unless Applicant is a publicly traded corporation, private equity firm, or sole proprietorship).      </t>
    </r>
  </si>
  <si>
    <t>Primary Facility</t>
  </si>
  <si>
    <t>B1</t>
  </si>
  <si>
    <t>Street Address</t>
  </si>
  <si>
    <t>B2</t>
  </si>
  <si>
    <t>Facility City and County. Select from List</t>
  </si>
  <si>
    <t>B3</t>
  </si>
  <si>
    <t>Facility Zip Code</t>
  </si>
  <si>
    <t>Secondary Facility (if any)</t>
  </si>
  <si>
    <t>B4</t>
  </si>
  <si>
    <t>B5</t>
  </si>
  <si>
    <t>B6</t>
  </si>
  <si>
    <t>Optional: Add any comments here.</t>
  </si>
  <si>
    <t>B7</t>
  </si>
  <si>
    <t>Address of Corporate Headquarters</t>
  </si>
  <si>
    <t>B8</t>
  </si>
  <si>
    <t>B9</t>
  </si>
  <si>
    <t>Corporate Headquarters City and County. Select from List (if in CA)</t>
  </si>
  <si>
    <t>B10</t>
  </si>
  <si>
    <t>Corporate Headquarters  Zip Code</t>
  </si>
  <si>
    <t>Descriptions of Application Types:</t>
  </si>
  <si>
    <t>BioFuels</t>
  </si>
  <si>
    <t xml:space="preserve">Select this option for Facilities that produce fuels made from renewable resources, such as captured methane from dairies or landfills. </t>
  </si>
  <si>
    <t>Alternative Energy</t>
  </si>
  <si>
    <t>Select for Facilities that produce products capable of generating energy by utilizing an alternative source, such as wind or the sun. Examples include wind turbines and solar panels.</t>
  </si>
  <si>
    <t>Energy Efficiency</t>
  </si>
  <si>
    <t>Select this option for Facilities that produce products that conserve energy, such as more efficient light bulbs or appliances.</t>
  </si>
  <si>
    <t>Advanced Transportation</t>
  </si>
  <si>
    <t xml:space="preserve">Select for Facilities that produce Advanced Transportation products such as electric vehicles. </t>
  </si>
  <si>
    <t>Advanced Manufacturing</t>
  </si>
  <si>
    <t xml:space="preserve">Select this option for advanced manufacturing Facilities that do not produce Alternatve Source or Advanced Transportation products. </t>
  </si>
  <si>
    <t>Recycling</t>
  </si>
  <si>
    <t xml:space="preserve">Select this option for Facilities that process recycled materials such as materials recovery facilities, composters, or specialty recyclers such as steel or scrap metal recycliers.  </t>
  </si>
  <si>
    <t>Other Application Types</t>
  </si>
  <si>
    <t>Select this option for any other type of Alternative Source or Advanced Transportation product.</t>
  </si>
  <si>
    <t xml:space="preserve">Total: </t>
  </si>
  <si>
    <t xml:space="preserve">Estimated Useful Lifespan Weighted Average: </t>
  </si>
  <si>
    <t xml:space="preserve">Percent of Time Used for Qualified Product Weighted Average: </t>
  </si>
  <si>
    <t>Qualified Property</t>
  </si>
  <si>
    <t>Purpose</t>
  </si>
  <si>
    <t>Facility Location</t>
  </si>
  <si>
    <t>Cost</t>
  </si>
  <si>
    <t>Estimated Useful Lifespan (in years)</t>
  </si>
  <si>
    <t>Percent of time used for Qualified Product</t>
  </si>
  <si>
    <t>BIOFUELS</t>
  </si>
  <si>
    <r>
      <rPr>
        <b/>
        <sz val="11"/>
        <rFont val="Calibri"/>
        <family val="2"/>
        <scheme val="minor"/>
      </rPr>
      <t>Instructions:</t>
    </r>
    <r>
      <rPr>
        <sz val="11"/>
        <rFont val="Calibri"/>
        <family val="2"/>
        <scheme val="minor"/>
      </rPr>
      <t xml:space="preserve">  Please enter the information requested in the white boxes below or select from the choices in the blue drop-down list.  When requested, please explain calculations and assumptions used. If actual values are not known, good faith estimates are acceptable. All Applicant-provided values may be subject to verification.</t>
    </r>
  </si>
  <si>
    <t>C. Facility Information</t>
  </si>
  <si>
    <t>C1</t>
  </si>
  <si>
    <r>
      <t xml:space="preserve">Value of capital stock used to produce Qualified Products. </t>
    </r>
    <r>
      <rPr>
        <sz val="11"/>
        <rFont val="Calibri"/>
        <family val="2"/>
        <scheme val="minor"/>
      </rPr>
      <t xml:space="preserve">Enter the total value of all equipment and tangible personal property used to produce the output listed in Box D2 below. </t>
    </r>
    <r>
      <rPr>
        <u/>
        <sz val="11"/>
        <rFont val="Calibri"/>
        <family val="2"/>
        <scheme val="minor"/>
      </rPr>
      <t>This should equal the value of anticipated Qualified Property purchases plus any existing capital stock</t>
    </r>
    <r>
      <rPr>
        <sz val="11"/>
        <rFont val="Calibri"/>
        <family val="2"/>
        <scheme val="minor"/>
      </rPr>
      <t xml:space="preserve">. Do not include the value of land and structures. Value should be in current dollars inclusive of depreciation. </t>
    </r>
  </si>
  <si>
    <t>If the total value of capital stock does not equal the total Qualified Property amount, provide a description the additional assets included in the calculation, as well as their values.</t>
  </si>
  <si>
    <t>C2</t>
  </si>
  <si>
    <r>
      <t xml:space="preserve">Projected average number of employees (FTE) at Facility, assuming Qualified Property is utilized. </t>
    </r>
    <r>
      <rPr>
        <sz val="11"/>
        <rFont val="Calibri"/>
        <family val="2"/>
        <scheme val="minor"/>
      </rPr>
      <t xml:space="preserve">Enter the estimated average number of employees employed each year to produce the output listed in Box D2 below, averaged over the Estimated Useful Lifespan of the Qualified Property (see Qualified_Property_List), taking into account any ramp up periods. Value should be in </t>
    </r>
    <r>
      <rPr>
        <u/>
        <sz val="11"/>
        <rFont val="Calibri"/>
        <family val="2"/>
        <scheme val="minor"/>
      </rPr>
      <t>annual full time equivalents</t>
    </r>
    <r>
      <rPr>
        <sz val="11"/>
        <rFont val="Calibri"/>
        <family val="2"/>
        <scheme val="minor"/>
      </rPr>
      <t xml:space="preserve"> (FTE); part-time employees should be counted as a fraction of a full time employee. Do not include construction related FTEs.</t>
    </r>
  </si>
  <si>
    <t>Explain values and assumptions (with calculations if relevant) used to arrive at the value in C2 above.</t>
  </si>
  <si>
    <t>C2.1</t>
  </si>
  <si>
    <r>
      <t xml:space="preserve">Projected average number of employees (FTE) at Facility, assuming Qualified Property is </t>
    </r>
    <r>
      <rPr>
        <b/>
        <u/>
        <sz val="11"/>
        <rFont val="Calibri"/>
        <family val="2"/>
        <scheme val="minor"/>
      </rPr>
      <t>not</t>
    </r>
    <r>
      <rPr>
        <b/>
        <sz val="11"/>
        <rFont val="Calibri"/>
        <family val="2"/>
        <scheme val="minor"/>
      </rPr>
      <t xml:space="preserve"> utilized. </t>
    </r>
    <r>
      <rPr>
        <sz val="11"/>
        <rFont val="Calibri"/>
        <family val="2"/>
        <scheme val="minor"/>
      </rPr>
      <t xml:space="preserve">Enter the estimated average number of employees to be employed each year if the Qualified Property is not purchased. Value should be in </t>
    </r>
    <r>
      <rPr>
        <u/>
        <sz val="11"/>
        <rFont val="Calibri"/>
        <family val="2"/>
        <scheme val="minor"/>
      </rPr>
      <t>annual full time equivalents</t>
    </r>
    <r>
      <rPr>
        <sz val="11"/>
        <rFont val="Calibri"/>
        <family val="2"/>
        <scheme val="minor"/>
      </rPr>
      <t xml:space="preserve"> (FTE); part-time employees should be counted as a fraction of a full time employee. Do not include construction related FTEs.</t>
    </r>
  </si>
  <si>
    <t>Explain values and assumptions (with calculations if relevant) used to arrive at the value in C2.1 above.</t>
  </si>
  <si>
    <t>C3</t>
  </si>
  <si>
    <r>
      <t xml:space="preserve">Projected number of employees (FTE) employed for purposes of constructing facility or installing Qualified Property. </t>
    </r>
    <r>
      <rPr>
        <sz val="11"/>
        <rFont val="Calibri"/>
        <family val="2"/>
        <scheme val="minor"/>
      </rPr>
      <t xml:space="preserve">Enter number of construction-related jobs used to build the production facility or install equipment. Do not include jobs associated with the on-going production of the Qualified Product(s). Value should be in </t>
    </r>
    <r>
      <rPr>
        <u/>
        <sz val="11"/>
        <rFont val="Calibri"/>
        <family val="2"/>
        <scheme val="minor"/>
      </rPr>
      <t>annual full time equivalents</t>
    </r>
    <r>
      <rPr>
        <sz val="11"/>
        <rFont val="Calibri"/>
        <family val="2"/>
        <scheme val="minor"/>
      </rPr>
      <t xml:space="preserve"> (FTE); part-time employees should be counted as a fraction of a full time employee. Construction FTEs need not be directly employed by the Applicant; include all construction jobs used to build the Project.</t>
    </r>
  </si>
  <si>
    <t>Explain values and assumptions (with calculations if relevant) used to arrive at the value in C3 above.</t>
  </si>
  <si>
    <r>
      <t xml:space="preserve">D. Product Information </t>
    </r>
    <r>
      <rPr>
        <b/>
        <i/>
        <strike/>
        <sz val="12"/>
        <color indexed="9"/>
        <rFont val="Arial"/>
        <family val="2"/>
      </rPr>
      <t/>
    </r>
  </si>
  <si>
    <t>D1</t>
  </si>
  <si>
    <r>
      <t>Brief description/name of product to be produced with Qualified Property.</t>
    </r>
    <r>
      <rPr>
        <sz val="11"/>
        <rFont val="Calibri"/>
        <family val="2"/>
        <scheme val="minor"/>
      </rPr>
      <t xml:space="preserve"> Please provide a brief (&lt;25 words) description of the product to be made with the Qualified Property. </t>
    </r>
  </si>
  <si>
    <t>D1.1</t>
  </si>
  <si>
    <r>
      <t xml:space="preserve">Type of BioFuel produced </t>
    </r>
    <r>
      <rPr>
        <sz val="11"/>
        <rFont val="Calibri"/>
        <family val="2"/>
        <scheme val="minor"/>
      </rPr>
      <t>(Select from list)</t>
    </r>
  </si>
  <si>
    <t>D1.2</t>
  </si>
  <si>
    <r>
      <t xml:space="preserve">Unit of Energy Produced </t>
    </r>
    <r>
      <rPr>
        <sz val="11"/>
        <rFont val="Calibri"/>
        <family val="2"/>
        <scheme val="minor"/>
      </rPr>
      <t>(Select from list)</t>
    </r>
  </si>
  <si>
    <t>D2</t>
  </si>
  <si>
    <r>
      <t>Projected average annual number of Qualified Products to be sold or shipped (number of units).</t>
    </r>
    <r>
      <rPr>
        <sz val="11"/>
        <rFont val="Calibri"/>
        <family val="2"/>
        <scheme val="minor"/>
      </rPr>
      <t xml:space="preserve"> Enter total estimated </t>
    </r>
    <r>
      <rPr>
        <u/>
        <sz val="11"/>
        <rFont val="Calibri"/>
        <family val="2"/>
        <scheme val="minor"/>
      </rPr>
      <t>average</t>
    </r>
    <r>
      <rPr>
        <sz val="11"/>
        <rFont val="Calibri"/>
        <family val="2"/>
        <scheme val="minor"/>
      </rPr>
      <t xml:space="preserve"> </t>
    </r>
    <r>
      <rPr>
        <u/>
        <sz val="11"/>
        <rFont val="Calibri"/>
        <family val="2"/>
        <scheme val="minor"/>
      </rPr>
      <t xml:space="preserve">annual </t>
    </r>
    <r>
      <rPr>
        <sz val="11"/>
        <rFont val="Calibri"/>
        <family val="2"/>
        <scheme val="minor"/>
      </rPr>
      <t>facility production that will be sold or shipped, assuming Qualified Property is utilized. Entry should reflect average annual sales over Estimated Useful Lifespan of the Qualified Property (</t>
    </r>
    <r>
      <rPr>
        <u/>
        <sz val="11"/>
        <rFont val="Calibri"/>
        <family val="2"/>
        <scheme val="minor"/>
      </rPr>
      <t>i.e. should reflect any ramp up period and not just peak production</t>
    </r>
    <r>
      <rPr>
        <sz val="11"/>
        <rFont val="Calibri"/>
        <family val="2"/>
        <scheme val="minor"/>
      </rPr>
      <t>). Note: units must match energy type selected in D1.2 above.</t>
    </r>
  </si>
  <si>
    <t>Explain values and assumptions (with calculations if relevant) used to arrive at the value in D2 above.</t>
  </si>
  <si>
    <t>D3</t>
  </si>
  <si>
    <r>
      <rPr>
        <b/>
        <sz val="11"/>
        <color theme="1"/>
        <rFont val="Calibri"/>
        <family val="2"/>
        <scheme val="minor"/>
      </rPr>
      <t>Projected per unit sales price in dollars</t>
    </r>
    <r>
      <rPr>
        <sz val="11"/>
        <rFont val="Arial"/>
        <family val="2"/>
      </rPr>
      <t xml:space="preserve">. </t>
    </r>
    <r>
      <rPr>
        <sz val="11"/>
        <color theme="1"/>
        <rFont val="Calibri"/>
        <family val="2"/>
        <scheme val="minor"/>
      </rPr>
      <t>Enter the average sales price of the product/component you are producing. If multiple products are produced, enter the average across all Qualified Products.</t>
    </r>
  </si>
  <si>
    <t>Explain values and assumptions (with calculations if relevant) used to arrive at the value in D3 above.</t>
  </si>
  <si>
    <t>D4</t>
  </si>
  <si>
    <r>
      <rPr>
        <b/>
        <sz val="11"/>
        <color theme="1"/>
        <rFont val="Calibri"/>
        <family val="2"/>
        <scheme val="minor"/>
      </rPr>
      <t>Per unit production-related purchases from suppliers, assuming Qualified Property is utilized/installed, in dollars</t>
    </r>
    <r>
      <rPr>
        <sz val="11"/>
        <rFont val="Arial"/>
        <family val="2"/>
      </rPr>
      <t xml:space="preserve">. </t>
    </r>
    <r>
      <rPr>
        <sz val="11"/>
        <color theme="1"/>
        <rFont val="Calibri"/>
        <family val="2"/>
        <scheme val="minor"/>
      </rPr>
      <t xml:space="preserve">Include cost of materials, parts, containers, packaging, energy consumed, and products bought and sold without further processing. If multiple products are produced, enter the average across all products here. Entry should reflect average value over Estimated Useful Lifespan of Qualified Property. This information is used to calculate the value added by the Applicant. </t>
    </r>
  </si>
  <si>
    <t>Explain values and assumptions (with calculations if relevant) used to arrive at the value in D4 above.</t>
  </si>
  <si>
    <t>D5</t>
  </si>
  <si>
    <r>
      <rPr>
        <b/>
        <sz val="11"/>
        <color theme="1"/>
        <rFont val="Calibri"/>
        <family val="2"/>
        <scheme val="minor"/>
      </rPr>
      <t>Estimated percent of production costs from California suppliers.</t>
    </r>
    <r>
      <rPr>
        <sz val="11"/>
        <rFont val="Arial"/>
        <family val="2"/>
      </rPr>
      <t xml:space="preserve"> </t>
    </r>
    <r>
      <rPr>
        <sz val="11"/>
        <color theme="1"/>
        <rFont val="Calibri"/>
        <family val="2"/>
        <scheme val="minor"/>
      </rPr>
      <t>Estimate the fraction of the total production-related costs (from Box D4) from California suppliers. Entry should reflect average value over Estimated Useful Lifespan of Qualified Property.</t>
    </r>
  </si>
  <si>
    <t>Explain values and assumptions (with calculations if relevant) used to arrive at the value in D5 above.</t>
  </si>
  <si>
    <t>D6</t>
  </si>
  <si>
    <r>
      <rPr>
        <b/>
        <sz val="11"/>
        <color theme="1"/>
        <rFont val="Calibri"/>
        <family val="2"/>
        <scheme val="minor"/>
      </rPr>
      <t>Projected per unit labor costs, assuming Qualified Property is utilized</t>
    </r>
    <r>
      <rPr>
        <sz val="11"/>
        <rFont val="Arial"/>
        <family val="2"/>
      </rPr>
      <t xml:space="preserve">. </t>
    </r>
    <r>
      <rPr>
        <sz val="11"/>
        <color theme="1"/>
        <rFont val="Calibri"/>
        <family val="2"/>
        <scheme val="minor"/>
      </rPr>
      <t xml:space="preserve">Include total per unit salary costs. Do not include payroll taxes, fringe benefits, or other non-salary costs. Entry should reflect average value over Estimated Useful Lifespan of Qualified Property. </t>
    </r>
  </si>
  <si>
    <t>Explain values and assumptions (with calculations if relevant) used to arrive at the value in D6 above.</t>
  </si>
  <si>
    <t>D7</t>
  </si>
  <si>
    <r>
      <rPr>
        <b/>
        <sz val="11"/>
        <color theme="1"/>
        <rFont val="Calibri"/>
        <family val="2"/>
        <scheme val="minor"/>
      </rPr>
      <t>Estimated percent of total product sales in California</t>
    </r>
    <r>
      <rPr>
        <sz val="11"/>
        <rFont val="Arial"/>
        <family val="2"/>
      </rPr>
      <t xml:space="preserve">. </t>
    </r>
    <r>
      <rPr>
        <sz val="11"/>
        <color theme="1"/>
        <rFont val="Calibri"/>
        <family val="2"/>
        <scheme val="minor"/>
      </rPr>
      <t xml:space="preserve">Enter the estimated percent of total sales to California customers. Value should be calculated over the Estimated Useful Lifespan of the Qualified Property. </t>
    </r>
  </si>
  <si>
    <t>Explain values and assumptions (with calculations if relevant) used to arrive at the value in D7 above.</t>
  </si>
  <si>
    <t>D8</t>
  </si>
  <si>
    <r>
      <t xml:space="preserve">Does the end-of-supply-chain product generate California sales tax when purchased by the end user? </t>
    </r>
    <r>
      <rPr>
        <sz val="11"/>
        <color rgb="FF000000"/>
        <rFont val="Calibri"/>
        <family val="2"/>
      </rPr>
      <t>Sales to the Federal Government, production for use in research and development or for internal company use, or sales/production not otherwise sold to consumers do not generate sales tax. (Select from list)</t>
    </r>
  </si>
  <si>
    <t>D8.1</t>
  </si>
  <si>
    <r>
      <t>Estimated percent of end-of-supply-chain product sales that generate sales tax?</t>
    </r>
    <r>
      <rPr>
        <sz val="11"/>
        <rFont val="Arial"/>
        <family val="2"/>
      </rPr>
      <t xml:space="preserve"> </t>
    </r>
    <r>
      <rPr>
        <sz val="11"/>
        <color rgb="FF000000"/>
        <rFont val="Calibri"/>
        <family val="2"/>
      </rPr>
      <t xml:space="preserve">Enter the percent of sales/production that generates sales tax. </t>
    </r>
  </si>
  <si>
    <t xml:space="preserve">Explain the values and assumptions (with calculations if relevant) used to arrive at the value in D9.1 above. </t>
  </si>
  <si>
    <t>F. Optional Supplemental Information</t>
  </si>
  <si>
    <t>F4</t>
  </si>
  <si>
    <r>
      <t xml:space="preserve">Research and Development Facilities. 
</t>
    </r>
    <r>
      <rPr>
        <sz val="11"/>
        <rFont val="Calibri"/>
        <family val="2"/>
        <scheme val="minor"/>
      </rPr>
      <t xml:space="preserve">Does your company have a facility located in California that performs research and development functions related to the product or production process at the Facility that is the subject of this Application? </t>
    </r>
  </si>
  <si>
    <t xml:space="preserve">Please briefly describe the research and development activities here and list the address of the R&amp;D facility. </t>
  </si>
  <si>
    <t>F5</t>
  </si>
  <si>
    <r>
      <t xml:space="preserve">Workforce Partnerships. 
</t>
    </r>
    <r>
      <rPr>
        <sz val="11"/>
        <rFont val="Calibri"/>
        <family val="2"/>
        <scheme val="minor"/>
      </rPr>
      <t>Does the Facility have partnerships with educational institutions either for the purpose of training the workers at the Facility or for purposes of assisting in the training of potential future workers, including workers from disadvantaged communities including women, racial minorities, formerly incarcerated, and veterans?</t>
    </r>
  </si>
  <si>
    <t>Please briefly describe the nature of the workforce partnership and list the name of the partnering educational institution.</t>
  </si>
  <si>
    <t>F6</t>
  </si>
  <si>
    <r>
      <t xml:space="preserve">Industry Cluster. 
</t>
    </r>
    <r>
      <rPr>
        <sz val="11"/>
        <rFont val="Calibri"/>
        <family val="2"/>
        <scheme val="minor"/>
      </rPr>
      <t>Has the industry associated with this Application been identified by a California state or local government entity or regional economic development authority as an industry cluster, strategic cluster, or competitive cluster of the region within which the Applicant’s project resides?</t>
    </r>
  </si>
  <si>
    <t>Please identify the industry and the entity that has identified this industry as an Industry Cluster.</t>
  </si>
  <si>
    <t>F7</t>
  </si>
  <si>
    <r>
      <t xml:space="preserve">Emerging Strategic Industry. 
</t>
    </r>
    <r>
      <rPr>
        <sz val="11"/>
        <rFont val="Calibri"/>
        <family val="2"/>
        <scheme val="minor"/>
      </rPr>
      <t xml:space="preserve">Please indicate in the box at right if the Applicant is in one of the indicated Emerging Strategic Industries. </t>
    </r>
  </si>
  <si>
    <t>N/A</t>
  </si>
  <si>
    <t>F8</t>
  </si>
  <si>
    <r>
      <t xml:space="preserve">Benefits and Fringe Benefits. </t>
    </r>
    <r>
      <rPr>
        <sz val="11"/>
        <rFont val="Calibri"/>
        <family val="2"/>
        <scheme val="minor"/>
      </rPr>
      <t>Please indicate if any of the following are provided to employees (please indicate all that apply)</t>
    </r>
    <r>
      <rPr>
        <b/>
        <sz val="11"/>
        <rFont val="Calibri"/>
        <family val="2"/>
        <scheme val="minor"/>
      </rPr>
      <t>:</t>
    </r>
  </si>
  <si>
    <t>Medical</t>
  </si>
  <si>
    <t xml:space="preserve">Health </t>
  </si>
  <si>
    <t>Dental</t>
  </si>
  <si>
    <t>Vision</t>
  </si>
  <si>
    <t>Bonuses</t>
  </si>
  <si>
    <t>Pension plans</t>
  </si>
  <si>
    <t>Retirement contributions</t>
  </si>
  <si>
    <t>Profit sharing</t>
  </si>
  <si>
    <t>Dependent care &amp; assistance reimbursement</t>
  </si>
  <si>
    <t>Transportation subsidies</t>
  </si>
  <si>
    <t>Education reimbursement</t>
  </si>
  <si>
    <t>Gym subsidies</t>
  </si>
  <si>
    <t>Employee discounts</t>
  </si>
  <si>
    <t>Paid leave</t>
  </si>
  <si>
    <t>Navigation</t>
  </si>
  <si>
    <t>ALTERNATIVE_ENERGY</t>
  </si>
  <si>
    <r>
      <rPr>
        <b/>
        <sz val="12"/>
        <color theme="1"/>
        <rFont val="Calibri"/>
        <family val="2"/>
        <scheme val="minor"/>
      </rPr>
      <t xml:space="preserve">Instructions:  </t>
    </r>
    <r>
      <rPr>
        <sz val="12"/>
        <color theme="1"/>
        <rFont val="Calibri"/>
        <family val="2"/>
        <scheme val="minor"/>
      </rPr>
      <t>Please enter the information requested in the white boxes below or select from the choices in the blue drop-down list.  When requested, please explain calculations and assumptions used. If actual values are not known, good faith estimates are acceptable. All Applicant-provided values may be subject to verification.</t>
    </r>
  </si>
  <si>
    <t xml:space="preserve">Explain the values and assumptions (with calculations if relevant) used to arrive at the value in C2 above. </t>
  </si>
  <si>
    <r>
      <rPr>
        <b/>
        <sz val="11"/>
        <rFont val="Calibri"/>
        <family val="2"/>
        <scheme val="minor"/>
      </rPr>
      <t xml:space="preserve">Projected average number of employees (FTE) at Facility, assuming Qualified Property is </t>
    </r>
    <r>
      <rPr>
        <b/>
        <u/>
        <sz val="11"/>
        <rFont val="Calibri"/>
        <family val="2"/>
        <scheme val="minor"/>
      </rPr>
      <t>not</t>
    </r>
    <r>
      <rPr>
        <b/>
        <sz val="11"/>
        <rFont val="Calibri"/>
        <family val="2"/>
        <scheme val="minor"/>
      </rPr>
      <t xml:space="preserve"> utilized.</t>
    </r>
    <r>
      <rPr>
        <sz val="11"/>
        <rFont val="Calibri"/>
        <family val="2"/>
        <scheme val="minor"/>
      </rPr>
      <t xml:space="preserve"> Enter the estimated average number of employees to be employed each year if the Qualified Property is not purchased. Value should be in annual full time equivalents (FTE); part-time employees should be counted as a fraction of a full time employee. Do not include construction related FTEs.</t>
    </r>
  </si>
  <si>
    <t xml:space="preserve">Explain the values and assumptions (with calculations if relevant) used to arrive at the value in C2.1 above. </t>
  </si>
  <si>
    <t xml:space="preserve">Explain the values and assumptions (with calculations if relevant) used to arrive at the value in C3 above. </t>
  </si>
  <si>
    <t>D. Product Information</t>
  </si>
  <si>
    <r>
      <t>Projected average annual number of Qualified Products to be sold or shipped (number of units).</t>
    </r>
    <r>
      <rPr>
        <sz val="11"/>
        <rFont val="Calibri"/>
        <family val="2"/>
        <scheme val="minor"/>
      </rPr>
      <t xml:space="preserve"> Enter total estimated </t>
    </r>
    <r>
      <rPr>
        <u/>
        <sz val="11"/>
        <rFont val="Calibri"/>
        <family val="2"/>
        <scheme val="minor"/>
      </rPr>
      <t>average</t>
    </r>
    <r>
      <rPr>
        <sz val="11"/>
        <rFont val="Calibri"/>
        <family val="2"/>
        <scheme val="minor"/>
      </rPr>
      <t xml:space="preserve"> </t>
    </r>
    <r>
      <rPr>
        <u/>
        <sz val="11"/>
        <rFont val="Calibri"/>
        <family val="2"/>
        <scheme val="minor"/>
      </rPr>
      <t xml:space="preserve">annual </t>
    </r>
    <r>
      <rPr>
        <sz val="11"/>
        <rFont val="Calibri"/>
        <family val="2"/>
        <scheme val="minor"/>
      </rPr>
      <t>facility production that will be sold or shipped, assuming Qualified Property is utilized. Entry should reflect average annual sales over Estimated Useful Lifespan of the Qualified Property (</t>
    </r>
    <r>
      <rPr>
        <u/>
        <sz val="11"/>
        <rFont val="Calibri"/>
        <family val="2"/>
        <scheme val="minor"/>
      </rPr>
      <t>i.e. should reflect any ramp up period and not just peak production</t>
    </r>
    <r>
      <rPr>
        <sz val="11"/>
        <rFont val="Calibri"/>
        <family val="2"/>
        <scheme val="minor"/>
      </rPr>
      <t xml:space="preserve">). If units of multiple sizes or capacities are produced, enter the average value here or a standardized value (e.g. 1 watt of generation capacity for a solar panel). </t>
    </r>
    <r>
      <rPr>
        <b/>
        <sz val="11"/>
        <color indexed="10"/>
        <rFont val="Calibri"/>
        <family val="2"/>
        <scheme val="minor"/>
      </rPr>
      <t xml:space="preserve">Note that units must be consistent throughout Sections D and E. </t>
    </r>
  </si>
  <si>
    <t>Define the unit used and explain the assumptions (with calculations if relevant) used to arrive at the value in D2 above.</t>
  </si>
  <si>
    <t xml:space="preserve">Explain the values and assumptions (with calculations if relevant) used to arrive at the value in D3 above. </t>
  </si>
  <si>
    <t xml:space="preserve">Explain the values and assumptions (with calculations if relevant) used to arrive at the value in D4 above. </t>
  </si>
  <si>
    <t xml:space="preserve">Explain the values and assumptions (with calculations if relevant) used to arrive at the value in D5 above. </t>
  </si>
  <si>
    <t xml:space="preserve">Explain the values and assumptions (with calculations if relevant) used to arrive at the value in D6 above. </t>
  </si>
  <si>
    <t xml:space="preserve">Explain the values and assumptions (with calculations if relevant) used to arrive at the value in D7 above. </t>
  </si>
  <si>
    <r>
      <rPr>
        <b/>
        <sz val="11"/>
        <color theme="1"/>
        <rFont val="Calibri"/>
        <family val="2"/>
        <scheme val="minor"/>
      </rPr>
      <t>Expected useful life of product, in years</t>
    </r>
    <r>
      <rPr>
        <sz val="11"/>
        <rFont val="Arial"/>
        <family val="2"/>
      </rPr>
      <t xml:space="preserve">. </t>
    </r>
    <r>
      <rPr>
        <sz val="11"/>
        <color theme="1"/>
        <rFont val="Calibri"/>
        <family val="2"/>
        <scheme val="minor"/>
      </rPr>
      <t xml:space="preserve">Enter the number of years that the product is expected to last. </t>
    </r>
  </si>
  <si>
    <t>D9</t>
  </si>
  <si>
    <r>
      <rPr>
        <b/>
        <sz val="11"/>
        <color theme="1"/>
        <rFont val="Calibri"/>
        <family val="2"/>
        <scheme val="minor"/>
      </rPr>
      <t>Is the product a sub-component of a Qualified Product?</t>
    </r>
    <r>
      <rPr>
        <sz val="11"/>
        <rFont val="Arial"/>
        <family val="2"/>
      </rPr>
      <t xml:space="preserve"> </t>
    </r>
    <r>
      <rPr>
        <sz val="11"/>
        <color theme="1"/>
        <rFont val="Calibri"/>
        <family val="2"/>
        <scheme val="minor"/>
      </rPr>
      <t>For example, if the product produced with the Qualified Property is a battery pack for an electric car drive train, enter "Yes" here. If the product is an end of supply chain product enter "No" here. (Note that cells in the rows below are intentionally shaded when "No" is selected in the box at right.)</t>
    </r>
  </si>
  <si>
    <t>D10</t>
  </si>
  <si>
    <r>
      <rPr>
        <b/>
        <sz val="11"/>
        <color theme="1"/>
        <rFont val="Calibri"/>
        <family val="2"/>
        <scheme val="minor"/>
      </rPr>
      <t>What is the total value of the efficiency or energy generation component of the end of supply chain product?</t>
    </r>
    <r>
      <rPr>
        <sz val="11"/>
        <rFont val="Arial"/>
        <family val="2"/>
      </rPr>
      <t xml:space="preserve"> </t>
    </r>
    <r>
      <rPr>
        <sz val="11"/>
        <color theme="1"/>
        <rFont val="Calibri"/>
        <family val="2"/>
        <scheme val="minor"/>
      </rPr>
      <t xml:space="preserve">For example, if the product is a battery pack for an electric car, enter the value of the electric drive train here and the value of the battery pack in box D3 above. </t>
    </r>
  </si>
  <si>
    <t xml:space="preserve">Explain the values and assumptions (with calculations if relevant) used to arrive at the value in D10 above. </t>
  </si>
  <si>
    <t>D11</t>
  </si>
  <si>
    <r>
      <rPr>
        <b/>
        <sz val="11"/>
        <color theme="1"/>
        <rFont val="Calibri"/>
        <family val="2"/>
        <scheme val="minor"/>
      </rPr>
      <t>Estimated percent of total end-of-supply-chain product sales in California?</t>
    </r>
    <r>
      <rPr>
        <sz val="11"/>
        <rFont val="Arial"/>
        <family val="2"/>
      </rPr>
      <t xml:space="preserve"> </t>
    </r>
    <r>
      <rPr>
        <sz val="11"/>
        <color theme="1"/>
        <rFont val="Calibri"/>
        <family val="2"/>
        <scheme val="minor"/>
      </rPr>
      <t>Enter the estimated percent of the end product's total sales to California customers. Value should be calculated over the Estimated Useful Lifespan of the Qualified Property.</t>
    </r>
  </si>
  <si>
    <t xml:space="preserve">Explain the values and assumptions (with calculations if relevant) used to arrive at the value in D11 above. </t>
  </si>
  <si>
    <t>D12</t>
  </si>
  <si>
    <t>D12.1</t>
  </si>
  <si>
    <t xml:space="preserve">Explain the values and assumptions (with calculations if relevant) used to arrive at the value in D12.1 above. </t>
  </si>
  <si>
    <t>E. Environmental Impact</t>
  </si>
  <si>
    <t>E1</t>
  </si>
  <si>
    <t>Unit of Energy Produced</t>
  </si>
  <si>
    <t>E2</t>
  </si>
  <si>
    <t>Explain the calculations and assumptions used.</t>
  </si>
  <si>
    <t>E3</t>
  </si>
  <si>
    <r>
      <rPr>
        <b/>
        <sz val="11"/>
        <rFont val="Calibri"/>
        <family val="2"/>
        <scheme val="minor"/>
      </rPr>
      <t xml:space="preserve">Does the product require consumption of fuel or energy to achieve the generation output listed above in E2? </t>
    </r>
    <r>
      <rPr>
        <sz val="11"/>
        <rFont val="Calibri"/>
        <family val="2"/>
        <scheme val="minor"/>
      </rPr>
      <t xml:space="preserve">For technologies such as fuel cells, which require consumption of fuel or energy to achieve the generation output listed above, select "Yes." For products that result in an accelerated release of C02 (or equivalent) relative to what would occur without the product (such as electricity generated by burning wood), also select "Yes." </t>
    </r>
  </si>
  <si>
    <t>E4</t>
  </si>
  <si>
    <r>
      <t xml:space="preserve">Pounds of CO2 emitted per unit of energy produced (e.g. pounds per MMBTU). </t>
    </r>
    <r>
      <rPr>
        <sz val="11"/>
        <rFont val="Calibri"/>
        <family val="2"/>
        <scheme val="minor"/>
      </rPr>
      <t xml:space="preserve">
State the calculated lbs of CO2 emitted per unit of energy produced. Note that this is use-phase emissions only, and does not include emissions associated with production or disposal.  For products that result in the accelerated release of C02 (or equivalent) relative to what would occur without the product (such as electricity generated by burning wood), enter the net increase relative to what otherwise would occur. </t>
    </r>
  </si>
  <si>
    <t>For products that accelerate the release, explain the calculations and assumptions used.</t>
  </si>
  <si>
    <t>E5</t>
  </si>
  <si>
    <r>
      <t xml:space="preserve">Pounds of SO2 emitted per unit of energy produced (e.g. pounds per MMBTU).  </t>
    </r>
    <r>
      <rPr>
        <sz val="11"/>
        <rFont val="Calibri"/>
        <family val="2"/>
        <scheme val="minor"/>
      </rPr>
      <t xml:space="preserve">
State the calculated lbs of SO2 emitted per unit. Note that this is use-phase emissions only, and does not include emissions associated with production or disposal.  For products that result in the accelerated release of S02 relative to what would occur without the product (such as electricity generated by burning wood), enter the net increase relative to what otherwise would occur. </t>
    </r>
  </si>
  <si>
    <t>E6</t>
  </si>
  <si>
    <r>
      <t xml:space="preserve">Pounds of NOx emitted per unit of energy produced (e.g. pounds per MMBTU). </t>
    </r>
    <r>
      <rPr>
        <sz val="11"/>
        <rFont val="Calibri"/>
        <family val="2"/>
        <scheme val="minor"/>
      </rPr>
      <t xml:space="preserve">
State the calculated lbs of NOx emitted per unit of energy produced. Note that this is use-phase emissions only, and does not include emissions associated with production or disposal.  For products that result in the accelerated release of NOx relative to what would occur without the product (such as electricity generated by burning wood), enter the net increase relative to what otherwise would occur. </t>
    </r>
  </si>
  <si>
    <t>E7</t>
  </si>
  <si>
    <r>
      <t xml:space="preserve">Pounds of Other pollutants emitted per unit of energy produced (please specify). </t>
    </r>
    <r>
      <rPr>
        <sz val="11"/>
        <rFont val="Calibri"/>
        <family val="2"/>
        <scheme val="minor"/>
      </rPr>
      <t xml:space="preserve">State the calculated lbs of other pollutants emitted per unit in California. Note that this is use-phase emissions only, and does not include emissions associated with production or disposal.  For products that result in the accelerated release of other pollutants relative to what would occur without the product (such as electricity generated by burning wood), enter the net increase relative to what otherwise would occur. </t>
    </r>
  </si>
  <si>
    <t>E8</t>
  </si>
  <si>
    <r>
      <t xml:space="preserve">Cost in dollars per pound for Other pollutants emitted per unit (please specify). </t>
    </r>
    <r>
      <rPr>
        <sz val="11"/>
        <rFont val="Calibri"/>
        <family val="2"/>
        <scheme val="minor"/>
      </rPr>
      <t xml:space="preserve">Provide the cost in dollars per pound for the other pollutants identified in Box E8. </t>
    </r>
  </si>
  <si>
    <t>F0</t>
  </si>
  <si>
    <r>
      <t xml:space="preserve">Does the product produce additional environmental benefits </t>
    </r>
    <r>
      <rPr>
        <sz val="11"/>
        <color rgb="FFFF0000"/>
        <rFont val="Calibri"/>
        <family val="2"/>
        <scheme val="minor"/>
      </rPr>
      <t xml:space="preserve">that are unrelated </t>
    </r>
    <r>
      <rPr>
        <sz val="11"/>
        <rFont val="Calibri"/>
        <family val="2"/>
        <scheme val="minor"/>
      </rPr>
      <t>to the generation of additional electricity, production of additional alternative source fuels, reduction in energy use, or increase in efficiency?</t>
    </r>
  </si>
  <si>
    <t>F1</t>
  </si>
  <si>
    <r>
      <t xml:space="preserve">Additional environmental benefit description. </t>
    </r>
    <r>
      <rPr>
        <sz val="11"/>
        <rFont val="Calibri"/>
        <family val="2"/>
        <scheme val="minor"/>
      </rPr>
      <t xml:space="preserve">
Enter a narrative description of the additional environmental benefits from product use that are </t>
    </r>
    <r>
      <rPr>
        <u/>
        <sz val="11"/>
        <rFont val="Calibri"/>
        <family val="2"/>
        <scheme val="minor"/>
      </rPr>
      <t>unrelated</t>
    </r>
    <r>
      <rPr>
        <sz val="11"/>
        <rFont val="Calibri"/>
        <family val="2"/>
        <scheme val="minor"/>
      </rPr>
      <t xml:space="preserve"> to the generation of additional electricity, production of additional alternative source fuels, reduction in energy use, or increase in efficiency. </t>
    </r>
  </si>
  <si>
    <t>F2</t>
  </si>
  <si>
    <t xml:space="preserve">Explain calculations and assumptions. </t>
  </si>
  <si>
    <t>F3</t>
  </si>
  <si>
    <t>ENERGY_EFFICIENCY</t>
  </si>
  <si>
    <r>
      <rPr>
        <b/>
        <sz val="11"/>
        <rFont val="Calibri"/>
        <family val="2"/>
        <scheme val="minor"/>
      </rPr>
      <t xml:space="preserve">Instructions: </t>
    </r>
    <r>
      <rPr>
        <sz val="11"/>
        <rFont val="Calibri"/>
        <family val="2"/>
        <scheme val="minor"/>
      </rPr>
      <t xml:space="preserve"> Please enter the information requested in the white boxes below or select from the choices in the blue drop-down list.  When requested, please explain calculations and assumptions used. If actual values are not known, good faith estimates are acceptable. All Applicant-provided values may be subject to verification.</t>
    </r>
  </si>
  <si>
    <t>Explain the values and assumptions (with calculations if relevant) used to arrive at the value in C2.1 above.</t>
  </si>
  <si>
    <t>Define the unit used and explain the values and assumptions (with calcualtions if relevant) used to arrive at the value in D2 above.</t>
  </si>
  <si>
    <t>E9</t>
  </si>
  <si>
    <r>
      <t xml:space="preserve">Type of energy conserved (units). </t>
    </r>
    <r>
      <rPr>
        <sz val="12"/>
        <rFont val="Calibri"/>
        <family val="2"/>
        <scheme val="minor"/>
      </rPr>
      <t xml:space="preserve">
Select the type of energy units conserved here. </t>
    </r>
  </si>
  <si>
    <t>E10</t>
  </si>
  <si>
    <t xml:space="preserve">Explain calculation and identify the energy efficiency standard that is the basis for the baseline system consumption. </t>
  </si>
  <si>
    <t>E11</t>
  </si>
  <si>
    <r>
      <t xml:space="preserve">Annual improved system consumption per unit. </t>
    </r>
    <r>
      <rPr>
        <sz val="11"/>
        <rFont val="Calibri"/>
        <family val="2"/>
        <scheme val="minor"/>
      </rPr>
      <t>Annual energy consumption of improved system (WITH efficiency technology under typical operation).</t>
    </r>
  </si>
  <si>
    <t>Explain calculations and assumptions used.</t>
  </si>
  <si>
    <r>
      <t xml:space="preserve">Additional environmental benefit description. </t>
    </r>
    <r>
      <rPr>
        <sz val="11"/>
        <rFont val="Calibri"/>
        <family val="2"/>
        <scheme val="minor"/>
      </rPr>
      <t xml:space="preserve">
Enter a narrative description of the additional environmental benefits from product use that are </t>
    </r>
    <r>
      <rPr>
        <u/>
        <sz val="11"/>
        <rFont val="Calibri"/>
        <family val="2"/>
        <scheme val="minor"/>
      </rPr>
      <t xml:space="preserve">unrelated </t>
    </r>
    <r>
      <rPr>
        <sz val="11"/>
        <rFont val="Calibri"/>
        <family val="2"/>
        <scheme val="minor"/>
      </rPr>
      <t xml:space="preserve">to the generation of additional electricity, production of additional alternative source fuels, reduction in energy use, or increase in efficiency. </t>
    </r>
  </si>
  <si>
    <r>
      <rPr>
        <b/>
        <sz val="11"/>
        <rFont val="Calibri"/>
        <family val="2"/>
        <scheme val="minor"/>
      </rPr>
      <t xml:space="preserve">Amount of pollution avoided per unit (as defined in D2). </t>
    </r>
    <r>
      <rPr>
        <i/>
        <sz val="11"/>
        <rFont val="Calibri"/>
        <family val="2"/>
        <scheme val="minor"/>
      </rPr>
      <t xml:space="preserve">
</t>
    </r>
    <r>
      <rPr>
        <sz val="11"/>
        <rFont val="Calibri"/>
        <family val="2"/>
        <scheme val="minor"/>
      </rPr>
      <t>State the amount of pollution avoided in standard mass or volume metrics for the pollution type.</t>
    </r>
  </si>
  <si>
    <r>
      <t xml:space="preserve">Value of environmental benefits (pollution avoided) per unit (as defined in D2). </t>
    </r>
    <r>
      <rPr>
        <sz val="11"/>
        <rFont val="Calibri"/>
        <family val="2"/>
        <scheme val="minor"/>
      </rPr>
      <t xml:space="preserve">
Enter the value of the pollution avoided (in dollars).</t>
    </r>
  </si>
  <si>
    <r>
      <t xml:space="preserve">Emerging Strategic Industry. 
</t>
    </r>
    <r>
      <rPr>
        <sz val="11"/>
        <rFont val="Calibri"/>
        <family val="2"/>
        <scheme val="minor"/>
      </rPr>
      <t>Please indicate in the box at right if the Applicant is in one of the indicated Emerging Strategic Industries.</t>
    </r>
    <r>
      <rPr>
        <b/>
        <sz val="11"/>
        <rFont val="Calibri"/>
        <family val="2"/>
        <scheme val="minor"/>
      </rPr>
      <t xml:space="preserve"> </t>
    </r>
  </si>
  <si>
    <t>ADVANCED_TRANSPORTATION</t>
  </si>
  <si>
    <t>Define the unit used and explain the values and assumptions (with calculations if relevant) used to arrive at the value in D2 above.</t>
  </si>
  <si>
    <t xml:space="preserve">Estimated percent of end-of-supply-chain product sales that generate sales tax? Enter the percent of sales/production that generates sales tax. </t>
  </si>
  <si>
    <t>E12</t>
  </si>
  <si>
    <r>
      <t xml:space="preserve">Annual baseline system consumption (GGE/yr) per unit. 
</t>
    </r>
    <r>
      <rPr>
        <sz val="11"/>
        <rFont val="Calibri"/>
        <family val="2"/>
        <scheme val="minor"/>
      </rPr>
      <t xml:space="preserve">For products that will improve fuel efficiency, state the likely annual fuel consumption of baseline system WITHOUT efficiency technology under typical operation (in GGE/year). All electric cars should enter the estimated GGE/year consumed by a comparable non-electric car. A GGE is a Gallon of Gas Equivalent, defined as the amount of fuel that has the equivalent amount of energy as one gallon of gasoline. </t>
    </r>
  </si>
  <si>
    <t xml:space="preserve">Explain calculations and assumptions used. </t>
  </si>
  <si>
    <t>E13</t>
  </si>
  <si>
    <r>
      <t xml:space="preserve">Annual improved system consumption (GGE/yr) per unit. 
</t>
    </r>
    <r>
      <rPr>
        <sz val="11"/>
        <rFont val="Calibri"/>
        <family val="2"/>
        <scheme val="minor"/>
      </rPr>
      <t xml:space="preserve">For products that will improve fuel efficiency, state the likely annual fuel consumption of baseline system WITH efficiency technology under typical operation (in GGE/year). Electric vehicles enter zero here. </t>
    </r>
  </si>
  <si>
    <t>E14</t>
  </si>
  <si>
    <r>
      <t xml:space="preserve">Annual consumption of offsetting energy per unit (in MWh) per unit. 
</t>
    </r>
    <r>
      <rPr>
        <sz val="11"/>
        <rFont val="Calibri"/>
        <family val="2"/>
        <scheme val="minor"/>
      </rPr>
      <t xml:space="preserve">For technologies, such as electric vehicles, that require electricity consumption to enable fuel savings listed, state the estimated MWh consumed per year. </t>
    </r>
  </si>
  <si>
    <t>ADVANCED_MANUFACTURING</t>
  </si>
  <si>
    <t xml:space="preserve">Explain the values and assumptions (with calculations if relevant) used to arrive at the value in D8.1 above. </t>
  </si>
  <si>
    <t>E15</t>
  </si>
  <si>
    <r>
      <t xml:space="preserve">Environmental Benefits. </t>
    </r>
    <r>
      <rPr>
        <sz val="11"/>
        <rFont val="Calibri"/>
        <family val="2"/>
        <scheme val="minor"/>
      </rPr>
      <t>Does your manufacturing process result in environmental benefits?</t>
    </r>
  </si>
  <si>
    <t>If yes, provide a brief description of the environmental benefits associated with your Advanced Manufacturing process.</t>
  </si>
  <si>
    <t>E16</t>
  </si>
  <si>
    <r>
      <t>Environmental Sustainability Plan.</t>
    </r>
    <r>
      <rPr>
        <sz val="11"/>
        <rFont val="Calibri"/>
        <family val="2"/>
        <scheme val="minor"/>
      </rPr>
      <t xml:space="preserve"> Does your company have an environmental sustainability plan in place that tracks water, energy, solid and hazardous waste generation or air pollution emissions at the Facility described in this Application? </t>
    </r>
  </si>
  <si>
    <t>If yes, please provide a brief description of the plan here and attach a copy of the plan to the application.</t>
  </si>
  <si>
    <t>E17</t>
  </si>
  <si>
    <r>
      <t xml:space="preserve">Energy consumption. </t>
    </r>
    <r>
      <rPr>
        <sz val="11"/>
        <rFont val="Calibri"/>
        <family val="2"/>
        <scheme val="minor"/>
      </rPr>
      <t>Percent change in energy intensity (i.e. energy use per unit of output) resulting from the production process described in this Application relative to the prior/historical production process used by your Facility or company, the process utilized by your closest competitor, or the industry standard for a comparable product. If no change in energy intensity, enter zero.</t>
    </r>
  </si>
  <si>
    <t>If your production process results in a percent change in energy intensity, explain your calculations.  Please note the types(s) and extent of energy conserved and the source of the baseline (e.g. prior performance, industry standard, etc.).</t>
  </si>
  <si>
    <t>E18</t>
  </si>
  <si>
    <r>
      <t xml:space="preserve">Water use. </t>
    </r>
    <r>
      <rPr>
        <sz val="11"/>
        <rFont val="Calibri"/>
        <family val="2"/>
        <scheme val="minor"/>
      </rPr>
      <t>Percent change in water use (per unit of output) resulting from the production process described in this Application relative to the prior/historical production process used by your Facility or company, the process utilized by your closest competitor, or the industry standard for a comparable product. If no change in energy intensity, enter zero.</t>
    </r>
  </si>
  <si>
    <t>If your production process results in a percent change in water use, explain your calculations.Please note the extent of water savings and the source of the baseline (e.g. prior performance, industry standard, etc.).</t>
  </si>
  <si>
    <t>E19</t>
  </si>
  <si>
    <r>
      <t xml:space="preserve">Solid waste. </t>
    </r>
    <r>
      <rPr>
        <sz val="11"/>
        <rFont val="Calibri"/>
        <family val="2"/>
        <scheme val="minor"/>
      </rPr>
      <t>Percent change in solid waste generation going (per unit of output) resulting from the production process described in this Application relative to the prior/historical production process used by your Facility or company, the process utilized by your closest competitor, or the industry standard for a comparable product. If no change in energy intensity, enter zero.</t>
    </r>
  </si>
  <si>
    <t>If your production process results in a percent change in solid waste, explain your calculations.Please note the types(s) and extent of waste that is reduced and the source of the baseline (e.g. prior performance, industry standard, etc.).</t>
  </si>
  <si>
    <t>E20</t>
  </si>
  <si>
    <r>
      <t xml:space="preserve">Hazardous waste. </t>
    </r>
    <r>
      <rPr>
        <sz val="11"/>
        <rFont val="Calibri"/>
        <family val="2"/>
        <scheme val="minor"/>
      </rPr>
      <t>Percent change in hazardous waste generation going (per unit of output) resulting from the production process described in this Application relative to the prior/historical production process used by your Facility or company, the process utilized by your closest competitor, or the industry standard for a comparable product. If no change in energy intensity, enter zero.</t>
    </r>
  </si>
  <si>
    <t>If your production process results in a percent change in hazardous waste, explain your calculations. Please note the types(s) and extent of waste that is reduced and the source of the baseline (e.g. prior performance, industry standard, etc.).</t>
  </si>
  <si>
    <t>E21</t>
  </si>
  <si>
    <r>
      <t xml:space="preserve">Air Pollutants. </t>
    </r>
    <r>
      <rPr>
        <sz val="11"/>
        <rFont val="Calibri"/>
        <family val="2"/>
        <scheme val="minor"/>
      </rPr>
      <t>Percent change in emissions of air pollutants (per unit of output) resulting from the production process described in this Application relative to the prior/historical production process used by your Facility or company, the process utilized by your closest competitor, or the industry standard for a comparable product. If no change in energy intensity, enter zero.</t>
    </r>
  </si>
  <si>
    <t>If your production process results in a percent change in air pollutants, explain your calculations. Please note the types(s) and extent of pollution that is reduced and the source of the baseline (e.g. prior performance, industry standard, etc.).</t>
  </si>
  <si>
    <t>E22</t>
  </si>
  <si>
    <r>
      <t xml:space="preserve">Other Pollutants. </t>
    </r>
    <r>
      <rPr>
        <sz val="11"/>
        <rFont val="Calibri"/>
        <family val="2"/>
        <scheme val="minor"/>
      </rPr>
      <t>Percent change in emissions of other pollutants (per unit of output) resulting from the production process described in this Application relative to the prior/historical production process used by your Facility or company, the process utilized by your closest competitor, or the industry standard for a comparable product. If no change in energy intensity, enter zero.</t>
    </r>
  </si>
  <si>
    <t>If your production process results in a percent change in other pollutants, explain your calculations. Please note the types(s) and extent of pollution that is reduced and the source of the baseline (e.g. prior performance, industry standard, etc.).</t>
  </si>
  <si>
    <r>
      <t>Brief description/name of recycled material to be produced with Qualified Property.</t>
    </r>
    <r>
      <rPr>
        <sz val="11"/>
        <rFont val="Calibri"/>
        <family val="2"/>
        <scheme val="minor"/>
      </rPr>
      <t xml:space="preserve"> Please provide a brief (&lt;25 words) description of the product to be made with the Qualified Property. </t>
    </r>
  </si>
  <si>
    <t>Type of recycled material to be produced (select from dropdown). Compost producers, select "Mixed Organics"</t>
  </si>
  <si>
    <r>
      <t>Projected average annual tons of recycled material to be sold or shipped.</t>
    </r>
    <r>
      <rPr>
        <sz val="11"/>
        <rFont val="Calibri"/>
        <family val="2"/>
        <scheme val="minor"/>
      </rPr>
      <t xml:space="preserve"> Enter total estimated </t>
    </r>
    <r>
      <rPr>
        <u/>
        <sz val="11"/>
        <rFont val="Calibri"/>
        <family val="2"/>
        <scheme val="minor"/>
      </rPr>
      <t>average</t>
    </r>
    <r>
      <rPr>
        <sz val="11"/>
        <rFont val="Calibri"/>
        <family val="2"/>
        <scheme val="minor"/>
      </rPr>
      <t xml:space="preserve"> </t>
    </r>
    <r>
      <rPr>
        <u/>
        <sz val="11"/>
        <rFont val="Calibri"/>
        <family val="2"/>
        <scheme val="minor"/>
      </rPr>
      <t xml:space="preserve">annual </t>
    </r>
    <r>
      <rPr>
        <sz val="11"/>
        <rFont val="Calibri"/>
        <family val="2"/>
        <scheme val="minor"/>
      </rPr>
      <t>facility production that will be sold or shipped, assuming Qualified Property is utilized. Entry should reflect average annual sales over Estimated Useful Lifespan of the Qualified Property (</t>
    </r>
    <r>
      <rPr>
        <u/>
        <sz val="11"/>
        <rFont val="Calibri"/>
        <family val="2"/>
        <scheme val="minor"/>
      </rPr>
      <t>i.e. should reflect any ramp up period and not just peak production</t>
    </r>
    <r>
      <rPr>
        <sz val="11"/>
        <rFont val="Calibri"/>
        <family val="2"/>
        <scheme val="minor"/>
      </rPr>
      <t xml:space="preserve">). </t>
    </r>
  </si>
  <si>
    <t>Explain the values and assumptions (with calculations if relevant) used to arrive at the value in D2 above.</t>
  </si>
  <si>
    <r>
      <rPr>
        <b/>
        <sz val="11"/>
        <color theme="1"/>
        <rFont val="Calibri"/>
        <family val="2"/>
        <scheme val="minor"/>
      </rPr>
      <t>Projected per unit sales price in dollars</t>
    </r>
    <r>
      <rPr>
        <sz val="11"/>
        <rFont val="Arial"/>
        <family val="2"/>
      </rPr>
      <t xml:space="preserve">. </t>
    </r>
    <r>
      <rPr>
        <sz val="11"/>
        <color theme="1"/>
        <rFont val="Calibri"/>
        <family val="2"/>
        <scheme val="minor"/>
      </rPr>
      <t>Enter the average sales price per ton of the recycled material you are producing. If multiple products are produced, enter the average across all Qualified Products.</t>
    </r>
  </si>
  <si>
    <r>
      <rPr>
        <b/>
        <sz val="11"/>
        <color theme="1"/>
        <rFont val="Calibri"/>
        <family val="2"/>
        <scheme val="minor"/>
      </rPr>
      <t xml:space="preserve">For asphalt/concrete recycling projects only. </t>
    </r>
    <r>
      <rPr>
        <sz val="11"/>
        <color theme="1"/>
        <rFont val="Calibri"/>
        <family val="2"/>
        <scheme val="minor"/>
      </rPr>
      <t>Of the average annual tons of recycled material to be sold or shipped (as listed in D3, above), estimate the percentage of the material that is asphalt (assuming the remainder is concrete).</t>
    </r>
  </si>
  <si>
    <t>Explain the value and assumptions (with calculations, if relevant) used to arrive at the value in D8</t>
  </si>
  <si>
    <t>D9.1</t>
  </si>
  <si>
    <t>Explain the value and assumptions (with calculations, if relevant) used to arrive at the value in D9.1</t>
  </si>
  <si>
    <t>OTHER_APPLICATION_TYPES</t>
  </si>
  <si>
    <t>Explain the values and assumptions (with calculations if relevant) used to arrive at the value in D10 above.</t>
  </si>
  <si>
    <r>
      <rPr>
        <b/>
        <sz val="11"/>
        <color theme="1"/>
        <rFont val="Calibri"/>
        <family val="2"/>
        <scheme val="minor"/>
      </rPr>
      <t>Estimated percent of total end of supply chain product sales in California?</t>
    </r>
    <r>
      <rPr>
        <sz val="11"/>
        <rFont val="Arial"/>
        <family val="2"/>
      </rPr>
      <t xml:space="preserve"> </t>
    </r>
    <r>
      <rPr>
        <sz val="11"/>
        <color theme="1"/>
        <rFont val="Calibri"/>
        <family val="2"/>
        <scheme val="minor"/>
      </rPr>
      <t>Enter the estimated percent of the end product's total sales to California customers. Value should be calculated over the Estimated Useful Lifespan of the Qualified Property.</t>
    </r>
  </si>
  <si>
    <t>Explan the values and assumptions (with calculations if relevant) used to arrive at the value in D11 above.</t>
  </si>
  <si>
    <t>Explain the value and assumptions (with calculations, if relevant) used to arrive at the value in D12.1</t>
  </si>
  <si>
    <t>E23</t>
  </si>
  <si>
    <r>
      <t xml:space="preserve">Description of environmental benefits. </t>
    </r>
    <r>
      <rPr>
        <sz val="11"/>
        <rFont val="Calibri"/>
        <family val="2"/>
        <scheme val="minor"/>
      </rPr>
      <t>Please provide a brief (&lt;25 words) description of the environmental benefits produced by a unit of your product.</t>
    </r>
  </si>
  <si>
    <t>E24</t>
  </si>
  <si>
    <r>
      <t>Annual value of pollution benefits per unit (as defined in D2).</t>
    </r>
    <r>
      <rPr>
        <sz val="11"/>
        <rFont val="Calibri"/>
        <family val="2"/>
        <scheme val="minor"/>
      </rPr>
      <t xml:space="preserve"> Enter the annual dollar value of allowable pollution benefits per unit. </t>
    </r>
  </si>
  <si>
    <t>E25</t>
  </si>
  <si>
    <r>
      <t xml:space="preserve">Annual cost of off-setting energy use per unit (as defined in D2). </t>
    </r>
    <r>
      <rPr>
        <sz val="11"/>
        <rFont val="Calibri"/>
        <family val="2"/>
        <scheme val="minor"/>
      </rPr>
      <t xml:space="preserve">Enter the annual dollar value of any off-setting energy pollution costs from the production of one unit. </t>
    </r>
  </si>
  <si>
    <t>ADVANCED TRANSPORTATION, ALTERNATIVE SOURCE AND ADVANCED MANUFACTURING SALES AND USE TAX EXCLUSION PROGRAM APPLICATION</t>
  </si>
  <si>
    <t>Project Scoring Worksheet</t>
  </si>
  <si>
    <t xml:space="preserve">This section contains scoring calculations based on the Applicant provided information and the assumptions contained in the yellow shaded boxes. </t>
  </si>
  <si>
    <t xml:space="preserve">All calculations and resulting scores are for the Applicants information only, and do not represent the actual score an Application will receive. </t>
  </si>
  <si>
    <t>Official Use Only</t>
  </si>
  <si>
    <t>Application Number</t>
  </si>
  <si>
    <t>Date Received</t>
  </si>
  <si>
    <t>Application Version</t>
  </si>
  <si>
    <t>Project Type</t>
  </si>
  <si>
    <t>Fee Amount Received</t>
  </si>
  <si>
    <t>Submission Date</t>
  </si>
  <si>
    <t>Requested Approval Date</t>
  </si>
  <si>
    <t>Primary Reviewer</t>
  </si>
  <si>
    <t>Application Type and Worksheet Reference</t>
  </si>
  <si>
    <t>Economic Benefit Calculation</t>
  </si>
  <si>
    <t>Input Values/Calculations</t>
  </si>
  <si>
    <t>Acronym</t>
  </si>
  <si>
    <t>Assumptions</t>
  </si>
  <si>
    <t>Output (Value-added)</t>
  </si>
  <si>
    <t>Additional Employee Benefit Assumption</t>
  </si>
  <si>
    <t>Annual Labor</t>
  </si>
  <si>
    <t>Applicant Cost of Capital</t>
  </si>
  <si>
    <t>Capital Share of Output</t>
  </si>
  <si>
    <t>Price Elasticity of Demand for Output</t>
  </si>
  <si>
    <t>Annual implied payment for capital stock used for production</t>
  </si>
  <si>
    <t>Elasticity of Substitution between Capital &amp; Labor</t>
  </si>
  <si>
    <t>Implied total annual capital (total - labor)</t>
  </si>
  <si>
    <t>Total Capital</t>
  </si>
  <si>
    <t>Multiplier for Increase in Statewide Output</t>
  </si>
  <si>
    <t>Equipment capital as % of Total capital (max = 100)</t>
  </si>
  <si>
    <t>Discount rate</t>
  </si>
  <si>
    <t>Discount_rate</t>
  </si>
  <si>
    <t>Weighted applicant factor share of capital</t>
  </si>
  <si>
    <t>Average Statewide Sales Tax Rate</t>
  </si>
  <si>
    <t>STR</t>
  </si>
  <si>
    <t>PICI based on weighted applicant factor share</t>
  </si>
  <si>
    <t>PICI</t>
  </si>
  <si>
    <t xml:space="preserve">Value of the Qualified Property </t>
  </si>
  <si>
    <t>VQP</t>
  </si>
  <si>
    <t>Exclusion Amount</t>
  </si>
  <si>
    <t>Marginal Increase in Qualified Property</t>
  </si>
  <si>
    <t>MIQP</t>
  </si>
  <si>
    <t>Marginal Increase % of total capital</t>
  </si>
  <si>
    <t>Estimated Annual Sales</t>
  </si>
  <si>
    <t>Capital to Sales Ratio</t>
  </si>
  <si>
    <t>Marginal increase in sales</t>
  </si>
  <si>
    <t>MIS</t>
  </si>
  <si>
    <t>Marginal increase in units</t>
  </si>
  <si>
    <t>MIU</t>
  </si>
  <si>
    <t>Marginal increase in in-state supplier purchases</t>
  </si>
  <si>
    <t>MISP</t>
  </si>
  <si>
    <t>Annual increase in employee wages</t>
  </si>
  <si>
    <t>AIEW</t>
  </si>
  <si>
    <t>Annual multiplier Increase in statewide output</t>
  </si>
  <si>
    <t>MISO</t>
  </si>
  <si>
    <t>Weighted average capital life span (yrs)</t>
  </si>
  <si>
    <t>WALS</t>
  </si>
  <si>
    <t>Present Value of Marginal Sales</t>
  </si>
  <si>
    <t>PVMIS</t>
  </si>
  <si>
    <t>Present Value of Multiplier Output</t>
  </si>
  <si>
    <t>PVMISO</t>
  </si>
  <si>
    <t>Fiscal Benefit Calculation</t>
  </si>
  <si>
    <t>Percent of Sales in California</t>
  </si>
  <si>
    <t xml:space="preserve">POSCA </t>
  </si>
  <si>
    <t>Average state income tax rate</t>
  </si>
  <si>
    <t>SIR</t>
  </si>
  <si>
    <t>Value Added %</t>
  </si>
  <si>
    <t>VA</t>
  </si>
  <si>
    <t>Property tax rate</t>
  </si>
  <si>
    <t>PTR</t>
  </si>
  <si>
    <t>Labor as % of Total Sales</t>
  </si>
  <si>
    <t>Total State and Local Revenues/GSP</t>
  </si>
  <si>
    <t>GRSO</t>
  </si>
  <si>
    <t>Increased taxable CA sales</t>
  </si>
  <si>
    <t>Tax rate on LLCs</t>
  </si>
  <si>
    <t>Increased employee wages</t>
  </si>
  <si>
    <t>Effective Average Tax Rate on California Gross Profit (C Corporations)</t>
  </si>
  <si>
    <t>Increased AV (equip)</t>
  </si>
  <si>
    <t>Estimated Annual California Corporation or Income Tax liability</t>
  </si>
  <si>
    <t>ATL</t>
  </si>
  <si>
    <t>Percent of sales generating sales taxes</t>
  </si>
  <si>
    <t>Sales taxes</t>
  </si>
  <si>
    <t>IST</t>
  </si>
  <si>
    <t>Personal income taxes</t>
  </si>
  <si>
    <t xml:space="preserve">IPIT </t>
  </si>
  <si>
    <t>Firm taxes on profits</t>
  </si>
  <si>
    <t>ICIT</t>
  </si>
  <si>
    <t>Property taxes</t>
  </si>
  <si>
    <t>IPT</t>
  </si>
  <si>
    <t>Sub-total Direct Fiscal Benefit</t>
  </si>
  <si>
    <t>DFB</t>
  </si>
  <si>
    <t>Indirect Fiscal Benefit</t>
  </si>
  <si>
    <t>IFB</t>
  </si>
  <si>
    <t>Total Fiscal Benefit</t>
  </si>
  <si>
    <t>TFB</t>
  </si>
  <si>
    <t>Environmental Benefit Calculation</t>
  </si>
  <si>
    <t>Sales price (per unit)</t>
  </si>
  <si>
    <t>$Unit</t>
  </si>
  <si>
    <t>$ Value of avoided GGE (All CO2 +  CA non-CO2)</t>
  </si>
  <si>
    <t>$GGE</t>
  </si>
  <si>
    <t>Percent of end product sold in California</t>
  </si>
  <si>
    <t>$ Cost of MWh (All CO2 + CA non-CO2)</t>
  </si>
  <si>
    <t>$MWh</t>
  </si>
  <si>
    <t>Total price of end of supply chain product</t>
  </si>
  <si>
    <t>$ Value of avoided MMBtu (All CO2)</t>
  </si>
  <si>
    <t>$MMBtu</t>
  </si>
  <si>
    <t>Fractional Component Contribution</t>
  </si>
  <si>
    <t>FCC</t>
  </si>
  <si>
    <t>$ pollution cost of pound of CO2</t>
  </si>
  <si>
    <t>Substantial use percentage</t>
  </si>
  <si>
    <t>POT</t>
  </si>
  <si>
    <t>$ pollution cost of pound of SO2</t>
  </si>
  <si>
    <t>Allocated Share</t>
  </si>
  <si>
    <t>AS</t>
  </si>
  <si>
    <t>$ pollution cost of pound of NOx</t>
  </si>
  <si>
    <t>Expected useful life of product (yrs)</t>
  </si>
  <si>
    <t xml:space="preserve">ULOP </t>
  </si>
  <si>
    <t>Discount Rate for Environmental Benefits</t>
  </si>
  <si>
    <t>Product Type</t>
  </si>
  <si>
    <t>Net Annual Pollution benefit (GHG emissions in Grams per MJ)</t>
  </si>
  <si>
    <t>Pounds of GHG equivalent benefit per MJ</t>
  </si>
  <si>
    <t>Net Benefit in dollars per year per MJ</t>
  </si>
  <si>
    <t>BioFuel Type - Units</t>
  </si>
  <si>
    <t>Net benefit in dollars per unit</t>
  </si>
  <si>
    <t xml:space="preserve">Allocated Share </t>
  </si>
  <si>
    <t>BioFuels-Total Pollution Benefit (life of facility)</t>
  </si>
  <si>
    <t>Alternative_Energy</t>
  </si>
  <si>
    <t>Annual MWh per Unit</t>
  </si>
  <si>
    <t>Annual Pollution benefit/unit</t>
  </si>
  <si>
    <t xml:space="preserve">Pounds of CO2 emitted per unit of energy produced. </t>
  </si>
  <si>
    <t xml:space="preserve">Pounds of SO2 emitted per unit of energy produced. </t>
  </si>
  <si>
    <t xml:space="preserve">Pounds of Other pollutants emitted per unit of energy produced (please specify). </t>
  </si>
  <si>
    <t>Cost in dollars per pound for Other pollutants emitted per unit (please specify).</t>
  </si>
  <si>
    <t>Annual Pollution Cost/unit</t>
  </si>
  <si>
    <t>Net pollution benefit/unit</t>
  </si>
  <si>
    <t>Lifetime pollution benefit/unit</t>
  </si>
  <si>
    <t>Alternative_Energy-Total Pollution Benefit (life of facility)</t>
  </si>
  <si>
    <t>TPB</t>
  </si>
  <si>
    <t>Energy_Efficiency</t>
  </si>
  <si>
    <t>Annual baseline system consumption</t>
  </si>
  <si>
    <t>Annual improved system consumption</t>
  </si>
  <si>
    <t>Net improvement/unit</t>
  </si>
  <si>
    <t>NI</t>
  </si>
  <si>
    <t>Energy type</t>
  </si>
  <si>
    <t>Net improvement/MWh</t>
  </si>
  <si>
    <t>Annual Pollution benefit/MWh</t>
  </si>
  <si>
    <t>Lifetime pollution benefit/MWh</t>
  </si>
  <si>
    <t>LPB</t>
  </si>
  <si>
    <t>Energy_Efficiency-Total Pollution Benefit (life of facility)</t>
  </si>
  <si>
    <t>Advanced_Transportation</t>
  </si>
  <si>
    <t>Annual net improvement/unit</t>
  </si>
  <si>
    <t>Annual offsetting energy/unit</t>
  </si>
  <si>
    <t>Annual offsetting energy cost/unit</t>
  </si>
  <si>
    <t>Net annual pollution benefit/unit</t>
  </si>
  <si>
    <t>Advanced_Transportation-Total Pollution Benefit (life of facility)</t>
  </si>
  <si>
    <t>Supply elasticity (SE)</t>
  </si>
  <si>
    <t>SE</t>
  </si>
  <si>
    <t>Demand elasticity (DE)</t>
  </si>
  <si>
    <t>DE</t>
  </si>
  <si>
    <t>Capital Cost/ton/year</t>
  </si>
  <si>
    <t>Percentage Change in production cost</t>
  </si>
  <si>
    <t>PCPC</t>
  </si>
  <si>
    <t>Pct increase in recycling</t>
  </si>
  <si>
    <t>PIR</t>
  </si>
  <si>
    <t>Change in tons recycled</t>
  </si>
  <si>
    <t>CAR</t>
  </si>
  <si>
    <t>MT CO2e/short ton recycled</t>
  </si>
  <si>
    <t>Total CO2 Benefit</t>
  </si>
  <si>
    <t>Recycling-Total Pollution Benefit (life of facility)</t>
  </si>
  <si>
    <t>Annual savings per unit</t>
  </si>
  <si>
    <t xml:space="preserve">Annual costs per unit </t>
  </si>
  <si>
    <t>Other_Application_Types-Total Pollution Benefit (life of facility)</t>
  </si>
  <si>
    <t>Net Environmental Benefit</t>
  </si>
  <si>
    <t>Advanced Manufacturing Environmental Benefits Score</t>
  </si>
  <si>
    <t xml:space="preserve">Environmental Sustainability Plan </t>
  </si>
  <si>
    <t>Energy consumption</t>
  </si>
  <si>
    <t xml:space="preserve">Water use </t>
  </si>
  <si>
    <t xml:space="preserve">Solid waste </t>
  </si>
  <si>
    <t>Hazardous waste</t>
  </si>
  <si>
    <t xml:space="preserve">Air Pollutants </t>
  </si>
  <si>
    <t>Other Pollutants</t>
  </si>
  <si>
    <t>Total Environmental Benefit</t>
  </si>
  <si>
    <t>Section F.Supplemental Score</t>
  </si>
  <si>
    <t>Annual dollar impact of pollution avoided</t>
  </si>
  <si>
    <t>Lifetime pollution benefit</t>
  </si>
  <si>
    <t>Additional Pollution Benefit (life of facility)</t>
  </si>
  <si>
    <t>Net Benefits and Final Score</t>
  </si>
  <si>
    <t>Points</t>
  </si>
  <si>
    <t>Fiscal Benefits (TFB)</t>
  </si>
  <si>
    <t>Environmental Benefits (TPB)</t>
  </si>
  <si>
    <t>Total Cost</t>
  </si>
  <si>
    <t>Net Benefits</t>
  </si>
  <si>
    <t>Net Benefits Score</t>
  </si>
  <si>
    <t>Other Scoring Factors</t>
  </si>
  <si>
    <t>Unemployment</t>
  </si>
  <si>
    <t>State Unemployment Rate</t>
  </si>
  <si>
    <t>Facility Unemployment Rate</t>
  </si>
  <si>
    <t>Unemployment Score</t>
  </si>
  <si>
    <t>New Jobs Points</t>
  </si>
  <si>
    <t>Max</t>
  </si>
  <si>
    <t>min</t>
  </si>
  <si>
    <t>points</t>
  </si>
  <si>
    <t>New Jobs</t>
  </si>
  <si>
    <t>Total facility FTEs</t>
  </si>
  <si>
    <t>Marginal additional jobs</t>
  </si>
  <si>
    <t>Sales tax exclusion/job</t>
  </si>
  <si>
    <t>Initial new jobs score</t>
  </si>
  <si>
    <t>Lost jobs score</t>
  </si>
  <si>
    <t>New Jobs Score</t>
  </si>
  <si>
    <t>Total Jobs Score</t>
  </si>
  <si>
    <t>Construction Jobs</t>
  </si>
  <si>
    <t>Construction Jobs Points</t>
  </si>
  <si>
    <t>Total construction FTEs</t>
  </si>
  <si>
    <t>Construction Jobs Score</t>
  </si>
  <si>
    <t>Non-CA Environmental Benefits</t>
  </si>
  <si>
    <t>Annual out of state pollution benefit/unit</t>
  </si>
  <si>
    <t>Annual out of state pollution cost/unit</t>
  </si>
  <si>
    <t>Lifetime Net out of state pollution benefit/unit</t>
  </si>
  <si>
    <t>Total out of state pollution benefit (life of facility)</t>
  </si>
  <si>
    <t>$ value of avoided out-of-state MWh (non-CO2)</t>
  </si>
  <si>
    <t xml:space="preserve">$OSM </t>
  </si>
  <si>
    <t>Non-CA Environmental Benefits Score</t>
  </si>
  <si>
    <t>$ value of avoided out-of-state GGE (non-CO2)</t>
  </si>
  <si>
    <t xml:space="preserve">$OSG </t>
  </si>
  <si>
    <t>$ value of avoided out-of-state MMBTU (none)</t>
  </si>
  <si>
    <t>Additional Facility Information</t>
  </si>
  <si>
    <t>$ pollution cost of pound of out-of-state SO2</t>
  </si>
  <si>
    <t>Research and Development</t>
  </si>
  <si>
    <t>$ pollution cost of pound of out-of-state NOx</t>
  </si>
  <si>
    <t>Workforce Partnership</t>
  </si>
  <si>
    <t>Energy improvement/unit (NI)</t>
  </si>
  <si>
    <t>Industry Cluster</t>
  </si>
  <si>
    <t>NI Units</t>
  </si>
  <si>
    <t>Emerging Strategic Industry</t>
  </si>
  <si>
    <t>Offsetting MWhs per unit</t>
  </si>
  <si>
    <t>Benefits and Fringe Benefits</t>
  </si>
  <si>
    <t>Offsetting GGEs per unit (none)</t>
  </si>
  <si>
    <t>Additional Facility Information Score</t>
  </si>
  <si>
    <t>Offsetting lbs of SO2 per unit</t>
  </si>
  <si>
    <t>Offsetting lbs of NOx per unit</t>
  </si>
  <si>
    <t>Total Additional Points</t>
  </si>
  <si>
    <t>Final Score</t>
  </si>
  <si>
    <t>`</t>
  </si>
  <si>
    <t>Lists for Calculations</t>
  </si>
  <si>
    <t>Product_Cat</t>
  </si>
  <si>
    <t>Table for Annual dollar impact of pollution avoided</t>
  </si>
  <si>
    <t>Worksheet Name</t>
  </si>
  <si>
    <t>Pollution Avoided</t>
  </si>
  <si>
    <t>Product_Type</t>
  </si>
  <si>
    <t>Group</t>
  </si>
  <si>
    <t>Competitive Criteria Score</t>
  </si>
  <si>
    <t>Group 2</t>
  </si>
  <si>
    <t>Group 1</t>
  </si>
  <si>
    <t>Advanced_Manufacturing</t>
  </si>
  <si>
    <t>Other_Application_Types</t>
  </si>
  <si>
    <t>yes_no</t>
  </si>
  <si>
    <t>Conversion Table</t>
  </si>
  <si>
    <t>Energy Unit</t>
  </si>
  <si>
    <t>Multiplier to convert unit to MWh</t>
  </si>
  <si>
    <t>Mutliplier to convert MJ to Energy Unit</t>
  </si>
  <si>
    <t>MJ/Energy Unit</t>
  </si>
  <si>
    <t>No</t>
  </si>
  <si>
    <t>Cubic Feet</t>
  </si>
  <si>
    <t>Yes</t>
  </si>
  <si>
    <t>MMBTU</t>
  </si>
  <si>
    <t>Therms</t>
  </si>
  <si>
    <t>GGE</t>
  </si>
  <si>
    <t>DGE</t>
  </si>
  <si>
    <t>Energy_type</t>
  </si>
  <si>
    <t>Joules</t>
  </si>
  <si>
    <t>KWh</t>
  </si>
  <si>
    <t>MWh</t>
  </si>
  <si>
    <t>Source: http://www.eia.gov/kids/energy.cfm?page=about_energy_conversion_calculator-basics</t>
  </si>
  <si>
    <t>Energy_type_b</t>
  </si>
  <si>
    <t>Company_type</t>
  </si>
  <si>
    <t>Corporation</t>
  </si>
  <si>
    <t>LLC</t>
  </si>
  <si>
    <t>Partnership</t>
  </si>
  <si>
    <t>Sole Proprietorship</t>
  </si>
  <si>
    <t>Government Entity</t>
  </si>
  <si>
    <t>Non-profit Organization</t>
  </si>
  <si>
    <t>Other</t>
  </si>
  <si>
    <t>Energy_type_limited</t>
  </si>
  <si>
    <t>kWh/yr</t>
  </si>
  <si>
    <t>GGE/yr</t>
  </si>
  <si>
    <t>BTU/yr</t>
  </si>
  <si>
    <t>BioFuel_Types</t>
  </si>
  <si>
    <t>Fuel_Replaced</t>
  </si>
  <si>
    <t>Gasoline</t>
  </si>
  <si>
    <t>Diesel</t>
  </si>
  <si>
    <t>CNG for Transportation fuel</t>
  </si>
  <si>
    <t>LNG for Transportation fuel</t>
  </si>
  <si>
    <t>Natural Gas used for Electricity</t>
  </si>
  <si>
    <t>Recycled_Material</t>
  </si>
  <si>
    <t>Yard Trimmings</t>
  </si>
  <si>
    <t>Emerging_Strategic_Industry</t>
  </si>
  <si>
    <t>Lithium compounds NAICS 325180</t>
  </si>
  <si>
    <t>Geothermal steam NAICS 221330</t>
  </si>
  <si>
    <t>Competitive Criteria Scoring Tab</t>
  </si>
  <si>
    <t xml:space="preserve">Note: This tab for use by CAEATFA staff only. </t>
  </si>
  <si>
    <t xml:space="preserve">Please enter selections in column B as indicated to calculate score. </t>
  </si>
  <si>
    <t>Scoring Factors</t>
  </si>
  <si>
    <t>Analyst Select</t>
  </si>
  <si>
    <t>Score</t>
  </si>
  <si>
    <t>Recycling, Alternative Source, Advanced Trans</t>
  </si>
  <si>
    <t>Jobs score</t>
  </si>
  <si>
    <t xml:space="preserve">CA Headquarters score </t>
  </si>
  <si>
    <t>Eligible for CDTFA Partial Exemption</t>
  </si>
  <si>
    <t>Relocation or rebuilding due to a natural disaster</t>
  </si>
  <si>
    <t>Total Competitive Score</t>
  </si>
  <si>
    <t>Scoring Summary</t>
  </si>
  <si>
    <t>SUMMARY</t>
  </si>
  <si>
    <t>Environmental Benefits (Cont.)</t>
  </si>
  <si>
    <t>Legal Name</t>
  </si>
  <si>
    <t>(Advanced Manufacturing Applications (Cont.))</t>
  </si>
  <si>
    <t>Primary Location</t>
  </si>
  <si>
    <t>Water Use Points</t>
  </si>
  <si>
    <t>Secondary Location</t>
  </si>
  <si>
    <t>Water % Reduction</t>
  </si>
  <si>
    <t>Value of QP</t>
  </si>
  <si>
    <t>Water Reduction Explanation</t>
  </si>
  <si>
    <t>Environmental Impact E18</t>
  </si>
  <si>
    <t>Estimated STE</t>
  </si>
  <si>
    <t>Solid Waste Points</t>
  </si>
  <si>
    <t>Estimated Fiscal Benefits</t>
  </si>
  <si>
    <t>Solid Waste % Reduction</t>
  </si>
  <si>
    <t>Estimated Environmental Benefits</t>
  </si>
  <si>
    <t>Solid Waste Reduction Explanation</t>
  </si>
  <si>
    <t>Environmental Impact E19</t>
  </si>
  <si>
    <t>Total Benefits</t>
  </si>
  <si>
    <t>Hazardous Waste Points</t>
  </si>
  <si>
    <t>Estimated Net Benefit</t>
  </si>
  <si>
    <t>Hazardous Waste % Reduction</t>
  </si>
  <si>
    <t>Fiscal Benefit Points</t>
  </si>
  <si>
    <t>Hazardous Waste Reduction Explanation</t>
  </si>
  <si>
    <t>Environmental Impact E20</t>
  </si>
  <si>
    <t>Environmental Benefits Points</t>
  </si>
  <si>
    <t>Air Pollutants Points</t>
  </si>
  <si>
    <t>Additional Benefits Points</t>
  </si>
  <si>
    <t>Air Pollutants % Reduction</t>
  </si>
  <si>
    <t>Total Points</t>
  </si>
  <si>
    <t>Air Pollutants Reduction Explanation</t>
  </si>
  <si>
    <t>Environmental Impact E21</t>
  </si>
  <si>
    <t>Other Pollutant Points</t>
  </si>
  <si>
    <t>THE APPLICANT</t>
  </si>
  <si>
    <t>Other Pollutant % Reduction</t>
  </si>
  <si>
    <t>Date of Incorporation</t>
  </si>
  <si>
    <t>Other Pollutant Reduction Explanation</t>
  </si>
  <si>
    <t>Environmental Impact E22</t>
  </si>
  <si>
    <t>Place of Incorporation</t>
  </si>
  <si>
    <t>Additional Benefits</t>
  </si>
  <si>
    <t>Ownership Information</t>
  </si>
  <si>
    <t>Applicant Information A23 &amp; A24</t>
  </si>
  <si>
    <t>Permanent Jobs Points</t>
  </si>
  <si>
    <t>PROJECT EVALUATION</t>
  </si>
  <si>
    <t>Number of Permanent Jobs</t>
  </si>
  <si>
    <t>PROJECT BENEFITS</t>
  </si>
  <si>
    <t>Marginal Increase in Jobs</t>
  </si>
  <si>
    <t>Total Score</t>
  </si>
  <si>
    <t>Environ. Benefits Score</t>
  </si>
  <si>
    <t>Number of Construction Jobs</t>
  </si>
  <si>
    <t>Fiscal Benefits</t>
  </si>
  <si>
    <t>Fiscal Benefits Points</t>
  </si>
  <si>
    <t>Unemployment Points</t>
  </si>
  <si>
    <t>Fiscal Benefits Value</t>
  </si>
  <si>
    <t>Project Location</t>
  </si>
  <si>
    <t>Environmental Benefits</t>
  </si>
  <si>
    <t>County Avg Unemployment Rate</t>
  </si>
  <si>
    <t>Environ. Benefits Points</t>
  </si>
  <si>
    <t>Non-CA Environ. Benefits Points (optional)</t>
  </si>
  <si>
    <t>AS/AT/RF</t>
  </si>
  <si>
    <t>Non-CA Environ. Benefits Value (optional)</t>
  </si>
  <si>
    <t>Environ. Benefits Value</t>
  </si>
  <si>
    <t>R&amp;D Facilities Points (optional)</t>
  </si>
  <si>
    <t>(Advanced Manufacturing Applications)</t>
  </si>
  <si>
    <t>Workforce Partnerships Points (optional)</t>
  </si>
  <si>
    <t>Environ. Sustainability Plan</t>
  </si>
  <si>
    <t>Workforce Partnership (optional)</t>
  </si>
  <si>
    <t>See Box F5 in Applicable Tab</t>
  </si>
  <si>
    <t>Sustainability Plan Description</t>
  </si>
  <si>
    <t>Environmental Impact E16</t>
  </si>
  <si>
    <t>Industry Cluster Points (optional)</t>
  </si>
  <si>
    <t>Energy Consumption Points</t>
  </si>
  <si>
    <t>Industry Cluster Description (optional)</t>
  </si>
  <si>
    <t>See Box F6 in Applicable Tab</t>
  </si>
  <si>
    <t>Energy % Reduction</t>
  </si>
  <si>
    <t>Benefits Points (optional)</t>
  </si>
  <si>
    <t>Energy Reduction Explanation</t>
  </si>
  <si>
    <t>Environmental Impact E17</t>
  </si>
  <si>
    <t>Benefits Points Description (optional)</t>
  </si>
  <si>
    <t>See Box F7 in Applicable Tab</t>
  </si>
  <si>
    <t>CAEATFA FEES</t>
  </si>
  <si>
    <t>Application Fee</t>
  </si>
  <si>
    <t>**Unless QP Amount was reduced</t>
  </si>
  <si>
    <t>Administrative Fee</t>
  </si>
  <si>
    <t>QP Amount</t>
  </si>
  <si>
    <t>ADVANCED TRANSPORTATION AND ALTERNATIVE SOURCE MANUFACTURING SALES AND USE TAX EXCLUSION PROGRAM APPLICATION</t>
  </si>
  <si>
    <t>Pollution costs of MWh</t>
  </si>
  <si>
    <t>Input Values</t>
  </si>
  <si>
    <t>Total Cost/MWh</t>
  </si>
  <si>
    <t>Pollutant</t>
  </si>
  <si>
    <t>CA lb/MWh</t>
  </si>
  <si>
    <t>US lb/MWh</t>
  </si>
  <si>
    <t>Cost/Ton</t>
  </si>
  <si>
    <t>Lbs/Ton</t>
  </si>
  <si>
    <t>Cost/lb</t>
  </si>
  <si>
    <t>CA</t>
  </si>
  <si>
    <t>US</t>
  </si>
  <si>
    <t>NOx</t>
  </si>
  <si>
    <t>SO2</t>
  </si>
  <si>
    <t>CO2</t>
  </si>
  <si>
    <t>TOTAL</t>
  </si>
  <si>
    <t>Pollution costs of Gallon of Gasoline</t>
  </si>
  <si>
    <t>Total Cost/GGE</t>
  </si>
  <si>
    <t>Grams/gallon</t>
  </si>
  <si>
    <t>Grams/Ton</t>
  </si>
  <si>
    <t>Cost/Gram</t>
  </si>
  <si>
    <t>$/Gallon</t>
  </si>
  <si>
    <t>VOC+NOx</t>
  </si>
  <si>
    <t>Lbs/gallon</t>
  </si>
  <si>
    <t>Pollution costs of MMBTU</t>
  </si>
  <si>
    <t>Lbs/MMBTU</t>
  </si>
  <si>
    <t>Total Cost/MMBTU</t>
  </si>
  <si>
    <t>External Data Sources</t>
  </si>
  <si>
    <t>City List</t>
  </si>
  <si>
    <t xml:space="preserve">Annual Average Unemployment Information </t>
  </si>
  <si>
    <t>Property Tax Rate Information</t>
  </si>
  <si>
    <t>All Cities - As of 4/1/2010</t>
  </si>
  <si>
    <t>Source: EDD</t>
  </si>
  <si>
    <t>Source: http://www.boe.ca.gov/annual/pdf/2009/table14_09.xls</t>
  </si>
  <si>
    <t>City</t>
  </si>
  <si>
    <t>County</t>
  </si>
  <si>
    <t>Applicable Unemploment Rate</t>
  </si>
  <si>
    <t>Applicable Property Tax Rate</t>
  </si>
  <si>
    <r>
      <t xml:space="preserve"> </t>
    </r>
    <r>
      <rPr>
        <b/>
        <sz val="10"/>
        <color indexed="8"/>
        <rFont val="Arial"/>
        <family val="2"/>
      </rPr>
      <t xml:space="preserve">COUNTY </t>
    </r>
    <r>
      <rPr>
        <sz val="10"/>
        <rFont val="Arial"/>
        <family val="2"/>
      </rPr>
      <t xml:space="preserve"> </t>
    </r>
  </si>
  <si>
    <r>
      <t xml:space="preserve"> </t>
    </r>
    <r>
      <rPr>
        <b/>
        <sz val="10"/>
        <color indexed="8"/>
        <rFont val="Arial"/>
        <family val="2"/>
      </rPr>
      <t xml:space="preserve">RATE </t>
    </r>
    <r>
      <rPr>
        <sz val="10"/>
        <rFont val="Arial"/>
        <family val="2"/>
      </rPr>
      <t xml:space="preserve"> </t>
    </r>
  </si>
  <si>
    <t>Rate</t>
  </si>
  <si>
    <t>California</t>
  </si>
  <si>
    <t>Acampo</t>
  </si>
  <si>
    <t>San Joaquin</t>
  </si>
  <si>
    <t>ALAMEDA</t>
  </si>
  <si>
    <t>Acton</t>
  </si>
  <si>
    <t>Los Angeles</t>
  </si>
  <si>
    <t>ALPINE</t>
  </si>
  <si>
    <t>Adelaida</t>
  </si>
  <si>
    <t>San Luis Obispo</t>
  </si>
  <si>
    <t>AMADOR</t>
  </si>
  <si>
    <t>Adelanto</t>
  </si>
  <si>
    <t>San Bernardino</t>
  </si>
  <si>
    <t>BUTTE</t>
  </si>
  <si>
    <t>Adin</t>
  </si>
  <si>
    <t>Modoc</t>
  </si>
  <si>
    <t>CALAVERAS</t>
  </si>
  <si>
    <t xml:space="preserve">Agoura </t>
  </si>
  <si>
    <t>COLUSA</t>
  </si>
  <si>
    <t>Agoura Hills</t>
  </si>
  <si>
    <t>CONTRA COSTA</t>
  </si>
  <si>
    <t>Agua Caliente</t>
  </si>
  <si>
    <t>Sonoma</t>
  </si>
  <si>
    <t>DEL NORTE</t>
  </si>
  <si>
    <t>Agua Caliente Springs</t>
  </si>
  <si>
    <t>San Diego</t>
  </si>
  <si>
    <t>EL DORADO</t>
  </si>
  <si>
    <t>Agua Dulce</t>
  </si>
  <si>
    <t>FRESNO</t>
  </si>
  <si>
    <t>Aguanga</t>
  </si>
  <si>
    <t>Riverside</t>
  </si>
  <si>
    <t>GLENN</t>
  </si>
  <si>
    <t>Ahwahnee</t>
  </si>
  <si>
    <t>Madera</t>
  </si>
  <si>
    <t>HUMBOLDT</t>
  </si>
  <si>
    <t>Al Tahoe</t>
  </si>
  <si>
    <t>El Dorado</t>
  </si>
  <si>
    <t>IMPERIAL</t>
  </si>
  <si>
    <t>Alameda</t>
  </si>
  <si>
    <t>INYO</t>
  </si>
  <si>
    <t>Alamo</t>
  </si>
  <si>
    <t>Contra Costa</t>
  </si>
  <si>
    <t>KERN</t>
  </si>
  <si>
    <t>Albany</t>
  </si>
  <si>
    <t>KINGS</t>
  </si>
  <si>
    <t>Alberhill</t>
  </si>
  <si>
    <t>LAKE</t>
  </si>
  <si>
    <t>Albion</t>
  </si>
  <si>
    <t>Mendocino</t>
  </si>
  <si>
    <t>LASSEN</t>
  </si>
  <si>
    <t>Alderpoint</t>
  </si>
  <si>
    <t>Humboldt</t>
  </si>
  <si>
    <t>LOS ANGELES</t>
  </si>
  <si>
    <t>Alhambra</t>
  </si>
  <si>
    <t>MADERA</t>
  </si>
  <si>
    <t>Aliso Viejo</t>
  </si>
  <si>
    <t>Orange</t>
  </si>
  <si>
    <t>MARIN</t>
  </si>
  <si>
    <t>Alleghany</t>
  </si>
  <si>
    <t>Sierra</t>
  </si>
  <si>
    <t>MARIPOSA</t>
  </si>
  <si>
    <t>Almaden Valley</t>
  </si>
  <si>
    <t>Santa Clara</t>
  </si>
  <si>
    <t>MENDOCINO</t>
  </si>
  <si>
    <t>Almanor</t>
  </si>
  <si>
    <t>Plumas</t>
  </si>
  <si>
    <t>MERCED</t>
  </si>
  <si>
    <t>Almondale</t>
  </si>
  <si>
    <t>MODOC</t>
  </si>
  <si>
    <t>Alondra</t>
  </si>
  <si>
    <t>MONO</t>
  </si>
  <si>
    <t>Alpaugh</t>
  </si>
  <si>
    <t>Tulare</t>
  </si>
  <si>
    <t>MONTEREY</t>
  </si>
  <si>
    <t>Alpine</t>
  </si>
  <si>
    <t>NAPA</t>
  </si>
  <si>
    <t>Alta</t>
  </si>
  <si>
    <t>Placer</t>
  </si>
  <si>
    <t>NEVADA</t>
  </si>
  <si>
    <t>Alta Loma</t>
  </si>
  <si>
    <t>ORANGE</t>
  </si>
  <si>
    <t>Altadena</t>
  </si>
  <si>
    <t>PLACER</t>
  </si>
  <si>
    <t>Altaville</t>
  </si>
  <si>
    <t>Calaveras</t>
  </si>
  <si>
    <t>PLUMAS</t>
  </si>
  <si>
    <t>Alton</t>
  </si>
  <si>
    <t>RIVERSIDE</t>
  </si>
  <si>
    <t>Alturas</t>
  </si>
  <si>
    <t>SACRAMENTO</t>
  </si>
  <si>
    <t>Alviso</t>
  </si>
  <si>
    <t>SAN BENITO</t>
  </si>
  <si>
    <t>Amador City</t>
  </si>
  <si>
    <t>Amador</t>
  </si>
  <si>
    <t>SAN BERNARDINO</t>
  </si>
  <si>
    <t>Amargosa</t>
  </si>
  <si>
    <t>Inyo</t>
  </si>
  <si>
    <t>SAN DIEGO</t>
  </si>
  <si>
    <t>Amboy</t>
  </si>
  <si>
    <t>SAN FRANCISCO</t>
  </si>
  <si>
    <t>American Canyon</t>
  </si>
  <si>
    <t>Napa</t>
  </si>
  <si>
    <t>SAN JOAQUIN</t>
  </si>
  <si>
    <t>Anaheim</t>
  </si>
  <si>
    <t>SAN LUIS OBISPO</t>
  </si>
  <si>
    <t>Anderson</t>
  </si>
  <si>
    <t>Shasta</t>
  </si>
  <si>
    <t>SAN MATEO</t>
  </si>
  <si>
    <t>Angels Camp</t>
  </si>
  <si>
    <t>SANTA BARBARA</t>
  </si>
  <si>
    <t>Angelus Oaks</t>
  </si>
  <si>
    <t>SANTA CLARA</t>
  </si>
  <si>
    <t>Angwin</t>
  </si>
  <si>
    <t>SANTA CRUZ</t>
  </si>
  <si>
    <t>Annapolis</t>
  </si>
  <si>
    <t>SHASTA</t>
  </si>
  <si>
    <t>Antelope</t>
  </si>
  <si>
    <t>Sacramento</t>
  </si>
  <si>
    <t>SIERRA</t>
  </si>
  <si>
    <t>Antelope Acres</t>
  </si>
  <si>
    <t>SISKIYOU</t>
  </si>
  <si>
    <t>Antioch</t>
  </si>
  <si>
    <t>SOLANO</t>
  </si>
  <si>
    <t>Anza</t>
  </si>
  <si>
    <t>SONOMA</t>
  </si>
  <si>
    <t>Apple Valley</t>
  </si>
  <si>
    <t>STANISLAUS</t>
  </si>
  <si>
    <t>Applegate</t>
  </si>
  <si>
    <t>SUTTER</t>
  </si>
  <si>
    <t>Aptos</t>
  </si>
  <si>
    <t>Santa Cruz</t>
  </si>
  <si>
    <t>TEHAMA</t>
  </si>
  <si>
    <t>Arbuckle</t>
  </si>
  <si>
    <t>Colusa</t>
  </si>
  <si>
    <t>TRINITY</t>
  </si>
  <si>
    <t>Arcadia</t>
  </si>
  <si>
    <t>TULARE</t>
  </si>
  <si>
    <t>Arcata</t>
  </si>
  <si>
    <t>TUOLUMNE</t>
  </si>
  <si>
    <t>Argus</t>
  </si>
  <si>
    <t>VENTURA</t>
  </si>
  <si>
    <t>Arleta</t>
  </si>
  <si>
    <t>YOLO</t>
  </si>
  <si>
    <t>Arlington</t>
  </si>
  <si>
    <t>YUBA</t>
  </si>
  <si>
    <t>Armona</t>
  </si>
  <si>
    <t>Kings</t>
  </si>
  <si>
    <t>Army Terminal</t>
  </si>
  <si>
    <t>Arnold</t>
  </si>
  <si>
    <t>Aromas</t>
  </si>
  <si>
    <t>Monterey</t>
  </si>
  <si>
    <t>Arrowbear Lake</t>
  </si>
  <si>
    <t>Arrowhead Highlands</t>
  </si>
  <si>
    <t>Arroyo Grande</t>
  </si>
  <si>
    <t>Artesia</t>
  </si>
  <si>
    <t>Artois</t>
  </si>
  <si>
    <t>Glenn</t>
  </si>
  <si>
    <t>Arvin</t>
  </si>
  <si>
    <t>Kern</t>
  </si>
  <si>
    <t>Ashland</t>
  </si>
  <si>
    <t>Asti</t>
  </si>
  <si>
    <t>Atascadero</t>
  </si>
  <si>
    <t>Athens</t>
  </si>
  <si>
    <t>Atherton</t>
  </si>
  <si>
    <t>San Mateo</t>
  </si>
  <si>
    <t>Atwater</t>
  </si>
  <si>
    <t>Merced</t>
  </si>
  <si>
    <t>Atwood</t>
  </si>
  <si>
    <t>Auberry</t>
  </si>
  <si>
    <t>Fresno</t>
  </si>
  <si>
    <t>Auburn</t>
  </si>
  <si>
    <t>Avalon</t>
  </si>
  <si>
    <t>Avenal</t>
  </si>
  <si>
    <t>Avery</t>
  </si>
  <si>
    <t>Avila Beach</t>
  </si>
  <si>
    <t>Azusa</t>
  </si>
  <si>
    <t>Badger</t>
  </si>
  <si>
    <t>Bailey</t>
  </si>
  <si>
    <t>Baker</t>
  </si>
  <si>
    <t>Bakersfield</t>
  </si>
  <si>
    <t>Balboa</t>
  </si>
  <si>
    <t>Balboa Island</t>
  </si>
  <si>
    <t xml:space="preserve">Balboa Park </t>
  </si>
  <si>
    <t>Baldwin Park</t>
  </si>
  <si>
    <t>Ballard</t>
  </si>
  <si>
    <t>Santa Barbara</t>
  </si>
  <si>
    <t>Ballico</t>
  </si>
  <si>
    <t>Ballroad</t>
  </si>
  <si>
    <t>Bangor</t>
  </si>
  <si>
    <t>Butte</t>
  </si>
  <si>
    <t>Banning</t>
  </si>
  <si>
    <t>Banta</t>
  </si>
  <si>
    <t>Bard</t>
  </si>
  <si>
    <t>Imperial</t>
  </si>
  <si>
    <t>Barrington</t>
  </si>
  <si>
    <t>Barstow</t>
  </si>
  <si>
    <t>Bartlett</t>
  </si>
  <si>
    <t>Barton</t>
  </si>
  <si>
    <t>Base Line</t>
  </si>
  <si>
    <t>Bass Lake</t>
  </si>
  <si>
    <t>Bassett</t>
  </si>
  <si>
    <t>Baxter</t>
  </si>
  <si>
    <t>Bay Point</t>
  </si>
  <si>
    <t>Bayside</t>
  </si>
  <si>
    <t>Baywood Park</t>
  </si>
  <si>
    <t>Beale A.F.B.</t>
  </si>
  <si>
    <t>Yuba</t>
  </si>
  <si>
    <t>Bear River Lake</t>
  </si>
  <si>
    <t>Bear Valley</t>
  </si>
  <si>
    <t>Mariposa</t>
  </si>
  <si>
    <t>Beaumont</t>
  </si>
  <si>
    <t>Beckwourth</t>
  </si>
  <si>
    <t>Bel Air Estates</t>
  </si>
  <si>
    <t>Belden</t>
  </si>
  <si>
    <t>Bell</t>
  </si>
  <si>
    <t>Bell Gardens</t>
  </si>
  <si>
    <t>Bella Vista</t>
  </si>
  <si>
    <t>Bellflower</t>
  </si>
  <si>
    <t>Belmont</t>
  </si>
  <si>
    <t>Belvedere</t>
  </si>
  <si>
    <t>Marin</t>
  </si>
  <si>
    <t>Ben Lomond</t>
  </si>
  <si>
    <t>Benicia</t>
  </si>
  <si>
    <t>Solano</t>
  </si>
  <si>
    <t>Benton</t>
  </si>
  <si>
    <t>Mono</t>
  </si>
  <si>
    <t>Berkeley</t>
  </si>
  <si>
    <t>Bermuda Dunes</t>
  </si>
  <si>
    <t>Berry Creek</t>
  </si>
  <si>
    <t>Bethel Island</t>
  </si>
  <si>
    <t>Betteravia</t>
  </si>
  <si>
    <t>Beverly Hills</t>
  </si>
  <si>
    <t>Bieber</t>
  </si>
  <si>
    <t>Lassen</t>
  </si>
  <si>
    <t>Big Bar</t>
  </si>
  <si>
    <t>Trinity</t>
  </si>
  <si>
    <t>Big Basin</t>
  </si>
  <si>
    <t>Big Bear City</t>
  </si>
  <si>
    <t>Big Bear Lake</t>
  </si>
  <si>
    <t>Big Bend</t>
  </si>
  <si>
    <t>Big Creek</t>
  </si>
  <si>
    <t>Big Oak Flat</t>
  </si>
  <si>
    <t>Tuolumne</t>
  </si>
  <si>
    <t>Big Pine</t>
  </si>
  <si>
    <t>Big River</t>
  </si>
  <si>
    <t>Big Sur</t>
  </si>
  <si>
    <t>Biggs</t>
  </si>
  <si>
    <t>Bijou</t>
  </si>
  <si>
    <t>Biola</t>
  </si>
  <si>
    <t>Biola College</t>
  </si>
  <si>
    <t>Birds Landing</t>
  </si>
  <si>
    <t>Bishop</t>
  </si>
  <si>
    <t>Black Hawk</t>
  </si>
  <si>
    <t>Blairsden</t>
  </si>
  <si>
    <t>Blocksburg</t>
  </si>
  <si>
    <t>Bloomington</t>
  </si>
  <si>
    <t>Blossom Hill</t>
  </si>
  <si>
    <t>Blossom Valley</t>
  </si>
  <si>
    <t>Blue Jay</t>
  </si>
  <si>
    <t>Blue Lake</t>
  </si>
  <si>
    <t>Blythe</t>
  </si>
  <si>
    <t>Bodega</t>
  </si>
  <si>
    <t>Bodega Bay</t>
  </si>
  <si>
    <t>Bodfish</t>
  </si>
  <si>
    <t>Bolinas</t>
  </si>
  <si>
    <t>Bolsa</t>
  </si>
  <si>
    <t>Bombay Beach</t>
  </si>
  <si>
    <t>Bonita</t>
  </si>
  <si>
    <t>Bonny Doon</t>
  </si>
  <si>
    <t>Bonsall</t>
  </si>
  <si>
    <t>Boonville</t>
  </si>
  <si>
    <t>Boron</t>
  </si>
  <si>
    <t>Borrego Springs</t>
  </si>
  <si>
    <t>Bostonia</t>
  </si>
  <si>
    <t>Boulder Creek</t>
  </si>
  <si>
    <t>Boulevard</t>
  </si>
  <si>
    <t>Bouquet Canyon</t>
  </si>
  <si>
    <t>Bowman</t>
  </si>
  <si>
    <t>Boyes Hot Springs</t>
  </si>
  <si>
    <t>Bradbury</t>
  </si>
  <si>
    <t>Bradford</t>
  </si>
  <si>
    <t>Bradley</t>
  </si>
  <si>
    <t>Branscomb</t>
  </si>
  <si>
    <t>Brawley</t>
  </si>
  <si>
    <t>Brea</t>
  </si>
  <si>
    <t>Brents Junction</t>
  </si>
  <si>
    <t>Brentwood</t>
  </si>
  <si>
    <t>Briceland</t>
  </si>
  <si>
    <t>Bridgeport</t>
  </si>
  <si>
    <t>Bridgeville</t>
  </si>
  <si>
    <t>Brisbane</t>
  </si>
  <si>
    <t>Broderick</t>
  </si>
  <si>
    <t>Yolo</t>
  </si>
  <si>
    <t>Brookdale</t>
  </si>
  <si>
    <t>Brookhurst Center</t>
  </si>
  <si>
    <t>Brooks</t>
  </si>
  <si>
    <t>Browns Valley</t>
  </si>
  <si>
    <t>Brownsville</t>
  </si>
  <si>
    <t>Bryn Mawr</t>
  </si>
  <si>
    <t>Bryte</t>
  </si>
  <si>
    <t>Buellton</t>
  </si>
  <si>
    <t>Buena Park</t>
  </si>
  <si>
    <t>Burbank</t>
  </si>
  <si>
    <t>Burlingame</t>
  </si>
  <si>
    <t>Burney</t>
  </si>
  <si>
    <t>Burnt Ranch</t>
  </si>
  <si>
    <t>Burrel</t>
  </si>
  <si>
    <t>Burson</t>
  </si>
  <si>
    <t>Butte City</t>
  </si>
  <si>
    <t>Butte Meadows</t>
  </si>
  <si>
    <t>Buttonwillow</t>
  </si>
  <si>
    <t>Byron</t>
  </si>
  <si>
    <t>Cabazon</t>
  </si>
  <si>
    <t>Cabrillo</t>
  </si>
  <si>
    <t>Cadiz</t>
  </si>
  <si>
    <t>Calabasas</t>
  </si>
  <si>
    <t>Calabasas Highlands</t>
  </si>
  <si>
    <t>Calabasas Park</t>
  </si>
  <si>
    <t>Calexico</t>
  </si>
  <si>
    <t>Caliente</t>
  </si>
  <si>
    <t>California City</t>
  </si>
  <si>
    <t>California Hot Springs</t>
  </si>
  <si>
    <t>California Valley</t>
  </si>
  <si>
    <t>Calimesa</t>
  </si>
  <si>
    <t>Calipatria</t>
  </si>
  <si>
    <t>Calistoga</t>
  </si>
  <si>
    <t>Callahan</t>
  </si>
  <si>
    <t>Siskiyou</t>
  </si>
  <si>
    <t>Calpella</t>
  </si>
  <si>
    <t>Calpine</t>
  </si>
  <si>
    <t>Calwa</t>
  </si>
  <si>
    <t>Camarillo</t>
  </si>
  <si>
    <t>Ventura</t>
  </si>
  <si>
    <t>Cambria</t>
  </si>
  <si>
    <t>Cambrian Park</t>
  </si>
  <si>
    <t>Cameron Park</t>
  </si>
  <si>
    <t>Camino</t>
  </si>
  <si>
    <t>Camp Beale</t>
  </si>
  <si>
    <t>Camp Connell</t>
  </si>
  <si>
    <t>Camp Curry</t>
  </si>
  <si>
    <t>Camp Kaweah</t>
  </si>
  <si>
    <t>Camp Meeker</t>
  </si>
  <si>
    <t>Camp Nelson</t>
  </si>
  <si>
    <t>Camp Pendleton</t>
  </si>
  <si>
    <t>Camp Roberts</t>
  </si>
  <si>
    <t>Campbell</t>
  </si>
  <si>
    <t>Campo</t>
  </si>
  <si>
    <t>Campo Seco</t>
  </si>
  <si>
    <t>Camptonville</t>
  </si>
  <si>
    <t>Canby</t>
  </si>
  <si>
    <t>Canoga Annex</t>
  </si>
  <si>
    <t>Canoga Park</t>
  </si>
  <si>
    <t>Cantil</t>
  </si>
  <si>
    <t>Cantua Creek</t>
  </si>
  <si>
    <t>Canyon</t>
  </si>
  <si>
    <t>Canyon Country</t>
  </si>
  <si>
    <t>Canyon Lake</t>
  </si>
  <si>
    <t>Canyondam</t>
  </si>
  <si>
    <t>Capay</t>
  </si>
  <si>
    <t>Capistrano Beach</t>
  </si>
  <si>
    <t>Capitola</t>
  </si>
  <si>
    <t xml:space="preserve">Cardiff By The Sea </t>
  </si>
  <si>
    <t>Cardwell</t>
  </si>
  <si>
    <t>Carlotta</t>
  </si>
  <si>
    <t>Carlsbad</t>
  </si>
  <si>
    <t>Carmel</t>
  </si>
  <si>
    <t>Carmel Rancho</t>
  </si>
  <si>
    <t>Carmel Valley</t>
  </si>
  <si>
    <t>Carmichael</t>
  </si>
  <si>
    <t>Carnelian Bay</t>
  </si>
  <si>
    <t>Carpinteria</t>
  </si>
  <si>
    <t>Carson</t>
  </si>
  <si>
    <t>Cartago</t>
  </si>
  <si>
    <t>Caruthers</t>
  </si>
  <si>
    <t>Casitas Springs</t>
  </si>
  <si>
    <t>Casmalia</t>
  </si>
  <si>
    <t>Caspar</t>
  </si>
  <si>
    <t>Cassel</t>
  </si>
  <si>
    <t>Castaic</t>
  </si>
  <si>
    <t>Castella</t>
  </si>
  <si>
    <t>Castle A.F.B.</t>
  </si>
  <si>
    <t>Castro Valley</t>
  </si>
  <si>
    <t>Castroville</t>
  </si>
  <si>
    <t>Cathedral City</t>
  </si>
  <si>
    <t>Catheys Valley</t>
  </si>
  <si>
    <t>Cayucos</t>
  </si>
  <si>
    <t>Cazadero</t>
  </si>
  <si>
    <t>Cecilville</t>
  </si>
  <si>
    <t>Cedar</t>
  </si>
  <si>
    <t>Cedar Crest</t>
  </si>
  <si>
    <t>Cedar Glen</t>
  </si>
  <si>
    <t>Cedar Ridge</t>
  </si>
  <si>
    <t>Nevada</t>
  </si>
  <si>
    <t>Cedarpines Park</t>
  </si>
  <si>
    <t>Cedarville</t>
  </si>
  <si>
    <t>Central Valley</t>
  </si>
  <si>
    <t>Century City</t>
  </si>
  <si>
    <t>Ceres</t>
  </si>
  <si>
    <t>Stanislaus</t>
  </si>
  <si>
    <t>Cerritos</t>
  </si>
  <si>
    <t>Challenge</t>
  </si>
  <si>
    <t>Chambers Lodge</t>
  </si>
  <si>
    <t>Charter Oak</t>
  </si>
  <si>
    <t>Chatsworth</t>
  </si>
  <si>
    <t>Cherry Valley</t>
  </si>
  <si>
    <t>Chester</t>
  </si>
  <si>
    <t>Chicago Park</t>
  </si>
  <si>
    <t>Chico</t>
  </si>
  <si>
    <t>Chilcoot</t>
  </si>
  <si>
    <t>China Lake NWC</t>
  </si>
  <si>
    <t>Chinese Camp</t>
  </si>
  <si>
    <t>Chino</t>
  </si>
  <si>
    <t>Chino Hills</t>
  </si>
  <si>
    <t>Chiriaco Summit</t>
  </si>
  <si>
    <t>Cholame</t>
  </si>
  <si>
    <t>Chowchilla</t>
  </si>
  <si>
    <t>Chualar</t>
  </si>
  <si>
    <t>Chula Vista</t>
  </si>
  <si>
    <t>Cima</t>
  </si>
  <si>
    <t>Citrus Heights</t>
  </si>
  <si>
    <t>City of Commerce</t>
  </si>
  <si>
    <t>City of Industry</t>
  </si>
  <si>
    <t>City Terrace</t>
  </si>
  <si>
    <t>Claremont</t>
  </si>
  <si>
    <t>Clarksburg</t>
  </si>
  <si>
    <t>Clayton</t>
  </si>
  <si>
    <t>Clear Creek</t>
  </si>
  <si>
    <t>Clearlake</t>
  </si>
  <si>
    <t>Lake</t>
  </si>
  <si>
    <t>Clearlake Highlands</t>
  </si>
  <si>
    <t>Clearlake Oaks</t>
  </si>
  <si>
    <t>Clearlake Park</t>
  </si>
  <si>
    <t>Clements</t>
  </si>
  <si>
    <t>Clinter</t>
  </si>
  <si>
    <t>Clio</t>
  </si>
  <si>
    <t>Clipper Mills</t>
  </si>
  <si>
    <t>Cloverdale</t>
  </si>
  <si>
    <t>Clovis</t>
  </si>
  <si>
    <t>Coachella</t>
  </si>
  <si>
    <t>Coalinga</t>
  </si>
  <si>
    <t>Coarsegold</t>
  </si>
  <si>
    <t>Cobb</t>
  </si>
  <si>
    <t>Cohasset</t>
  </si>
  <si>
    <t>Cole</t>
  </si>
  <si>
    <t>Coleville</t>
  </si>
  <si>
    <t>Colfax</t>
  </si>
  <si>
    <t>College City</t>
  </si>
  <si>
    <t>College Grove Center</t>
  </si>
  <si>
    <t>Colma</t>
  </si>
  <si>
    <t>Coloma</t>
  </si>
  <si>
    <t>Colorado</t>
  </si>
  <si>
    <t>Colton</t>
  </si>
  <si>
    <t>Columbia</t>
  </si>
  <si>
    <t>Commerce</t>
  </si>
  <si>
    <t>Comptche</t>
  </si>
  <si>
    <t>Compton</t>
  </si>
  <si>
    <t>Concord</t>
  </si>
  <si>
    <t>Cool</t>
  </si>
  <si>
    <t>Copperopolis</t>
  </si>
  <si>
    <t>Corcoran</t>
  </si>
  <si>
    <t>Cornell</t>
  </si>
  <si>
    <t>Corning</t>
  </si>
  <si>
    <t>Tehama</t>
  </si>
  <si>
    <t>Corona</t>
  </si>
  <si>
    <t>Corona Del Mar</t>
  </si>
  <si>
    <t>Coronado</t>
  </si>
  <si>
    <t>Corralitos</t>
  </si>
  <si>
    <t>Corte Madera</t>
  </si>
  <si>
    <t>Coso Junction</t>
  </si>
  <si>
    <t>Costa Mesa</t>
  </si>
  <si>
    <t>Cotati</t>
  </si>
  <si>
    <t>Cottonwood</t>
  </si>
  <si>
    <t>Coulterville</t>
  </si>
  <si>
    <t>Courtland</t>
  </si>
  <si>
    <t>Covelo</t>
  </si>
  <si>
    <t>Covina</t>
  </si>
  <si>
    <t>Cowan Heights</t>
  </si>
  <si>
    <t>Coyote</t>
  </si>
  <si>
    <t>Crannell</t>
  </si>
  <si>
    <t>Crenshaw</t>
  </si>
  <si>
    <t>Crescent City</t>
  </si>
  <si>
    <t>Del Norte</t>
  </si>
  <si>
    <t>Crescent Mills</t>
  </si>
  <si>
    <t>Cressey</t>
  </si>
  <si>
    <t>Crest Park</t>
  </si>
  <si>
    <t>Cresta Blanca</t>
  </si>
  <si>
    <t>Crestline</t>
  </si>
  <si>
    <t>Creston</t>
  </si>
  <si>
    <t>Crockett</t>
  </si>
  <si>
    <t>Cromberg</t>
  </si>
  <si>
    <t>Cross Roads</t>
  </si>
  <si>
    <t>Crowley Lake</t>
  </si>
  <si>
    <t>Crows Landing</t>
  </si>
  <si>
    <t>Cucamonga</t>
  </si>
  <si>
    <t>Cudahy</t>
  </si>
  <si>
    <t>Culver City</t>
  </si>
  <si>
    <t>Cummings</t>
  </si>
  <si>
    <t>Cupertino</t>
  </si>
  <si>
    <t>Curry Village</t>
  </si>
  <si>
    <t>Cutler</t>
  </si>
  <si>
    <t>Cutten</t>
  </si>
  <si>
    <t>Cuyama</t>
  </si>
  <si>
    <t>Cypress</t>
  </si>
  <si>
    <t xml:space="preserve">Orange </t>
  </si>
  <si>
    <t>Daggett</t>
  </si>
  <si>
    <t>Dairy Farm</t>
  </si>
  <si>
    <t>Daly City</t>
  </si>
  <si>
    <t>Dana Point</t>
  </si>
  <si>
    <t>Danville</t>
  </si>
  <si>
    <t>Dardanelle</t>
  </si>
  <si>
    <t>Darwin</t>
  </si>
  <si>
    <t>Davenport</t>
  </si>
  <si>
    <t>Davis</t>
  </si>
  <si>
    <t>Davis Creek</t>
  </si>
  <si>
    <t>Death Valley</t>
  </si>
  <si>
    <t>Death Valley Junction</t>
  </si>
  <si>
    <t>Deer Park</t>
  </si>
  <si>
    <t>Del Kern</t>
  </si>
  <si>
    <t>Del Mar</t>
  </si>
  <si>
    <t>Del Mar Heights</t>
  </si>
  <si>
    <t xml:space="preserve">Del Monte Park </t>
  </si>
  <si>
    <t>Del Rey</t>
  </si>
  <si>
    <t>Del Rey Oaks</t>
  </si>
  <si>
    <t>Del Rosa</t>
  </si>
  <si>
    <t>Del Sur</t>
  </si>
  <si>
    <t>Delano</t>
  </si>
  <si>
    <t>Deleven</t>
  </si>
  <si>
    <t>Delhi</t>
  </si>
  <si>
    <t>Denair</t>
  </si>
  <si>
    <t>Denny</t>
  </si>
  <si>
    <t>Descanso</t>
  </si>
  <si>
    <t>Desert Center</t>
  </si>
  <si>
    <t>Desert Hot Springs</t>
  </si>
  <si>
    <t>Di Giorgio</t>
  </si>
  <si>
    <t>Diablo</t>
  </si>
  <si>
    <t>Diamond Bar</t>
  </si>
  <si>
    <t>Diamond Springs</t>
  </si>
  <si>
    <t>Dillon Beach</t>
  </si>
  <si>
    <t>Dinkey Creek</t>
  </si>
  <si>
    <t>Dinuba</t>
  </si>
  <si>
    <t>Discovery Bay</t>
  </si>
  <si>
    <t>Dixon</t>
  </si>
  <si>
    <t>Dobbins</t>
  </si>
  <si>
    <t>Dogtown</t>
  </si>
  <si>
    <t>Dollar Ranch</t>
  </si>
  <si>
    <t>Dorris</t>
  </si>
  <si>
    <t>Dos Palos</t>
  </si>
  <si>
    <t>Dos Rios</t>
  </si>
  <si>
    <t>Douglas City</t>
  </si>
  <si>
    <t>Douglas Flat</t>
  </si>
  <si>
    <t>Downey</t>
  </si>
  <si>
    <t>Downieville</t>
  </si>
  <si>
    <t>Doyle</t>
  </si>
  <si>
    <t>Drytown</t>
  </si>
  <si>
    <t>Duarte</t>
  </si>
  <si>
    <t>Dublin</t>
  </si>
  <si>
    <t>Ducor</t>
  </si>
  <si>
    <t>Dulzura</t>
  </si>
  <si>
    <t>Duncans Mills</t>
  </si>
  <si>
    <t>Dunlap</t>
  </si>
  <si>
    <t>Dunnigan</t>
  </si>
  <si>
    <t>Dunsmuir</t>
  </si>
  <si>
    <t>Durham</t>
  </si>
  <si>
    <t>Dutch Flat</t>
  </si>
  <si>
    <t>Eagle Mountain</t>
  </si>
  <si>
    <t xml:space="preserve">Eagle Rock </t>
  </si>
  <si>
    <t>Eagleville</t>
  </si>
  <si>
    <t>Earlimart</t>
  </si>
  <si>
    <t>Earp</t>
  </si>
  <si>
    <t xml:space="preserve">East Highlands </t>
  </si>
  <si>
    <t>East Irvine</t>
  </si>
  <si>
    <t>East Los Angeles</t>
  </si>
  <si>
    <t>East Lynwood</t>
  </si>
  <si>
    <t>East Nicolaus</t>
  </si>
  <si>
    <t>Sutter</t>
  </si>
  <si>
    <t>East Palo Alto</t>
  </si>
  <si>
    <t>East Porterville</t>
  </si>
  <si>
    <t>East Rancho Dominguez</t>
  </si>
  <si>
    <t>East San Pedro</t>
  </si>
  <si>
    <t>Eastgate</t>
  </si>
  <si>
    <t>Easton</t>
  </si>
  <si>
    <t>Eastside</t>
  </si>
  <si>
    <t>Echo Lake</t>
  </si>
  <si>
    <t xml:space="preserve">Echo Park </t>
  </si>
  <si>
    <t xml:space="preserve">Edgemont </t>
  </si>
  <si>
    <t>Edgewood</t>
  </si>
  <si>
    <t>Edison</t>
  </si>
  <si>
    <t>Edwards</t>
  </si>
  <si>
    <t>Edwards A.F.B.</t>
  </si>
  <si>
    <t>El Cajon</t>
  </si>
  <si>
    <t>El Centro</t>
  </si>
  <si>
    <t>El Cerrito</t>
  </si>
  <si>
    <t>El Dorado Hills</t>
  </si>
  <si>
    <t>El Granada</t>
  </si>
  <si>
    <t>El Macero</t>
  </si>
  <si>
    <t>El Modena</t>
  </si>
  <si>
    <t>El Monte</t>
  </si>
  <si>
    <t>El Nido</t>
  </si>
  <si>
    <t>El Portal</t>
  </si>
  <si>
    <t>El Segundo</t>
  </si>
  <si>
    <t>El Sobrante</t>
  </si>
  <si>
    <t>El Toro</t>
  </si>
  <si>
    <t>El Toro M.C.A.S.</t>
  </si>
  <si>
    <t>El Verano</t>
  </si>
  <si>
    <t>El Viejo</t>
  </si>
  <si>
    <t>Eldridge</t>
  </si>
  <si>
    <t>Elizabeth Lake</t>
  </si>
  <si>
    <t>Elk</t>
  </si>
  <si>
    <t>Elk Creek</t>
  </si>
  <si>
    <t>Elk Grove</t>
  </si>
  <si>
    <t>Elmira</t>
  </si>
  <si>
    <t>Elmwood</t>
  </si>
  <si>
    <t>Elverta</t>
  </si>
  <si>
    <t>Emerald Hills</t>
  </si>
  <si>
    <t>Emeryville</t>
  </si>
  <si>
    <t>Emigrant Gap</t>
  </si>
  <si>
    <t>Empire</t>
  </si>
  <si>
    <t>Encinitas</t>
  </si>
  <si>
    <t xml:space="preserve">Encino </t>
  </si>
  <si>
    <t>Enterprise</t>
  </si>
  <si>
    <t>Escalon</t>
  </si>
  <si>
    <t>Escondido</t>
  </si>
  <si>
    <t>Esparto</t>
  </si>
  <si>
    <t>Essex</t>
  </si>
  <si>
    <t xml:space="preserve">Etiwanda </t>
  </si>
  <si>
    <t>Etna</t>
  </si>
  <si>
    <t>Ettersburg</t>
  </si>
  <si>
    <t>Eureka</t>
  </si>
  <si>
    <t>Exeter</t>
  </si>
  <si>
    <t xml:space="preserve">Fair Oaks </t>
  </si>
  <si>
    <t>Fairfax</t>
  </si>
  <si>
    <t>Fairfield</t>
  </si>
  <si>
    <t>Fairmount</t>
  </si>
  <si>
    <t>Fall River Mills</t>
  </si>
  <si>
    <t xml:space="preserve">Fallbrook </t>
  </si>
  <si>
    <t>Fallbrook Junction</t>
  </si>
  <si>
    <t>Fallen Leaf</t>
  </si>
  <si>
    <t>Fallon</t>
  </si>
  <si>
    <t>Fancher</t>
  </si>
  <si>
    <t>Farmersville</t>
  </si>
  <si>
    <t>Farmington</t>
  </si>
  <si>
    <t>Fawnskin</t>
  </si>
  <si>
    <t>Feather Falls</t>
  </si>
  <si>
    <t>Fellows</t>
  </si>
  <si>
    <t>Felton</t>
  </si>
  <si>
    <t>Fenner</t>
  </si>
  <si>
    <t xml:space="preserve">Fernbridge </t>
  </si>
  <si>
    <t>Ferndale</t>
  </si>
  <si>
    <t>Fiddletown</t>
  </si>
  <si>
    <t>Fields Landing</t>
  </si>
  <si>
    <t>Fig Garden Village</t>
  </si>
  <si>
    <t>Fillmore</t>
  </si>
  <si>
    <t>Finley</t>
  </si>
  <si>
    <t>Firebaugh</t>
  </si>
  <si>
    <t>Fish Camp</t>
  </si>
  <si>
    <t>Five Points</t>
  </si>
  <si>
    <t>Flinn Springs</t>
  </si>
  <si>
    <t xml:space="preserve">Flintridge </t>
  </si>
  <si>
    <t>Florence</t>
  </si>
  <si>
    <t>Floriston</t>
  </si>
  <si>
    <t>Flournoy</t>
  </si>
  <si>
    <t>Folsom</t>
  </si>
  <si>
    <t>Fontana</t>
  </si>
  <si>
    <t>Foothill Ranch</t>
  </si>
  <si>
    <t>Forbestown</t>
  </si>
  <si>
    <t>Forest Falls</t>
  </si>
  <si>
    <t>Forest Glen</t>
  </si>
  <si>
    <t>Forest Knolls</t>
  </si>
  <si>
    <t>Forest Park</t>
  </si>
  <si>
    <t>Forest Ranch</t>
  </si>
  <si>
    <t>Foresthill</t>
  </si>
  <si>
    <t>Forestville</t>
  </si>
  <si>
    <t>Forks of Salmon</t>
  </si>
  <si>
    <t>Fort Bidwell</t>
  </si>
  <si>
    <t>Fort Bragg</t>
  </si>
  <si>
    <t>Fort Dick</t>
  </si>
  <si>
    <t>Fort Irwin</t>
  </si>
  <si>
    <t>Fort Jones</t>
  </si>
  <si>
    <t xml:space="preserve">Fort Ord </t>
  </si>
  <si>
    <t>Fort Seward</t>
  </si>
  <si>
    <t>Fortuna</t>
  </si>
  <si>
    <t>Foster City</t>
  </si>
  <si>
    <t>Fountain Valley</t>
  </si>
  <si>
    <t>Fowler</t>
  </si>
  <si>
    <t>Frazier Park</t>
  </si>
  <si>
    <t>Freedom</t>
  </si>
  <si>
    <t>Freeport</t>
  </si>
  <si>
    <t>Freestone</t>
  </si>
  <si>
    <t>Fremont</t>
  </si>
  <si>
    <t>French Camp</t>
  </si>
  <si>
    <t>French Gulch</t>
  </si>
  <si>
    <t>Freshwater</t>
  </si>
  <si>
    <t>Friant</t>
  </si>
  <si>
    <t xml:space="preserve">Friendly Valley </t>
  </si>
  <si>
    <t>Frontera</t>
  </si>
  <si>
    <t>Fullerton</t>
  </si>
  <si>
    <t>Fulton</t>
  </si>
  <si>
    <t>Galt</t>
  </si>
  <si>
    <t>Garberville</t>
  </si>
  <si>
    <t>Garden Grove</t>
  </si>
  <si>
    <t>Garden Valley</t>
  </si>
  <si>
    <t>Gardena</t>
  </si>
  <si>
    <t>Garey</t>
  </si>
  <si>
    <t>Garnet</t>
  </si>
  <si>
    <t>Gasquet</t>
  </si>
  <si>
    <t>Gaviota</t>
  </si>
  <si>
    <t>Gazelle</t>
  </si>
  <si>
    <t>George A.F.B.</t>
  </si>
  <si>
    <t>Georgetown</t>
  </si>
  <si>
    <t>Gerber</t>
  </si>
  <si>
    <t>Geyserville</t>
  </si>
  <si>
    <t>Giant Forest</t>
  </si>
  <si>
    <t>Gillman Hot Springs</t>
  </si>
  <si>
    <t>Gilroy</t>
  </si>
  <si>
    <t>Glassell Park</t>
  </si>
  <si>
    <t>Glen Avon</t>
  </si>
  <si>
    <t>Glen Ellen</t>
  </si>
  <si>
    <t>Glenburn</t>
  </si>
  <si>
    <t>Glencoe</t>
  </si>
  <si>
    <t>Glendale</t>
  </si>
  <si>
    <t>Glendora</t>
  </si>
  <si>
    <t>Glenhaven</t>
  </si>
  <si>
    <t>Glennville</t>
  </si>
  <si>
    <t xml:space="preserve">Gold River </t>
  </si>
  <si>
    <t>Gold Run</t>
  </si>
  <si>
    <t>Golden Hills</t>
  </si>
  <si>
    <t>Goleta</t>
  </si>
  <si>
    <t>Gonzales</t>
  </si>
  <si>
    <t>Goodyears Bar</t>
  </si>
  <si>
    <t>Gorman</t>
  </si>
  <si>
    <t>Goshen</t>
  </si>
  <si>
    <t>Government Island</t>
  </si>
  <si>
    <t>Graeagle</t>
  </si>
  <si>
    <t xml:space="preserve">Granada Hills </t>
  </si>
  <si>
    <t>Grand Terrace</t>
  </si>
  <si>
    <t>Granite Bay</t>
  </si>
  <si>
    <t>Grass Valley</t>
  </si>
  <si>
    <t>Graton</t>
  </si>
  <si>
    <t>Green Valley</t>
  </si>
  <si>
    <t>Green Valley Lake</t>
  </si>
  <si>
    <t>Greenacres</t>
  </si>
  <si>
    <t xml:space="preserve">Greenbrae </t>
  </si>
  <si>
    <t>Greenfield</t>
  </si>
  <si>
    <t>Greenview</t>
  </si>
  <si>
    <t>Greenville</t>
  </si>
  <si>
    <t>Greenwood</t>
  </si>
  <si>
    <t>Grenada</t>
  </si>
  <si>
    <t>Gridley</t>
  </si>
  <si>
    <t>Grimes</t>
  </si>
  <si>
    <t>Grizzly Flats</t>
  </si>
  <si>
    <t>Groveland</t>
  </si>
  <si>
    <t>Grover Beach</t>
  </si>
  <si>
    <t>Guadalupe</t>
  </si>
  <si>
    <t>Gualala</t>
  </si>
  <si>
    <t>Guasti</t>
  </si>
  <si>
    <t>Guatay</t>
  </si>
  <si>
    <t>Guerneville</t>
  </si>
  <si>
    <t>Guinda</t>
  </si>
  <si>
    <t>Gustine</t>
  </si>
  <si>
    <t>Hacienda Heights</t>
  </si>
  <si>
    <t>Halcyon</t>
  </si>
  <si>
    <t>Half Moon Bay</t>
  </si>
  <si>
    <t xml:space="preserve">Hamilton A.F.B. </t>
  </si>
  <si>
    <t>Hamilton City</t>
  </si>
  <si>
    <t>Hanford</t>
  </si>
  <si>
    <t>Happy Camp</t>
  </si>
  <si>
    <t xml:space="preserve">Harbor City </t>
  </si>
  <si>
    <t>Harmony</t>
  </si>
  <si>
    <t>Harris</t>
  </si>
  <si>
    <t>Hat Creek</t>
  </si>
  <si>
    <t>Hathaway Pines</t>
  </si>
  <si>
    <t>Havasu Lake</t>
  </si>
  <si>
    <t>Hawaiian Gardens</t>
  </si>
  <si>
    <t>Hawthorne</t>
  </si>
  <si>
    <t>Hayfork</t>
  </si>
  <si>
    <t>Hayward</t>
  </si>
  <si>
    <t>Hazard</t>
  </si>
  <si>
    <t>Healdsburg</t>
  </si>
  <si>
    <t>Heber</t>
  </si>
  <si>
    <t>Helena</t>
  </si>
  <si>
    <t>Helendale</t>
  </si>
  <si>
    <t>Helm</t>
  </si>
  <si>
    <t>Hemet</t>
  </si>
  <si>
    <t>Herald</t>
  </si>
  <si>
    <t>Hercules</t>
  </si>
  <si>
    <t>Herlong</t>
  </si>
  <si>
    <t>Hermosa Beach</t>
  </si>
  <si>
    <t>Herndon</t>
  </si>
  <si>
    <t>Hesperia</t>
  </si>
  <si>
    <t>Heyer</t>
  </si>
  <si>
    <t>Hickman</t>
  </si>
  <si>
    <t>Hidden Hills</t>
  </si>
  <si>
    <t>Highgrove</t>
  </si>
  <si>
    <t>Highland</t>
  </si>
  <si>
    <t xml:space="preserve">Highland Park </t>
  </si>
  <si>
    <t xml:space="preserve">Highway City </t>
  </si>
  <si>
    <t xml:space="preserve">Hillcrest </t>
  </si>
  <si>
    <t>Hillsborough</t>
  </si>
  <si>
    <t xml:space="preserve">Hillsdale </t>
  </si>
  <si>
    <t>Hilmar</t>
  </si>
  <si>
    <t>Hilt</t>
  </si>
  <si>
    <t>Hinkley</t>
  </si>
  <si>
    <t>Hobergs</t>
  </si>
  <si>
    <t>Hollister</t>
  </si>
  <si>
    <t>San Benito</t>
  </si>
  <si>
    <t xml:space="preserve">Hollywood </t>
  </si>
  <si>
    <t>Holmes</t>
  </si>
  <si>
    <t>Holt</t>
  </si>
  <si>
    <t>Holtville</t>
  </si>
  <si>
    <t>Holy City</t>
  </si>
  <si>
    <t>Homeland</t>
  </si>
  <si>
    <t>Homestead</t>
  </si>
  <si>
    <t>Homewood</t>
  </si>
  <si>
    <t>Honby</t>
  </si>
  <si>
    <t>Honeydew</t>
  </si>
  <si>
    <t>Hood</t>
  </si>
  <si>
    <t>Hoopa</t>
  </si>
  <si>
    <t xml:space="preserve">Hope Valley </t>
  </si>
  <si>
    <t>Hopland</t>
  </si>
  <si>
    <t>Hornbrook</t>
  </si>
  <si>
    <t>Hornitos</t>
  </si>
  <si>
    <t>Horse Creek</t>
  </si>
  <si>
    <t>Horse Lake</t>
  </si>
  <si>
    <t>Hughson</t>
  </si>
  <si>
    <t>Hume</t>
  </si>
  <si>
    <t>Huntington</t>
  </si>
  <si>
    <t>Huntington Beach</t>
  </si>
  <si>
    <t>Huntington Lake</t>
  </si>
  <si>
    <t>Huntington Park</t>
  </si>
  <si>
    <t>Huron</t>
  </si>
  <si>
    <t>Hyampom</t>
  </si>
  <si>
    <t xml:space="preserve">Hyde Park </t>
  </si>
  <si>
    <t>Hydesville</t>
  </si>
  <si>
    <t>Idria</t>
  </si>
  <si>
    <t>Idyllwild</t>
  </si>
  <si>
    <t xml:space="preserve">Ignacio </t>
  </si>
  <si>
    <t>Igo</t>
  </si>
  <si>
    <t xml:space="preserve">Imola </t>
  </si>
  <si>
    <t>Imperial Beach</t>
  </si>
  <si>
    <t>Independence</t>
  </si>
  <si>
    <t>Indian Wells</t>
  </si>
  <si>
    <t>Indio</t>
  </si>
  <si>
    <t>Industry</t>
  </si>
  <si>
    <t>Inglewood</t>
  </si>
  <si>
    <t>Inverness</t>
  </si>
  <si>
    <t>Inyokern</t>
  </si>
  <si>
    <t>Ione</t>
  </si>
  <si>
    <t>Iowa Hill</t>
  </si>
  <si>
    <t>Irvine</t>
  </si>
  <si>
    <t>Irwindale</t>
  </si>
  <si>
    <t>Isla Vista</t>
  </si>
  <si>
    <t>Island Mountain</t>
  </si>
  <si>
    <t>Isleton</t>
  </si>
  <si>
    <t>Ivanhoe</t>
  </si>
  <si>
    <t>Ivanpah</t>
  </si>
  <si>
    <t>Jackson</t>
  </si>
  <si>
    <t>Jacumba</t>
  </si>
  <si>
    <t>Jamacha</t>
  </si>
  <si>
    <t>Jamestown</t>
  </si>
  <si>
    <t>Jamul</t>
  </si>
  <si>
    <t>Janesville</t>
  </si>
  <si>
    <t>Jenner</t>
  </si>
  <si>
    <t>Johannesburg</t>
  </si>
  <si>
    <t>Johnsondale</t>
  </si>
  <si>
    <t>Johnstonville</t>
  </si>
  <si>
    <t>Johnstown</t>
  </si>
  <si>
    <t>Jolon</t>
  </si>
  <si>
    <t>Joshua Tree</t>
  </si>
  <si>
    <t>Julian</t>
  </si>
  <si>
    <t>Junction City</t>
  </si>
  <si>
    <t>June Lake</t>
  </si>
  <si>
    <t>Juniper</t>
  </si>
  <si>
    <t>Kagel Canyon</t>
  </si>
  <si>
    <t>Kaweah</t>
  </si>
  <si>
    <t>Keddie</t>
  </si>
  <si>
    <t>Keeler</t>
  </si>
  <si>
    <t>Keene</t>
  </si>
  <si>
    <t>Kelsey</t>
  </si>
  <si>
    <t>Kelseyville</t>
  </si>
  <si>
    <t>Kelso</t>
  </si>
  <si>
    <t>Kensington</t>
  </si>
  <si>
    <t>Kentfield</t>
  </si>
  <si>
    <t>Kenwood</t>
  </si>
  <si>
    <t>Kerman</t>
  </si>
  <si>
    <t>Kernville</t>
  </si>
  <si>
    <t>Keswick</t>
  </si>
  <si>
    <t>Kettleman City</t>
  </si>
  <si>
    <t>Keyes</t>
  </si>
  <si>
    <t>King City</t>
  </si>
  <si>
    <t>Kings Beach</t>
  </si>
  <si>
    <t>Kings Canyon National Park</t>
  </si>
  <si>
    <t>Kingsburg</t>
  </si>
  <si>
    <t>Kinyon</t>
  </si>
  <si>
    <t>Kirkwood</t>
  </si>
  <si>
    <t>Kit Carson</t>
  </si>
  <si>
    <t>Klamath</t>
  </si>
  <si>
    <t>Klamath River</t>
  </si>
  <si>
    <t>Kneeland</t>
  </si>
  <si>
    <t>Knights Ferry</t>
  </si>
  <si>
    <t>Knights Landing</t>
  </si>
  <si>
    <t>Knightsen</t>
  </si>
  <si>
    <t>Korbel</t>
  </si>
  <si>
    <t>Kyburz</t>
  </si>
  <si>
    <t xml:space="preserve">L.A. Airport </t>
  </si>
  <si>
    <t>La Canada- Flintridge</t>
  </si>
  <si>
    <t>La Crescenta</t>
  </si>
  <si>
    <t>La Cresta Village</t>
  </si>
  <si>
    <t>La Grange</t>
  </si>
  <si>
    <t>La Habra</t>
  </si>
  <si>
    <t>La Habra Heights</t>
  </si>
  <si>
    <t>La Honda</t>
  </si>
  <si>
    <t xml:space="preserve">La Jolla </t>
  </si>
  <si>
    <t>La Mesa</t>
  </si>
  <si>
    <t>La Mirada</t>
  </si>
  <si>
    <t>La Palma</t>
  </si>
  <si>
    <t>La Porte</t>
  </si>
  <si>
    <t>La Puente</t>
  </si>
  <si>
    <t>La Quinta</t>
  </si>
  <si>
    <t>La Selva Beach</t>
  </si>
  <si>
    <t>La Verne</t>
  </si>
  <si>
    <t>La Vina</t>
  </si>
  <si>
    <t>Ladera</t>
  </si>
  <si>
    <t>Ladera Heights</t>
  </si>
  <si>
    <t>Ladera Ranch</t>
  </si>
  <si>
    <t>Lafayette</t>
  </si>
  <si>
    <t>Laguna Beach</t>
  </si>
  <si>
    <t>Laguna Hills</t>
  </si>
  <si>
    <t>Laguna Niguel</t>
  </si>
  <si>
    <t>Laguna Woods</t>
  </si>
  <si>
    <t>Lagunitas</t>
  </si>
  <si>
    <t>Lake Alpine</t>
  </si>
  <si>
    <t>Lake Arrowhead</t>
  </si>
  <si>
    <t>Lake City</t>
  </si>
  <si>
    <t>Lake Elsinore</t>
  </si>
  <si>
    <t>Lake Forest</t>
  </si>
  <si>
    <t>Lake Hughes</t>
  </si>
  <si>
    <t>Lake Isabella</t>
  </si>
  <si>
    <t>Lake Los Angeles</t>
  </si>
  <si>
    <t>Lake Mary</t>
  </si>
  <si>
    <t>Lake San Marcos</t>
  </si>
  <si>
    <t>Lake Shastina</t>
  </si>
  <si>
    <t>Lake Sherwood</t>
  </si>
  <si>
    <t>Lakehead</t>
  </si>
  <si>
    <t>Lakeport</t>
  </si>
  <si>
    <t>Lakeshore</t>
  </si>
  <si>
    <t>Lakeside</t>
  </si>
  <si>
    <t>Lakeview</t>
  </si>
  <si>
    <t xml:space="preserve">Lakeview Terrace </t>
  </si>
  <si>
    <t>Lakewood</t>
  </si>
  <si>
    <t>Lamont</t>
  </si>
  <si>
    <t>Lancaster</t>
  </si>
  <si>
    <t>Landers</t>
  </si>
  <si>
    <t>Landscape</t>
  </si>
  <si>
    <t>Lang</t>
  </si>
  <si>
    <t>Larkfield</t>
  </si>
  <si>
    <t>Larkspur</t>
  </si>
  <si>
    <t>Larwin Plaza</t>
  </si>
  <si>
    <t>Lathrop</t>
  </si>
  <si>
    <t>Laton</t>
  </si>
  <si>
    <t>Lawndale</t>
  </si>
  <si>
    <t>Laws</t>
  </si>
  <si>
    <t>Laytonville</t>
  </si>
  <si>
    <t xml:space="preserve">Le Grand </t>
  </si>
  <si>
    <t>Lebec</t>
  </si>
  <si>
    <t>Lee Vining</t>
  </si>
  <si>
    <t>Leggett</t>
  </si>
  <si>
    <t xml:space="preserve">Leisure World </t>
  </si>
  <si>
    <t>Leisure World</t>
  </si>
  <si>
    <t>Lemon Grove</t>
  </si>
  <si>
    <t>Lemoncove</t>
  </si>
  <si>
    <t>Lemoore</t>
  </si>
  <si>
    <t>Lennox</t>
  </si>
  <si>
    <t>Lenwood</t>
  </si>
  <si>
    <t>Leona Valley</t>
  </si>
  <si>
    <t xml:space="preserve">Leucadia </t>
  </si>
  <si>
    <t>Lewiston</t>
  </si>
  <si>
    <t>Liberty Farms</t>
  </si>
  <si>
    <t>Likely</t>
  </si>
  <si>
    <t>Lincoln</t>
  </si>
  <si>
    <t>Lincoln Acres</t>
  </si>
  <si>
    <t xml:space="preserve">Lincoln Heights </t>
  </si>
  <si>
    <t>Lincoln Village</t>
  </si>
  <si>
    <t>Linda</t>
  </si>
  <si>
    <t>Linden</t>
  </si>
  <si>
    <t>Lindsay</t>
  </si>
  <si>
    <t>Linnell</t>
  </si>
  <si>
    <t>Litchfield</t>
  </si>
  <si>
    <t>Little Lake</t>
  </si>
  <si>
    <t>Little Norway</t>
  </si>
  <si>
    <t>Little Valley</t>
  </si>
  <si>
    <t>Littleriver</t>
  </si>
  <si>
    <t xml:space="preserve">Littlerock </t>
  </si>
  <si>
    <t>Live Oak</t>
  </si>
  <si>
    <t>Livermore</t>
  </si>
  <si>
    <t>Livingston</t>
  </si>
  <si>
    <t>Llano</t>
  </si>
  <si>
    <t>Loch Lomond</t>
  </si>
  <si>
    <t>Locke</t>
  </si>
  <si>
    <t>Lockeford</t>
  </si>
  <si>
    <t>Lockheed</t>
  </si>
  <si>
    <t>Lockwood</t>
  </si>
  <si>
    <t>Lodi</t>
  </si>
  <si>
    <t>Loleta</t>
  </si>
  <si>
    <t>Loma Linda</t>
  </si>
  <si>
    <t>Loma Mar</t>
  </si>
  <si>
    <t>Loma Rica</t>
  </si>
  <si>
    <t>Lomita</t>
  </si>
  <si>
    <t>Lompoc</t>
  </si>
  <si>
    <t>London</t>
  </si>
  <si>
    <t>Lone Pine</t>
  </si>
  <si>
    <t>Long Barn</t>
  </si>
  <si>
    <t>Long Beach</t>
  </si>
  <si>
    <t>Longview</t>
  </si>
  <si>
    <t>Lookout</t>
  </si>
  <si>
    <t>Loomis</t>
  </si>
  <si>
    <t>Lorre Estates</t>
  </si>
  <si>
    <t>Los Alamitos</t>
  </si>
  <si>
    <t>Los Alamos</t>
  </si>
  <si>
    <t>Los Altos</t>
  </si>
  <si>
    <t>Los Altos Hills</t>
  </si>
  <si>
    <t>Los Banos</t>
  </si>
  <si>
    <t>Los Gatos</t>
  </si>
  <si>
    <t>Los Molinos</t>
  </si>
  <si>
    <t>Los Nietos</t>
  </si>
  <si>
    <t>Los Olivos</t>
  </si>
  <si>
    <t>Los Osos</t>
  </si>
  <si>
    <t>Los Padres</t>
  </si>
  <si>
    <t xml:space="preserve">Los Serranos </t>
  </si>
  <si>
    <t>Lost Hills</t>
  </si>
  <si>
    <t>Lost Lake</t>
  </si>
  <si>
    <t>Lotus</t>
  </si>
  <si>
    <t>Lower Lake</t>
  </si>
  <si>
    <t>Loyalton</t>
  </si>
  <si>
    <t>Lucerne</t>
  </si>
  <si>
    <t>Lucerne Valley</t>
  </si>
  <si>
    <t>Lucia</t>
  </si>
  <si>
    <t>Ludlow</t>
  </si>
  <si>
    <t>Lugo</t>
  </si>
  <si>
    <t>Lynwood</t>
  </si>
  <si>
    <t>Lytle Creek</t>
  </si>
  <si>
    <t>Macdoel</t>
  </si>
  <si>
    <t>Maclay</t>
  </si>
  <si>
    <t>Mad River</t>
  </si>
  <si>
    <t>Madeline</t>
  </si>
  <si>
    <t>Madison</t>
  </si>
  <si>
    <t>Magalia</t>
  </si>
  <si>
    <t>Malaga</t>
  </si>
  <si>
    <t>Malibu</t>
  </si>
  <si>
    <t>Mammoth Lakes</t>
  </si>
  <si>
    <t>Manhattan Beach</t>
  </si>
  <si>
    <t>Manteca</t>
  </si>
  <si>
    <t>Manton</t>
  </si>
  <si>
    <t>Manzanita Lake</t>
  </si>
  <si>
    <t>Mar Vista</t>
  </si>
  <si>
    <t>Marcelina</t>
  </si>
  <si>
    <t>March A.F.B.</t>
  </si>
  <si>
    <t xml:space="preserve">Mare Island </t>
  </si>
  <si>
    <t>Maricopa</t>
  </si>
  <si>
    <t>Marin City</t>
  </si>
  <si>
    <t>Marina</t>
  </si>
  <si>
    <t>Marina Del Rey</t>
  </si>
  <si>
    <t xml:space="preserve">Marine Corps </t>
  </si>
  <si>
    <t>Mariner</t>
  </si>
  <si>
    <t>Markleeville</t>
  </si>
  <si>
    <t>Marsh Manor</t>
  </si>
  <si>
    <t>Marshall</t>
  </si>
  <si>
    <t>Martell</t>
  </si>
  <si>
    <t>Martinez</t>
  </si>
  <si>
    <t>Marysville</t>
  </si>
  <si>
    <t xml:space="preserve">Mather </t>
  </si>
  <si>
    <t>Mather</t>
  </si>
  <si>
    <t>Maxwell</t>
  </si>
  <si>
    <t>Maywood</t>
  </si>
  <si>
    <t>McArthur</t>
  </si>
  <si>
    <t xml:space="preserve">McClellan </t>
  </si>
  <si>
    <t>McCloud</t>
  </si>
  <si>
    <t>McFarland</t>
  </si>
  <si>
    <t>McKinleyville</t>
  </si>
  <si>
    <t>McKittrick</t>
  </si>
  <si>
    <t>Mead Valley</t>
  </si>
  <si>
    <t>Meadow Valley</t>
  </si>
  <si>
    <t>Meadow Vista</t>
  </si>
  <si>
    <t>Meadowbrook</t>
  </si>
  <si>
    <t>Mecca</t>
  </si>
  <si>
    <t>Meeks Bay</t>
  </si>
  <si>
    <t>Meiners Oaks</t>
  </si>
  <si>
    <t>Mendota</t>
  </si>
  <si>
    <t>Menifee</t>
  </si>
  <si>
    <t>Menlo Park</t>
  </si>
  <si>
    <t>Mentone</t>
  </si>
  <si>
    <t>Meridian</t>
  </si>
  <si>
    <t>Mettler</t>
  </si>
  <si>
    <t>Meyers</t>
  </si>
  <si>
    <t>Middletown</t>
  </si>
  <si>
    <t>Midland</t>
  </si>
  <si>
    <t>Midpines</t>
  </si>
  <si>
    <t>Midway City</t>
  </si>
  <si>
    <t>Milford</t>
  </si>
  <si>
    <t>Mill Creek</t>
  </si>
  <si>
    <t>Mill Valley</t>
  </si>
  <si>
    <t>Millbrae</t>
  </si>
  <si>
    <t>Millville</t>
  </si>
  <si>
    <t>Milpitas</t>
  </si>
  <si>
    <t>Mineral</t>
  </si>
  <si>
    <t>Mineral King</t>
  </si>
  <si>
    <t>Mint Canyon</t>
  </si>
  <si>
    <t>Mira Loma</t>
  </si>
  <si>
    <t>Mira Vista</t>
  </si>
  <si>
    <t>Miracle Hot Springs</t>
  </si>
  <si>
    <t xml:space="preserve">Miramar </t>
  </si>
  <si>
    <t>Miramonte</t>
  </si>
  <si>
    <t>Miranda</t>
  </si>
  <si>
    <t xml:space="preserve">Mission Hills </t>
  </si>
  <si>
    <t>Mission Viejo</t>
  </si>
  <si>
    <t>Mi-Wuk Village</t>
  </si>
  <si>
    <t>Moccasin</t>
  </si>
  <si>
    <t>Modesto</t>
  </si>
  <si>
    <t>Moffett Field</t>
  </si>
  <si>
    <t>Mojave</t>
  </si>
  <si>
    <t>Mokelumne Hill</t>
  </si>
  <si>
    <t xml:space="preserve">Monarch Beach </t>
  </si>
  <si>
    <t>Moneta</t>
  </si>
  <si>
    <t>Mono Hot Springs</t>
  </si>
  <si>
    <t>Mono Lake</t>
  </si>
  <si>
    <t>Monolith</t>
  </si>
  <si>
    <t>Monrovia</t>
  </si>
  <si>
    <t>Monta Vista</t>
  </si>
  <si>
    <t>Montague</t>
  </si>
  <si>
    <t xml:space="preserve">Montalvo </t>
  </si>
  <si>
    <t>Montara</t>
  </si>
  <si>
    <t>Montclair</t>
  </si>
  <si>
    <t>Monte Rio</t>
  </si>
  <si>
    <t>Monte Sereno</t>
  </si>
  <si>
    <t>Montebello</t>
  </si>
  <si>
    <t>Montecito</t>
  </si>
  <si>
    <t>Monterey Bay Academy</t>
  </si>
  <si>
    <t>Monterey Park</t>
  </si>
  <si>
    <t>Montgomery Creek</t>
  </si>
  <si>
    <t>Montrose</t>
  </si>
  <si>
    <t>Mooney</t>
  </si>
  <si>
    <t>Moonridge</t>
  </si>
  <si>
    <t>Moorpark</t>
  </si>
  <si>
    <t>Moraga</t>
  </si>
  <si>
    <t>Moreno Valley</t>
  </si>
  <si>
    <t>Morgan Hill</t>
  </si>
  <si>
    <t>Morongo Valley</t>
  </si>
  <si>
    <t>Morro Bay</t>
  </si>
  <si>
    <t>Morro Plaza</t>
  </si>
  <si>
    <t>Moss Beach</t>
  </si>
  <si>
    <t>Moss Landing</t>
  </si>
  <si>
    <t>Mount Hamilton</t>
  </si>
  <si>
    <t>Mount Hebron</t>
  </si>
  <si>
    <t>Mount Hermon</t>
  </si>
  <si>
    <t>Mount Laguna</t>
  </si>
  <si>
    <t>Mount Shasta</t>
  </si>
  <si>
    <t>Mount Wilson</t>
  </si>
  <si>
    <t>Mountain Center</t>
  </si>
  <si>
    <t>Mountain Mesa</t>
  </si>
  <si>
    <t>Mountain Pass</t>
  </si>
  <si>
    <t>Mountain Ranch</t>
  </si>
  <si>
    <t>Mountain View</t>
  </si>
  <si>
    <t>Mt. Aukum</t>
  </si>
  <si>
    <t>Mt. Baldy</t>
  </si>
  <si>
    <t>Murphys</t>
  </si>
  <si>
    <t>Murrieta</t>
  </si>
  <si>
    <t>Muscoy</t>
  </si>
  <si>
    <t>Myers Flat</t>
  </si>
  <si>
    <t>Naples</t>
  </si>
  <si>
    <t>Nashville</t>
  </si>
  <si>
    <t>National City</t>
  </si>
  <si>
    <t xml:space="preserve">Naval </t>
  </si>
  <si>
    <t xml:space="preserve">Naval Air Station </t>
  </si>
  <si>
    <t>Naval Air Station</t>
  </si>
  <si>
    <t xml:space="preserve">Naval Hospital </t>
  </si>
  <si>
    <t xml:space="preserve">Naval Supply Center </t>
  </si>
  <si>
    <t xml:space="preserve">Naval Training Center </t>
  </si>
  <si>
    <t>Navarro</t>
  </si>
  <si>
    <t>Needles</t>
  </si>
  <si>
    <t>Nelson</t>
  </si>
  <si>
    <t>Nevada City</t>
  </si>
  <si>
    <t>New Almaden</t>
  </si>
  <si>
    <t>New Cuyama</t>
  </si>
  <si>
    <t>New Idria</t>
  </si>
  <si>
    <t>Newark</t>
  </si>
  <si>
    <t>Newberry</t>
  </si>
  <si>
    <t>Newberry Springs</t>
  </si>
  <si>
    <t xml:space="preserve">Newbury Park </t>
  </si>
  <si>
    <t>Newcastle</t>
  </si>
  <si>
    <t xml:space="preserve">Newhall </t>
  </si>
  <si>
    <t>Newman</t>
  </si>
  <si>
    <t>Newport Beach</t>
  </si>
  <si>
    <t>Nicasio</t>
  </si>
  <si>
    <t>Nice</t>
  </si>
  <si>
    <t>Nicolaus</t>
  </si>
  <si>
    <t>Niland</t>
  </si>
  <si>
    <t>Nipomo</t>
  </si>
  <si>
    <t>Nipton</t>
  </si>
  <si>
    <t>Norco</t>
  </si>
  <si>
    <t>Norden</t>
  </si>
  <si>
    <t>North Edwards</t>
  </si>
  <si>
    <t>North Fork</t>
  </si>
  <si>
    <t>North Gardena</t>
  </si>
  <si>
    <t>North Highlands</t>
  </si>
  <si>
    <t xml:space="preserve">North Hills </t>
  </si>
  <si>
    <t xml:space="preserve">North Hollywood </t>
  </si>
  <si>
    <t>North Palm Springs</t>
  </si>
  <si>
    <t>North San Juan</t>
  </si>
  <si>
    <t>North Shore</t>
  </si>
  <si>
    <t xml:space="preserve">Northridge </t>
  </si>
  <si>
    <t>Norton A.F.B.</t>
  </si>
  <si>
    <t>Norwalk</t>
  </si>
  <si>
    <t>Novato</t>
  </si>
  <si>
    <t>Nubieber</t>
  </si>
  <si>
    <t>Nuevo</t>
  </si>
  <si>
    <t>Nyeland Acres</t>
  </si>
  <si>
    <t>Oak Park</t>
  </si>
  <si>
    <t>Oak Run</t>
  </si>
  <si>
    <t>Oak View</t>
  </si>
  <si>
    <t>Oakdale</t>
  </si>
  <si>
    <t>Oakhurst</t>
  </si>
  <si>
    <t>Oakland</t>
  </si>
  <si>
    <t>Oakley</t>
  </si>
  <si>
    <t>Oakville</t>
  </si>
  <si>
    <t>Oasis</t>
  </si>
  <si>
    <t>Oban</t>
  </si>
  <si>
    <t>O'Brien</t>
  </si>
  <si>
    <t>Occidental</t>
  </si>
  <si>
    <t>Oceano</t>
  </si>
  <si>
    <t>Oceanside</t>
  </si>
  <si>
    <t>Ocotillo</t>
  </si>
  <si>
    <t>Ocotillo Wells</t>
  </si>
  <si>
    <t>Oildale</t>
  </si>
  <si>
    <t>Ojai</t>
  </si>
  <si>
    <t>Olancha</t>
  </si>
  <si>
    <t>Old Station</t>
  </si>
  <si>
    <t>Olema</t>
  </si>
  <si>
    <t>Olinda</t>
  </si>
  <si>
    <t xml:space="preserve">Olive View </t>
  </si>
  <si>
    <t>Olivehurst</t>
  </si>
  <si>
    <t xml:space="preserve">Olivenhain </t>
  </si>
  <si>
    <t>Olympic Valley</t>
  </si>
  <si>
    <t>Omo Ranch</t>
  </si>
  <si>
    <t>O'Neals</t>
  </si>
  <si>
    <t>Ono</t>
  </si>
  <si>
    <t>Ontario</t>
  </si>
  <si>
    <t>Onyx</t>
  </si>
  <si>
    <t>Opal Cliffs</t>
  </si>
  <si>
    <t>Orange Cove</t>
  </si>
  <si>
    <t>Orangevale</t>
  </si>
  <si>
    <t>Orcutt</t>
  </si>
  <si>
    <t>Ordbend</t>
  </si>
  <si>
    <t>Oregon House</t>
  </si>
  <si>
    <t>Orick</t>
  </si>
  <si>
    <t>Orinda</t>
  </si>
  <si>
    <t>Orland</t>
  </si>
  <si>
    <t>Orleans</t>
  </si>
  <si>
    <t>Oro Grande</t>
  </si>
  <si>
    <t>Orosi</t>
  </si>
  <si>
    <t>Oroville</t>
  </si>
  <si>
    <t xml:space="preserve">Otay </t>
  </si>
  <si>
    <t>Oxnard</t>
  </si>
  <si>
    <t>Pacheco</t>
  </si>
  <si>
    <t>Pacific Grove</t>
  </si>
  <si>
    <t>Pacific House</t>
  </si>
  <si>
    <t>Pacific Palisades</t>
  </si>
  <si>
    <t>Pacifica</t>
  </si>
  <si>
    <t xml:space="preserve">Pacoima </t>
  </si>
  <si>
    <t>Paicines</t>
  </si>
  <si>
    <t>Pajaro</t>
  </si>
  <si>
    <t>Pala</t>
  </si>
  <si>
    <t>Palermo</t>
  </si>
  <si>
    <t>Pallett</t>
  </si>
  <si>
    <t xml:space="preserve">Palm City </t>
  </si>
  <si>
    <t>Palm City</t>
  </si>
  <si>
    <t>Palm Desert</t>
  </si>
  <si>
    <t>Palm Springs</t>
  </si>
  <si>
    <t>Palmdale</t>
  </si>
  <si>
    <t>Palo Alto</t>
  </si>
  <si>
    <t>Palo Cedro</t>
  </si>
  <si>
    <t>Palo Verde</t>
  </si>
  <si>
    <t>Palomar Mountain</t>
  </si>
  <si>
    <t>Palos Verdes Estates</t>
  </si>
  <si>
    <t>Palos Verdes/Peninsula</t>
  </si>
  <si>
    <t xml:space="preserve">Panorama City </t>
  </si>
  <si>
    <t>Paradise</t>
  </si>
  <si>
    <t>Paramount</t>
  </si>
  <si>
    <t>Parker Dam</t>
  </si>
  <si>
    <t>Parkfield</t>
  </si>
  <si>
    <t>Parlier</t>
  </si>
  <si>
    <t>Pasadena</t>
  </si>
  <si>
    <t>Paskenta</t>
  </si>
  <si>
    <t>Paso Robles</t>
  </si>
  <si>
    <t>Patterson</t>
  </si>
  <si>
    <t>Patton</t>
  </si>
  <si>
    <t>Pauma Valley</t>
  </si>
  <si>
    <t>Paynes Creek</t>
  </si>
  <si>
    <t>Pearblossom</t>
  </si>
  <si>
    <t>Pearland</t>
  </si>
  <si>
    <t>Pebble Beach</t>
  </si>
  <si>
    <t>Pedley</t>
  </si>
  <si>
    <t>Peninsula Village</t>
  </si>
  <si>
    <t>Penn Valley</t>
  </si>
  <si>
    <t>Penngrove</t>
  </si>
  <si>
    <t>Penryn</t>
  </si>
  <si>
    <t>Pepperwood</t>
  </si>
  <si>
    <t>Permanente</t>
  </si>
  <si>
    <t>Perris</t>
  </si>
  <si>
    <t xml:space="preserve">Perry </t>
  </si>
  <si>
    <t>Pescadero</t>
  </si>
  <si>
    <t>Petaluma</t>
  </si>
  <si>
    <t>Petrolia</t>
  </si>
  <si>
    <t>Phelan</t>
  </si>
  <si>
    <t>Phillipsville</t>
  </si>
  <si>
    <t>Philo</t>
  </si>
  <si>
    <t>Pico Rivera</t>
  </si>
  <si>
    <t>Piedmont</t>
  </si>
  <si>
    <t>Piedra</t>
  </si>
  <si>
    <t>Piercy</t>
  </si>
  <si>
    <t>Pilot Hill</t>
  </si>
  <si>
    <t>Pine Grove</t>
  </si>
  <si>
    <t>Pine Valley</t>
  </si>
  <si>
    <t>Pinecrest</t>
  </si>
  <si>
    <t xml:space="preserve">Pinedale </t>
  </si>
  <si>
    <t>Pinetree</t>
  </si>
  <si>
    <t>Pinole</t>
  </si>
  <si>
    <t>Pinon Hills</t>
  </si>
  <si>
    <t>Pioneer</t>
  </si>
  <si>
    <t>Pioneertown</t>
  </si>
  <si>
    <t>Piru</t>
  </si>
  <si>
    <t>Pismo Beach</t>
  </si>
  <si>
    <t>Pittsburg</t>
  </si>
  <si>
    <t>Pixley</t>
  </si>
  <si>
    <t>Placentia</t>
  </si>
  <si>
    <t>Placerville</t>
  </si>
  <si>
    <t>Plainview</t>
  </si>
  <si>
    <t>Planada</t>
  </si>
  <si>
    <t>Plaster City</t>
  </si>
  <si>
    <t>Platina</t>
  </si>
  <si>
    <t>Playa Del Rey</t>
  </si>
  <si>
    <t>Pleasant Grove</t>
  </si>
  <si>
    <t>Pleasant Hill</t>
  </si>
  <si>
    <t>Pleasanton</t>
  </si>
  <si>
    <t>Plymouth</t>
  </si>
  <si>
    <t>Point Arena</t>
  </si>
  <si>
    <t>Point Mugu</t>
  </si>
  <si>
    <t xml:space="preserve">Point Pittsburg </t>
  </si>
  <si>
    <t>Point Reyes Station</t>
  </si>
  <si>
    <t>Pollock Pines</t>
  </si>
  <si>
    <t>Pomona</t>
  </si>
  <si>
    <t>Pond</t>
  </si>
  <si>
    <t>Pondosa</t>
  </si>
  <si>
    <t>Pope Valley</t>
  </si>
  <si>
    <t>Poplar</t>
  </si>
  <si>
    <t>Port Costa</t>
  </si>
  <si>
    <t>Port Hueneme</t>
  </si>
  <si>
    <t xml:space="preserve">Porter Ranch </t>
  </si>
  <si>
    <t>Porterville</t>
  </si>
  <si>
    <t>Portola</t>
  </si>
  <si>
    <t>Portola Valley</t>
  </si>
  <si>
    <t>Portuguese Bend</t>
  </si>
  <si>
    <t>Posey</t>
  </si>
  <si>
    <t>Potrero</t>
  </si>
  <si>
    <t>Potter Valley</t>
  </si>
  <si>
    <t>Poway</t>
  </si>
  <si>
    <t>Prather</t>
  </si>
  <si>
    <t xml:space="preserve">Presidio </t>
  </si>
  <si>
    <t>San Francisco</t>
  </si>
  <si>
    <t xml:space="preserve">Presidio of Monterey </t>
  </si>
  <si>
    <t>Priest Valley</t>
  </si>
  <si>
    <t>Princeton</t>
  </si>
  <si>
    <t>Proberta</t>
  </si>
  <si>
    <t>Project City</t>
  </si>
  <si>
    <t>Prunedale</t>
  </si>
  <si>
    <t>Pt. Dume</t>
  </si>
  <si>
    <t>Pulga</t>
  </si>
  <si>
    <t>Pumpkin Center</t>
  </si>
  <si>
    <t>Quail Valley</t>
  </si>
  <si>
    <t>Quartz Hill</t>
  </si>
  <si>
    <t>Quincy</t>
  </si>
  <si>
    <t>Rackerby</t>
  </si>
  <si>
    <t>Rail Road Flat</t>
  </si>
  <si>
    <t>Rainbow</t>
  </si>
  <si>
    <t>Raisin City</t>
  </si>
  <si>
    <t>Ramona</t>
  </si>
  <si>
    <t>Ranchita</t>
  </si>
  <si>
    <t xml:space="preserve">Rancho Bernardo </t>
  </si>
  <si>
    <t>Rancho California</t>
  </si>
  <si>
    <t>Rancho Cordova</t>
  </si>
  <si>
    <t>Rancho Cucamonga</t>
  </si>
  <si>
    <t>Rancho Dominguez</t>
  </si>
  <si>
    <t>Rancho Mirage</t>
  </si>
  <si>
    <t>Rancho Murieta</t>
  </si>
  <si>
    <t>Rancho Palos Verdes</t>
  </si>
  <si>
    <t xml:space="preserve">Rancho Park </t>
  </si>
  <si>
    <t>Rancho Santa Fe</t>
  </si>
  <si>
    <t>Rancho Santa Margarita</t>
  </si>
  <si>
    <t>Randsburg</t>
  </si>
  <si>
    <t>Ravendale</t>
  </si>
  <si>
    <t>Ravenna</t>
  </si>
  <si>
    <t>Raymond</t>
  </si>
  <si>
    <t>Red Bluff</t>
  </si>
  <si>
    <t>Red Mountain</t>
  </si>
  <si>
    <t>Red Top</t>
  </si>
  <si>
    <t>Redcrest</t>
  </si>
  <si>
    <t>Redding</t>
  </si>
  <si>
    <t>Redlands</t>
  </si>
  <si>
    <t>Redondo Beach</t>
  </si>
  <si>
    <t>Redway</t>
  </si>
  <si>
    <t>Redwood City</t>
  </si>
  <si>
    <t>Redwood Estates</t>
  </si>
  <si>
    <t>Redwood Valley</t>
  </si>
  <si>
    <t>Reedley</t>
  </si>
  <si>
    <t>Refugio Beach</t>
  </si>
  <si>
    <t>Represa</t>
  </si>
  <si>
    <t>Requa</t>
  </si>
  <si>
    <t>Rescue</t>
  </si>
  <si>
    <t xml:space="preserve">Reseda </t>
  </si>
  <si>
    <t xml:space="preserve">Rheem Valley </t>
  </si>
  <si>
    <t>Rialto</t>
  </si>
  <si>
    <t>Richardson Grove</t>
  </si>
  <si>
    <t>Richardson Springs</t>
  </si>
  <si>
    <t>Richfield</t>
  </si>
  <si>
    <t>Richgrove</t>
  </si>
  <si>
    <t>Richmond</t>
  </si>
  <si>
    <t>Richvale</t>
  </si>
  <si>
    <t>Ridgecrest</t>
  </si>
  <si>
    <t>Rimforest</t>
  </si>
  <si>
    <t xml:space="preserve">Rimpau </t>
  </si>
  <si>
    <t>Rio Bravo</t>
  </si>
  <si>
    <t>Rio Dell</t>
  </si>
  <si>
    <t>Rio Linda</t>
  </si>
  <si>
    <t>Rio Nido</t>
  </si>
  <si>
    <t>Rio Oso</t>
  </si>
  <si>
    <t>Rio Vista</t>
  </si>
  <si>
    <t>Ripley</t>
  </si>
  <si>
    <t>Ripon</t>
  </si>
  <si>
    <t>River Pines</t>
  </si>
  <si>
    <t>Riverbank</t>
  </si>
  <si>
    <t>Riverdale</t>
  </si>
  <si>
    <t>Robbins</t>
  </si>
  <si>
    <t>Rocklin</t>
  </si>
  <si>
    <t>Rodeo</t>
  </si>
  <si>
    <t>Rohnert Park</t>
  </si>
  <si>
    <t>Rohnerville</t>
  </si>
  <si>
    <t>Rolling Hills</t>
  </si>
  <si>
    <t>Rolling Hills Estates</t>
  </si>
  <si>
    <t>Romoland</t>
  </si>
  <si>
    <t>Rosamond</t>
  </si>
  <si>
    <t xml:space="preserve">Rose Bowl </t>
  </si>
  <si>
    <t xml:space="preserve">Roseland </t>
  </si>
  <si>
    <t>Rosemead</t>
  </si>
  <si>
    <t>Roseville</t>
  </si>
  <si>
    <t>Ross</t>
  </si>
  <si>
    <t>Rossmoor</t>
  </si>
  <si>
    <t>Rough and Ready</t>
  </si>
  <si>
    <t>Round Mountain</t>
  </si>
  <si>
    <t>Rowland Heights</t>
  </si>
  <si>
    <t>Royal Oaks</t>
  </si>
  <si>
    <t>Rubidoux</t>
  </si>
  <si>
    <t>Ruby Valley</t>
  </si>
  <si>
    <t>Rumsey</t>
  </si>
  <si>
    <t>Running Springs</t>
  </si>
  <si>
    <t>Ruth</t>
  </si>
  <si>
    <t>Rutherford</t>
  </si>
  <si>
    <t>Ryde</t>
  </si>
  <si>
    <t>Saint Helena</t>
  </si>
  <si>
    <t>Salida</t>
  </si>
  <si>
    <t>Salinas</t>
  </si>
  <si>
    <t>Salton City</t>
  </si>
  <si>
    <t>Salyer</t>
  </si>
  <si>
    <t>Samoa</t>
  </si>
  <si>
    <t>San Andreas</t>
  </si>
  <si>
    <t>San Anselmo</t>
  </si>
  <si>
    <t>San Ardo</t>
  </si>
  <si>
    <t>San Bruno</t>
  </si>
  <si>
    <t>San Carlos</t>
  </si>
  <si>
    <t>San Clemente</t>
  </si>
  <si>
    <t>San Dimas</t>
  </si>
  <si>
    <t>San Fernando</t>
  </si>
  <si>
    <t>San Gabriel</t>
  </si>
  <si>
    <t>San Geronimo</t>
  </si>
  <si>
    <t>San Gregorio</t>
  </si>
  <si>
    <t>San Jacinto</t>
  </si>
  <si>
    <t>San Jose</t>
  </si>
  <si>
    <t>San Juan Bautista</t>
  </si>
  <si>
    <t>San Juan Capistrano</t>
  </si>
  <si>
    <t xml:space="preserve">San Juan Plaza </t>
  </si>
  <si>
    <t>San Leandro</t>
  </si>
  <si>
    <t>San Lorenzo</t>
  </si>
  <si>
    <t>San Lucas</t>
  </si>
  <si>
    <t xml:space="preserve">San Luis Rey </t>
  </si>
  <si>
    <t>San Marcos</t>
  </si>
  <si>
    <t>San Marino</t>
  </si>
  <si>
    <t>San Martin</t>
  </si>
  <si>
    <t>San Miguel</t>
  </si>
  <si>
    <t>San Pablo</t>
  </si>
  <si>
    <t xml:space="preserve">San Pedro </t>
  </si>
  <si>
    <t>San Quentin</t>
  </si>
  <si>
    <t>San Rafael</t>
  </si>
  <si>
    <t>San Ramon</t>
  </si>
  <si>
    <t>San Simeon</t>
  </si>
  <si>
    <t>San Tomas</t>
  </si>
  <si>
    <t xml:space="preserve">San Ysidro </t>
  </si>
  <si>
    <t>Sand City</t>
  </si>
  <si>
    <t>Sanger</t>
  </si>
  <si>
    <t>Santa Ana</t>
  </si>
  <si>
    <t>Santa Clarita</t>
  </si>
  <si>
    <t>Santa Fe Springs</t>
  </si>
  <si>
    <t>Santa Margarita</t>
  </si>
  <si>
    <t>Santa Maria</t>
  </si>
  <si>
    <t>Santa Monica</t>
  </si>
  <si>
    <t>Santa Nella</t>
  </si>
  <si>
    <t>Santa Paula</t>
  </si>
  <si>
    <t>Santa Rita Park</t>
  </si>
  <si>
    <t>Santa Rosa</t>
  </si>
  <si>
    <t>Santa Ynez</t>
  </si>
  <si>
    <t>Santa Ysabel</t>
  </si>
  <si>
    <t>Santee</t>
  </si>
  <si>
    <t>Saratoga</t>
  </si>
  <si>
    <t>Saticoy</t>
  </si>
  <si>
    <t>Sattley</t>
  </si>
  <si>
    <t xml:space="preserve">Saugus </t>
  </si>
  <si>
    <t>Sausalito</t>
  </si>
  <si>
    <t xml:space="preserve">Sawtelle </t>
  </si>
  <si>
    <t>Sawyers Bar</t>
  </si>
  <si>
    <t>Scotia</t>
  </si>
  <si>
    <t>Scott Bar</t>
  </si>
  <si>
    <t>Scotts Valley</t>
  </si>
  <si>
    <t>Sea Ranch</t>
  </si>
  <si>
    <t>Seabright</t>
  </si>
  <si>
    <t>Seal Beach</t>
  </si>
  <si>
    <t>Seaside</t>
  </si>
  <si>
    <t>Sebastopol</t>
  </si>
  <si>
    <t>Seeley</t>
  </si>
  <si>
    <t>Seiad Valley</t>
  </si>
  <si>
    <t>Selby</t>
  </si>
  <si>
    <t>Selma</t>
  </si>
  <si>
    <t>Seminole Hot Springs</t>
  </si>
  <si>
    <t xml:space="preserve">Sepulveda </t>
  </si>
  <si>
    <t>Sequoia National Park</t>
  </si>
  <si>
    <t>Shafter</t>
  </si>
  <si>
    <t>Shandon</t>
  </si>
  <si>
    <t>Sharpe Army Depot</t>
  </si>
  <si>
    <t>Shasta Lake</t>
  </si>
  <si>
    <t>Shaver Lake</t>
  </si>
  <si>
    <t>Sheepranch</t>
  </si>
  <si>
    <t xml:space="preserve">Shell Beach </t>
  </si>
  <si>
    <t>Sheridan</t>
  </si>
  <si>
    <t>Sherman Island</t>
  </si>
  <si>
    <t xml:space="preserve">Sherman Oaks </t>
  </si>
  <si>
    <t>Sherwin Plaza</t>
  </si>
  <si>
    <t>Shingle Springs</t>
  </si>
  <si>
    <t>Shingletown</t>
  </si>
  <si>
    <t>Shively</t>
  </si>
  <si>
    <t>Shore Acres</t>
  </si>
  <si>
    <t>Shoshone</t>
  </si>
  <si>
    <t>Sierra City</t>
  </si>
  <si>
    <t>Sierra Madre</t>
  </si>
  <si>
    <t>Sierraville</t>
  </si>
  <si>
    <t>Signal Hill</t>
  </si>
  <si>
    <t>Silver Lake</t>
  </si>
  <si>
    <t>Silverado Canyon</t>
  </si>
  <si>
    <t>Simi Valley</t>
  </si>
  <si>
    <t>Sisquoc</t>
  </si>
  <si>
    <t>Sites</t>
  </si>
  <si>
    <t>Sky Valley</t>
  </si>
  <si>
    <t>Skyforest</t>
  </si>
  <si>
    <t>Sleepy Valley</t>
  </si>
  <si>
    <t>Sloat</t>
  </si>
  <si>
    <t>Sloughhouse</t>
  </si>
  <si>
    <t>Smartsville</t>
  </si>
  <si>
    <t>Smith River</t>
  </si>
  <si>
    <t>Smithflat</t>
  </si>
  <si>
    <t xml:space="preserve">Smoke Tree </t>
  </si>
  <si>
    <t>Snelling</t>
  </si>
  <si>
    <t>Soda Springs</t>
  </si>
  <si>
    <t>Solana Beach</t>
  </si>
  <si>
    <t>Soledad</t>
  </si>
  <si>
    <t>Solemint</t>
  </si>
  <si>
    <t>Solvang</t>
  </si>
  <si>
    <t>Somerset</t>
  </si>
  <si>
    <t>Somes Bar</t>
  </si>
  <si>
    <t>Somis</t>
  </si>
  <si>
    <t>Sonora</t>
  </si>
  <si>
    <t>Soquel</t>
  </si>
  <si>
    <t>Soulsbyville</t>
  </si>
  <si>
    <t>South Dos Palos</t>
  </si>
  <si>
    <t>South El Monte</t>
  </si>
  <si>
    <t>South Fork</t>
  </si>
  <si>
    <t>South Gate</t>
  </si>
  <si>
    <t xml:space="preserve">South Laguna </t>
  </si>
  <si>
    <t>South Lake Tahoe</t>
  </si>
  <si>
    <t>South Pasadena</t>
  </si>
  <si>
    <t>South San Francisco</t>
  </si>
  <si>
    <t xml:space="preserve">South Shore </t>
  </si>
  <si>
    <t>South Whittier</t>
  </si>
  <si>
    <t>Spanish Flat</t>
  </si>
  <si>
    <t>Spreckels</t>
  </si>
  <si>
    <t>Spring Garden</t>
  </si>
  <si>
    <t>Spring Valley</t>
  </si>
  <si>
    <t>Springville</t>
  </si>
  <si>
    <t>Spyrock</t>
  </si>
  <si>
    <t>Squaw Valley</t>
  </si>
  <si>
    <t>St. Helena</t>
  </si>
  <si>
    <t>Standard</t>
  </si>
  <si>
    <t>Standish</t>
  </si>
  <si>
    <t>Stanford</t>
  </si>
  <si>
    <t>Stanton</t>
  </si>
  <si>
    <t>Steele Park</t>
  </si>
  <si>
    <t>Stevenson Ranch</t>
  </si>
  <si>
    <t>Stevinson</t>
  </si>
  <si>
    <t>Stewarts Point</t>
  </si>
  <si>
    <t>Stinson Beach</t>
  </si>
  <si>
    <t>Stirling City</t>
  </si>
  <si>
    <t>Stockton</t>
  </si>
  <si>
    <t>Stonyford</t>
  </si>
  <si>
    <t>Storrie</t>
  </si>
  <si>
    <t>Stratford</t>
  </si>
  <si>
    <t>Strathmore</t>
  </si>
  <si>
    <t>Strawberry</t>
  </si>
  <si>
    <t>Strawberry Valley</t>
  </si>
  <si>
    <t xml:space="preserve">Studio City </t>
  </si>
  <si>
    <t>Sugarloaf</t>
  </si>
  <si>
    <t>Suisun City</t>
  </si>
  <si>
    <t>Sulphur Springs</t>
  </si>
  <si>
    <t>Sultana</t>
  </si>
  <si>
    <t>Summerland</t>
  </si>
  <si>
    <t>Summit</t>
  </si>
  <si>
    <t>Summit City</t>
  </si>
  <si>
    <t>Sun City</t>
  </si>
  <si>
    <t xml:space="preserve">Sun Valley </t>
  </si>
  <si>
    <t xml:space="preserve">Sunland </t>
  </si>
  <si>
    <t xml:space="preserve">Sunnymead </t>
  </si>
  <si>
    <t>Sunnyside</t>
  </si>
  <si>
    <t>Sunnyvale</t>
  </si>
  <si>
    <t>Sunol</t>
  </si>
  <si>
    <t>Sunset Beach</t>
  </si>
  <si>
    <t>Sunset Whitney Ranch</t>
  </si>
  <si>
    <t xml:space="preserve">Surfside </t>
  </si>
  <si>
    <t>Susanville</t>
  </si>
  <si>
    <t>Sutter Creek</t>
  </si>
  <si>
    <t xml:space="preserve">Swall Meadows </t>
  </si>
  <si>
    <t xml:space="preserve">Sylmar </t>
  </si>
  <si>
    <t>Taft</t>
  </si>
  <si>
    <t>Tagus Ranch</t>
  </si>
  <si>
    <t>Tahoe City</t>
  </si>
  <si>
    <t>Tahoe Paradise</t>
  </si>
  <si>
    <t>Tahoe Valley</t>
  </si>
  <si>
    <t>Tahoe Vista</t>
  </si>
  <si>
    <t>Tahoma</t>
  </si>
  <si>
    <t>Talmage</t>
  </si>
  <si>
    <t xml:space="preserve">Tamal </t>
  </si>
  <si>
    <t>Tarzana</t>
  </si>
  <si>
    <t>Taylorsville</t>
  </si>
  <si>
    <t>Tecate</t>
  </si>
  <si>
    <t>Tecopa</t>
  </si>
  <si>
    <t>Tehachapi</t>
  </si>
  <si>
    <t>Temecula</t>
  </si>
  <si>
    <t>Temple City</t>
  </si>
  <si>
    <t>Templeton</t>
  </si>
  <si>
    <t xml:space="preserve">Terminal Island </t>
  </si>
  <si>
    <t>Termo</t>
  </si>
  <si>
    <t>Terra Bella</t>
  </si>
  <si>
    <t>Thermal</t>
  </si>
  <si>
    <t>Thornton</t>
  </si>
  <si>
    <t>Thousand Oaks</t>
  </si>
  <si>
    <t>Thousand Palms</t>
  </si>
  <si>
    <t>Three Rivers</t>
  </si>
  <si>
    <t>Tiburon</t>
  </si>
  <si>
    <t>Tierra Del Sol</t>
  </si>
  <si>
    <t xml:space="preserve">Tierrasanta </t>
  </si>
  <si>
    <t>Tipton</t>
  </si>
  <si>
    <t>Tollhouse</t>
  </si>
  <si>
    <t xml:space="preserve">Toluca Lake </t>
  </si>
  <si>
    <t>Tomales</t>
  </si>
  <si>
    <t>Toms Place</t>
  </si>
  <si>
    <t xml:space="preserve">Topanga </t>
  </si>
  <si>
    <t xml:space="preserve">Topanga Park </t>
  </si>
  <si>
    <t>Topaz</t>
  </si>
  <si>
    <t>Torrance</t>
  </si>
  <si>
    <t>Town Center</t>
  </si>
  <si>
    <t>Trabuco Canyon</t>
  </si>
  <si>
    <t>Tracy</t>
  </si>
  <si>
    <t>Tranquillity</t>
  </si>
  <si>
    <t>Traver</t>
  </si>
  <si>
    <t xml:space="preserve">Travis A.F.B. </t>
  </si>
  <si>
    <t>Tres Pinos</t>
  </si>
  <si>
    <t>Trinidad</t>
  </si>
  <si>
    <t>Trinity Center</t>
  </si>
  <si>
    <t>Trona</t>
  </si>
  <si>
    <t>Trowbridge</t>
  </si>
  <si>
    <t>Truckee</t>
  </si>
  <si>
    <t xml:space="preserve">Tujunga </t>
  </si>
  <si>
    <t>Tulelake</t>
  </si>
  <si>
    <t>Tuolumne Meadows</t>
  </si>
  <si>
    <t>Tupman</t>
  </si>
  <si>
    <t>Turlock</t>
  </si>
  <si>
    <t>Tustin</t>
  </si>
  <si>
    <t>Twain</t>
  </si>
  <si>
    <t>Twain Harte</t>
  </si>
  <si>
    <t>Twentynine Palms</t>
  </si>
  <si>
    <t>Twin Bridges</t>
  </si>
  <si>
    <t>Twin Peaks</t>
  </si>
  <si>
    <t>Two Rock Coast Guard Station</t>
  </si>
  <si>
    <t xml:space="preserve">U.S.Naval Postgrad School </t>
  </si>
  <si>
    <t>Ukiah</t>
  </si>
  <si>
    <t>Union City</t>
  </si>
  <si>
    <t>Universal City</t>
  </si>
  <si>
    <t>University</t>
  </si>
  <si>
    <t xml:space="preserve">University Park </t>
  </si>
  <si>
    <t>Upland</t>
  </si>
  <si>
    <t>Upper Lake/ Upper Lake Valley</t>
  </si>
  <si>
    <t>Vacaville</t>
  </si>
  <si>
    <t>Val Verde Park</t>
  </si>
  <si>
    <t xml:space="preserve">Valencia </t>
  </si>
  <si>
    <t>Valinda</t>
  </si>
  <si>
    <t>Vallecito</t>
  </si>
  <si>
    <t>Vallejo</t>
  </si>
  <si>
    <t>Valley Center</t>
  </si>
  <si>
    <t>Valley Fair</t>
  </si>
  <si>
    <t>Valley Ford</t>
  </si>
  <si>
    <t>Valley Home</t>
  </si>
  <si>
    <t>Valley Springs</t>
  </si>
  <si>
    <t>Valley Village</t>
  </si>
  <si>
    <t>Valyermo</t>
  </si>
  <si>
    <t xml:space="preserve">Van Nuys </t>
  </si>
  <si>
    <t>Vandenberg A.F.B</t>
  </si>
  <si>
    <t>Vasquez Rocks</t>
  </si>
  <si>
    <t>Venice</t>
  </si>
  <si>
    <t>Ventucopa</t>
  </si>
  <si>
    <t xml:space="preserve">Verdugo City </t>
  </si>
  <si>
    <t>Vernalis</t>
  </si>
  <si>
    <t>Vernon</t>
  </si>
  <si>
    <t xml:space="preserve">Veteran's Hospital </t>
  </si>
  <si>
    <t>Victor</t>
  </si>
  <si>
    <t>Victorville</t>
  </si>
  <si>
    <t>Vidal</t>
  </si>
  <si>
    <t>View Park</t>
  </si>
  <si>
    <t>Villa Grande</t>
  </si>
  <si>
    <t>Villa Park</t>
  </si>
  <si>
    <t>Vina</t>
  </si>
  <si>
    <t>Vincent</t>
  </si>
  <si>
    <t>Vineburg</t>
  </si>
  <si>
    <t>Vinton</t>
  </si>
  <si>
    <t>Virgilia</t>
  </si>
  <si>
    <t>Visalia</t>
  </si>
  <si>
    <t>Vista</t>
  </si>
  <si>
    <t>Vista Park</t>
  </si>
  <si>
    <t>Volcano</t>
  </si>
  <si>
    <t>Volta</t>
  </si>
  <si>
    <t>Wallace</t>
  </si>
  <si>
    <t>Walnut</t>
  </si>
  <si>
    <t>Walnut Creek</t>
  </si>
  <si>
    <t>Walnut Grove</t>
  </si>
  <si>
    <t>Walnut Park</t>
  </si>
  <si>
    <t xml:space="preserve">Warm Springs </t>
  </si>
  <si>
    <t>Warner Springs</t>
  </si>
  <si>
    <t>Wasco</t>
  </si>
  <si>
    <t>Waterford</t>
  </si>
  <si>
    <t>Watsonville</t>
  </si>
  <si>
    <t>Watts</t>
  </si>
  <si>
    <t>Waukena</t>
  </si>
  <si>
    <t>Wawona</t>
  </si>
  <si>
    <t>Weaverville</t>
  </si>
  <si>
    <t>Weed</t>
  </si>
  <si>
    <t>Weimar</t>
  </si>
  <si>
    <t>Weldon</t>
  </si>
  <si>
    <t>Wendel</t>
  </si>
  <si>
    <t>Weott</t>
  </si>
  <si>
    <t>West Covina</t>
  </si>
  <si>
    <t>West Hills</t>
  </si>
  <si>
    <t>West Hollywood</t>
  </si>
  <si>
    <t>West Los Angeles</t>
  </si>
  <si>
    <t>West Pittsburg</t>
  </si>
  <si>
    <t>West Point</t>
  </si>
  <si>
    <t>West Sacramento</t>
  </si>
  <si>
    <t xml:space="preserve">Westchester </t>
  </si>
  <si>
    <t>Westend</t>
  </si>
  <si>
    <t>Westhaven</t>
  </si>
  <si>
    <t>Westlake</t>
  </si>
  <si>
    <t xml:space="preserve">Westlake Village </t>
  </si>
  <si>
    <t>Westlake Village</t>
  </si>
  <si>
    <t>Westley</t>
  </si>
  <si>
    <t>Westminster</t>
  </si>
  <si>
    <t>Westmorland</t>
  </si>
  <si>
    <t>Westport</t>
  </si>
  <si>
    <t>Westside</t>
  </si>
  <si>
    <t xml:space="preserve">Westwood </t>
  </si>
  <si>
    <t>Westwood</t>
  </si>
  <si>
    <t>Wheatland</t>
  </si>
  <si>
    <t>Wheeler Ridge</t>
  </si>
  <si>
    <t>Whiskeytown</t>
  </si>
  <si>
    <t>Whispering Pines</t>
  </si>
  <si>
    <t>White Pines</t>
  </si>
  <si>
    <t>Whitethorn</t>
  </si>
  <si>
    <t>Whitewater</t>
  </si>
  <si>
    <t>Whitlow</t>
  </si>
  <si>
    <t>Whitmore</t>
  </si>
  <si>
    <t>Whittier</t>
  </si>
  <si>
    <t>Wildomar</t>
  </si>
  <si>
    <t>Wildwood</t>
  </si>
  <si>
    <t>Williams</t>
  </si>
  <si>
    <t>Willits</t>
  </si>
  <si>
    <t>Willow Creek</t>
  </si>
  <si>
    <t>Willow Ranch</t>
  </si>
  <si>
    <t>Willowbrook</t>
  </si>
  <si>
    <t>Willows</t>
  </si>
  <si>
    <t xml:space="preserve">Wilmington </t>
  </si>
  <si>
    <t>Wilseyville</t>
  </si>
  <si>
    <t>Wilsona Gardens</t>
  </si>
  <si>
    <t>Wilton</t>
  </si>
  <si>
    <t>Winchester</t>
  </si>
  <si>
    <t>Windsor</t>
  </si>
  <si>
    <t>Windsor Hills</t>
  </si>
  <si>
    <t xml:space="preserve">Winnetka </t>
  </si>
  <si>
    <t>Winterhaven</t>
  </si>
  <si>
    <t>Winters</t>
  </si>
  <si>
    <t>Winton</t>
  </si>
  <si>
    <t>Wishon</t>
  </si>
  <si>
    <t>Witter Springs</t>
  </si>
  <si>
    <t>Wofford Heights</t>
  </si>
  <si>
    <t>Woodacre</t>
  </si>
  <si>
    <t>Woodbridge</t>
  </si>
  <si>
    <t>Woodfords</t>
  </si>
  <si>
    <t>Woodlake</t>
  </si>
  <si>
    <t>Woodland</t>
  </si>
  <si>
    <t xml:space="preserve">Woodland Hills </t>
  </si>
  <si>
    <t>Woodleaf</t>
  </si>
  <si>
    <t>Woodside</t>
  </si>
  <si>
    <t>Woodville</t>
  </si>
  <si>
    <t>Woody</t>
  </si>
  <si>
    <t>Wrightwood</t>
  </si>
  <si>
    <t>Yankee Hill</t>
  </si>
  <si>
    <t>Yermo</t>
  </si>
  <si>
    <t>Yettem</t>
  </si>
  <si>
    <t>Yorba Linda</t>
  </si>
  <si>
    <t>Yorkville</t>
  </si>
  <si>
    <t>Yosemite Lodge</t>
  </si>
  <si>
    <t>Yosemite National Park</t>
  </si>
  <si>
    <t>Yountville</t>
  </si>
  <si>
    <t>Yreka</t>
  </si>
  <si>
    <t>Yuba City</t>
  </si>
  <si>
    <t>Yucaipa</t>
  </si>
  <si>
    <t>Yucca Valley</t>
  </si>
  <si>
    <t>Zamora</t>
  </si>
  <si>
    <t>Zenia</t>
  </si>
  <si>
    <t>Baseline</t>
  </si>
  <si>
    <t>WTW Emissions gCO2e/MJ</t>
  </si>
  <si>
    <t>Description</t>
  </si>
  <si>
    <t>Source: 2012 Table</t>
  </si>
  <si>
    <t>CARBOB</t>
  </si>
  <si>
    <t>http://www.arb.ca.gov/fuels/lcfs/lu_tables_11282012.pdf</t>
  </si>
  <si>
    <t>ULSD</t>
  </si>
  <si>
    <t>North American NG delivered via pipeline</t>
  </si>
  <si>
    <t>CNG002</t>
  </si>
  <si>
    <t>Type of BioFuel</t>
  </si>
  <si>
    <t>GHG Net Benefit (replacement for gasoline, diesel, or NG according to CARB table)</t>
  </si>
  <si>
    <t>Source: (2012 Table where possible)</t>
  </si>
  <si>
    <t xml:space="preserve">Biodiesel (from Used Cooking Oil), cooking is not required  </t>
  </si>
  <si>
    <t>Biodiesel BIOD003 - Conversion of waste oils (Used Cooking Oil) to biodiesel (fatty acid methyl esters -FAME) where “cooking” is not required</t>
  </si>
  <si>
    <t xml:space="preserve">Biodiesel (from Used Cooking Oil), cooking is required  </t>
  </si>
  <si>
    <t>Biodiesel BIOD002 - Conversion of waste oils (Used Cooking Oil) to biodiesel (fatty acid methyl esters - FAME) where "cooking" is required</t>
  </si>
  <si>
    <t xml:space="preserve">Renewable Diesel (from Tallow), using higher energy use for rendering </t>
  </si>
  <si>
    <t>Renewable Diesel RNWD002 - Conversion of tallow to renewable diesel using higher energy use for rendering</t>
  </si>
  <si>
    <t>Renewable Diesel (from Tallow), using lower energy use for rendering</t>
  </si>
  <si>
    <t>Renewable Diesel RNWD003 - Conversion of tallow to renewable diesel using lower energy use for rendering</t>
  </si>
  <si>
    <t xml:space="preserve">CNG (from Dairy Digester Gas) </t>
  </si>
  <si>
    <t>CNG004 - Dairy Digester Biogas to CNG</t>
  </si>
  <si>
    <t>CNG (from Landfill Gas)</t>
  </si>
  <si>
    <t>CNG003 - Landfill gas (bio-methane) cleaned up to pipeline quality NG; compressed in CA</t>
  </si>
  <si>
    <t xml:space="preserve">Biomethane (from High Solids Anaerobic Digestion (HSAD) of Organic Wastes) </t>
  </si>
  <si>
    <t>Biomethane produced from the high-solids (greater than 15 percent total solids) anaerobic digestion of food and green wastes (document page 10)</t>
  </si>
  <si>
    <t>http://www.arb.ca.gov/fuels/lcfs/121514hsad.pdf</t>
  </si>
  <si>
    <t>Biomethane (from Mesophilic Anaerobic Digestion of Wastewater Sludge at a Public-Owned Treament Works)</t>
  </si>
  <si>
    <t>CNG020 Biomethane from the Mesophilic Anaerobic Digestion of
Wastewater Sludge at a Publicly-Owned Treatment Works</t>
  </si>
  <si>
    <t>http://www.arb.ca.gov/fuels/lcfs/121514wastewater.pdf</t>
  </si>
  <si>
    <t>Cellulosic Ethanol (from Farmed Trees)</t>
  </si>
  <si>
    <t>In text page 10</t>
  </si>
  <si>
    <t>http://www.arb.ca.gov/fuels/lcfs/022709lcfs_trees.pdf</t>
  </si>
  <si>
    <t>Cellulosic Ethanol (from Forest Waste)</t>
  </si>
  <si>
    <t>http://www.arb.ca.gov/fuels/lcfs/022709lcfs_forestw.pdf</t>
  </si>
  <si>
    <t>Corn Ethanol, CA Dry Mill, Dry DGS</t>
  </si>
  <si>
    <t>California; Dry Mill; Dry DGS, NG</t>
  </si>
  <si>
    <t>Corn Ethanol, CA Dry Mill, Wet DGS; NG</t>
  </si>
  <si>
    <t>California; Dry Mill; Wet DGS; NG</t>
  </si>
  <si>
    <t>Note: Ethanol gCO2e/MJ includes 30 gCO2e/MJ for land-use change (based on CARB estimates in the LCFS reference document for corn ethanol)</t>
  </si>
  <si>
    <t>Note: All page numbers are document numbers, not page numbers shown on page.</t>
  </si>
  <si>
    <t>Recycling Scoring Assumptions</t>
  </si>
  <si>
    <t>CO2 Benefits from Recycling</t>
  </si>
  <si>
    <t>Material</t>
  </si>
  <si>
    <t>Benefit (MT CO2e/short ton recycled)</t>
  </si>
  <si>
    <t>Demand Elasticity</t>
  </si>
  <si>
    <t>Supply Elasticity</t>
  </si>
  <si>
    <t>Source</t>
  </si>
  <si>
    <t>Newsprint</t>
  </si>
  <si>
    <t>CARB</t>
  </si>
  <si>
    <t>Mixed paper</t>
  </si>
  <si>
    <t>WARM</t>
  </si>
  <si>
    <t>Glass</t>
  </si>
  <si>
    <t>Mixed Metal</t>
  </si>
  <si>
    <t>CARB (for Al &amp; Steel benefits), WARM (for percentage mix, 65% steel, 35% aluminum)</t>
  </si>
  <si>
    <t>Mixed Plastics</t>
  </si>
  <si>
    <t>Mixed Recycling</t>
  </si>
  <si>
    <t>BOTH (40% newsprint, 30% mixed paper, 10% mixed plastics, 5% glass, 5% mixed metals)</t>
  </si>
  <si>
    <t>Food Waste</t>
  </si>
  <si>
    <t>Mixed Organics</t>
  </si>
  <si>
    <t>Crumb Tire Rubber</t>
  </si>
  <si>
    <t>Shredded Tire Rubber</t>
  </si>
  <si>
    <t>Concrete</t>
  </si>
  <si>
    <t>Asphalt</t>
  </si>
  <si>
    <t>Asphalt and/or Concrete</t>
  </si>
  <si>
    <t>Elasticities Sources</t>
  </si>
  <si>
    <t>K. Palmer, H. Sigman and M. Wells, The Cost of Reducing Municipal Solid Waste, Resources for the Future, Sept 1996, Table 2, p. 14</t>
  </si>
  <si>
    <t>WRAP, Econometric modelling and household food waste, July 2014, p. 58, http://www.wrap.org.uk/sites/files/wrap/Econometrics%20Report.pdf</t>
  </si>
  <si>
    <t>Concrete Elasticites Sources</t>
  </si>
  <si>
    <t xml:space="preserve"> N. Miller, M. Osborne, “Competition Among Spatially Differentiated Firms: An Empirical Model with an Application to Cement” (SSRN Scholarly Paper ID 1600746, Social Science Research Network, Rochester, NY, 2010), (available at https://papers.ssrn.com/abstract=1600746).</t>
  </si>
  <si>
    <r>
      <t xml:space="preserve"> Ryan Stephen P., The Costs of Environmental Regulation in a Concentrated Industry. </t>
    </r>
    <r>
      <rPr>
        <i/>
        <sz val="10"/>
        <rFont val="Arial"/>
        <family val="2"/>
      </rPr>
      <t>Econometrica</t>
    </r>
    <r>
      <rPr>
        <sz val="10"/>
        <rFont val="Arial"/>
        <family val="2"/>
      </rPr>
      <t xml:space="preserve">. </t>
    </r>
    <r>
      <rPr>
        <b/>
        <sz val="10"/>
        <rFont val="Arial"/>
        <family val="2"/>
      </rPr>
      <t>80</t>
    </r>
    <r>
      <rPr>
        <sz val="10"/>
        <rFont val="Arial"/>
        <family val="2"/>
      </rPr>
      <t>, 1019–1061 (2012).</t>
    </r>
  </si>
  <si>
    <r>
      <t xml:space="preserve"> N. H. Miller, M. Osborne, Spatial differentiation and price discrimination in the cement industry: evidence from a structural model. </t>
    </r>
    <r>
      <rPr>
        <i/>
        <sz val="10"/>
        <rFont val="Arial"/>
        <family val="2"/>
      </rPr>
      <t>RAND J. Econ.</t>
    </r>
    <r>
      <rPr>
        <sz val="10"/>
        <rFont val="Arial"/>
        <family val="2"/>
      </rPr>
      <t xml:space="preserve"> </t>
    </r>
    <r>
      <rPr>
        <b/>
        <sz val="10"/>
        <rFont val="Arial"/>
        <family val="2"/>
      </rPr>
      <t>45</t>
    </r>
    <r>
      <rPr>
        <sz val="10"/>
        <rFont val="Arial"/>
        <family val="2"/>
      </rPr>
      <t>, 221–247 (2014).</t>
    </r>
  </si>
  <si>
    <r>
      <t xml:space="preserve"> I. Jans, D. I. Rosenbaum, Multimarket contact and pricing: Evidence from the U.S. cement industry. </t>
    </r>
    <r>
      <rPr>
        <i/>
        <sz val="10"/>
        <rFont val="Arial"/>
        <family val="2"/>
      </rPr>
      <t>Int. J. Ind. Organ.</t>
    </r>
    <r>
      <rPr>
        <sz val="10"/>
        <rFont val="Arial"/>
        <family val="2"/>
      </rPr>
      <t xml:space="preserve"> </t>
    </r>
    <r>
      <rPr>
        <b/>
        <sz val="10"/>
        <rFont val="Arial"/>
        <family val="2"/>
      </rPr>
      <t>15</t>
    </r>
    <r>
      <rPr>
        <sz val="10"/>
        <rFont val="Arial"/>
        <family val="2"/>
      </rPr>
      <t>, 391–412 (1997).</t>
    </r>
  </si>
  <si>
    <t xml:space="preserve"> M. Chicu, thesis, Northwestern University, United States -- Illinois (2013).</t>
  </si>
  <si>
    <r>
      <t xml:space="preserve"> M. Fowlie, M. Reguant, S. P. Ryan, Market-Based Emissions Regulation and Industry Dynamics. </t>
    </r>
    <r>
      <rPr>
        <i/>
        <sz val="10"/>
        <rFont val="Arial"/>
        <family val="2"/>
      </rPr>
      <t>J. Polit. Econ.</t>
    </r>
    <r>
      <rPr>
        <sz val="10"/>
        <rFont val="Arial"/>
        <family val="2"/>
      </rPr>
      <t xml:space="preserve"> </t>
    </r>
    <r>
      <rPr>
        <b/>
        <sz val="10"/>
        <rFont val="Arial"/>
        <family val="2"/>
      </rPr>
      <t>124</t>
    </r>
    <r>
      <rPr>
        <sz val="10"/>
        <rFont val="Arial"/>
        <family val="2"/>
      </rPr>
      <t>, 249–302 (2016).</t>
    </r>
  </si>
  <si>
    <r>
      <t xml:space="preserve"> R. K. Srivastava, S. Vijay, E. Torres, in </t>
    </r>
    <r>
      <rPr>
        <i/>
        <sz val="10"/>
        <rFont val="Arial"/>
        <family val="2"/>
      </rPr>
      <t>Global Climate Change - The Technology Challenge</t>
    </r>
    <r>
      <rPr>
        <sz val="10"/>
        <rFont val="Arial"/>
        <family val="2"/>
      </rPr>
      <t xml:space="preserve"> (Springer, Dordrecht, 2011; http://link.springer.com/chapter/11007/978-90-481-3153-2_8), </t>
    </r>
    <r>
      <rPr>
        <i/>
        <sz val="10"/>
        <rFont val="Arial"/>
        <family val="2"/>
      </rPr>
      <t>Advances in Global Change Research</t>
    </r>
    <r>
      <rPr>
        <sz val="10"/>
        <rFont val="Arial"/>
        <family val="2"/>
      </rPr>
      <t>, pp. 241–27</t>
    </r>
  </si>
  <si>
    <t>Benefits Source</t>
  </si>
  <si>
    <t>CARB, METHOD FOR ESTIMATING GREENHOUSE GAS EMISSION REDUCTIONS FROM RECYCLING, Nov. 14, 2011, http://www.arb.ca.gov/cc/protocols/localgov/pubs/recycling_method.pdf</t>
  </si>
  <si>
    <t>CARB, METHOD FOR ESTIMATING GREENHOUSE GAS EMISSION REDUCTIONS FROM DIVERSION OF ORGANIC WASTE FROM LANDFILLS TO COMPOST FACILITIES, Final Draft, May 2017, https://arb.ca.gov/cc/waste/cerffinal.pdf</t>
  </si>
  <si>
    <t>EPA, WARM Model, Version 14, March 2016, https://www.epa.gov/warm/versions-waste-reduction-model-warm#WARM%20Tool%20V14</t>
  </si>
  <si>
    <t>Compost</t>
  </si>
  <si>
    <t>CARB Conversion Factor</t>
  </si>
  <si>
    <t>Ratio of lbs. of compost output per lb. of feedstock</t>
  </si>
  <si>
    <r>
      <t>Projected average annual number of Qualified Products to be sold or shipped (number of units).</t>
    </r>
    <r>
      <rPr>
        <sz val="11"/>
        <rFont val="Calibri"/>
        <family val="2"/>
        <scheme val="minor"/>
      </rPr>
      <t xml:space="preserve"> Enter total estimated </t>
    </r>
    <r>
      <rPr>
        <u/>
        <sz val="11"/>
        <rFont val="Calibri"/>
        <family val="2"/>
        <scheme val="minor"/>
      </rPr>
      <t>average</t>
    </r>
    <r>
      <rPr>
        <sz val="11"/>
        <rFont val="Calibri"/>
        <family val="2"/>
        <scheme val="minor"/>
      </rPr>
      <t xml:space="preserve"> </t>
    </r>
    <r>
      <rPr>
        <u/>
        <sz val="11"/>
        <rFont val="Calibri"/>
        <family val="2"/>
        <scheme val="minor"/>
      </rPr>
      <t xml:space="preserve">annual </t>
    </r>
    <r>
      <rPr>
        <sz val="11"/>
        <rFont val="Calibri"/>
        <family val="2"/>
        <scheme val="minor"/>
      </rPr>
      <t>facility production that will be sold or shipped, assuming Qualified Property is utilized. Entry should reflect average annual sales over Estimated Useful Lifespan of the Qualified Property (</t>
    </r>
    <r>
      <rPr>
        <u/>
        <sz val="11"/>
        <rFont val="Calibri"/>
        <family val="2"/>
        <scheme val="minor"/>
      </rPr>
      <t>i.e. should reflect any ramp up period and not just peak production</t>
    </r>
    <r>
      <rPr>
        <sz val="11"/>
        <rFont val="Calibri"/>
        <family val="2"/>
        <scheme val="minor"/>
      </rPr>
      <t xml:space="preserve">). If units of multiple sizes or capacities are produced, enter the average value here or a standardized value (e.g. 1 watt of generation capacity for a solar panel). </t>
    </r>
  </si>
  <si>
    <t xml:space="preserve">Pounds of NOx emitted per unit of energy produced. </t>
  </si>
  <si>
    <r>
      <rPr>
        <b/>
        <sz val="11"/>
        <rFont val="Calibri"/>
        <family val="2"/>
        <scheme val="minor"/>
      </rPr>
      <t>Annual expected energy generation capacity per unit (as defined in D2).</t>
    </r>
    <r>
      <rPr>
        <sz val="11"/>
        <rFont val="Calibri"/>
        <family val="2"/>
        <scheme val="minor"/>
      </rPr>
      <t xml:space="preserve"> Enter the projected annual energy generation capacity of the Alternative Source product per unit (e.g. MMBTUs per ton of Hydrogen produced). Explain any calculations or assumptions used in the box below or attach a separate document. </t>
    </r>
  </si>
  <si>
    <r>
      <rPr>
        <b/>
        <sz val="11"/>
        <rFont val="Calibri"/>
        <family val="2"/>
        <scheme val="minor"/>
      </rPr>
      <t xml:space="preserve">Amount of pollution avoided </t>
    </r>
    <r>
      <rPr>
        <b/>
        <u/>
        <sz val="11"/>
        <rFont val="Calibri"/>
        <family val="2"/>
        <scheme val="minor"/>
      </rPr>
      <t>per unit</t>
    </r>
    <r>
      <rPr>
        <b/>
        <sz val="11"/>
        <rFont val="Calibri"/>
        <family val="2"/>
        <scheme val="minor"/>
      </rPr>
      <t xml:space="preserve"> (as defined in D2). </t>
    </r>
    <r>
      <rPr>
        <i/>
        <sz val="11"/>
        <rFont val="Calibri"/>
        <family val="2"/>
        <scheme val="minor"/>
      </rPr>
      <t xml:space="preserve">
</t>
    </r>
    <r>
      <rPr>
        <sz val="11"/>
        <rFont val="Calibri"/>
        <family val="2"/>
        <scheme val="minor"/>
      </rPr>
      <t>State the amount of pollution avoided in standard mass or volume metrics for the pollution type.</t>
    </r>
  </si>
  <si>
    <r>
      <t xml:space="preserve">Value of environmental benefits (pollution avoided) </t>
    </r>
    <r>
      <rPr>
        <b/>
        <u/>
        <sz val="11"/>
        <rFont val="Calibri"/>
        <family val="2"/>
        <scheme val="minor"/>
      </rPr>
      <t>per unit</t>
    </r>
    <r>
      <rPr>
        <b/>
        <sz val="11"/>
        <rFont val="Calibri"/>
        <family val="2"/>
        <scheme val="minor"/>
      </rPr>
      <t xml:space="preserve"> (as defined in D2). </t>
    </r>
    <r>
      <rPr>
        <sz val="11"/>
        <rFont val="Calibri"/>
        <family val="2"/>
        <scheme val="minor"/>
      </rPr>
      <t xml:space="preserve">
Enter the value of the pollution avoided (in dollars).</t>
    </r>
  </si>
  <si>
    <r>
      <t xml:space="preserve">Annual baseline system consumption per unit. 
</t>
    </r>
    <r>
      <rPr>
        <sz val="11"/>
        <rFont val="Calibri"/>
        <family val="2"/>
        <scheme val="minor"/>
      </rPr>
      <t>Annual energy consumption of baseline system (system WITHOUT efficiency technology under typical operation). Note that baseline must be a Recognized Energy Efficiency Standard (i.e., a statutory, regulatory, or voluntary set of minimum energy efficiency standards for one or more products, product components, or categories of products or product components, as designated by the Executive Director).</t>
    </r>
  </si>
  <si>
    <t xml:space="preserve">Please explain the basis for the above determination here. </t>
  </si>
  <si>
    <r>
      <t xml:space="preserve">Product Environmental Benefits. </t>
    </r>
    <r>
      <rPr>
        <sz val="11"/>
        <rFont val="Calibri"/>
        <family val="2"/>
        <scheme val="minor"/>
      </rPr>
      <t>Does the product meet the critera for a Recycled Resource Extraction Project or an Advanced Transportation Technology or an Alternative Source product, component, or system?</t>
    </r>
  </si>
  <si>
    <t>ds</t>
  </si>
  <si>
    <t>EV, Grid, Commercial, Home Energy Storage NAICS 335911, 335912</t>
  </si>
  <si>
    <t>Semiconductor Manufacturing Equipment NAICS 333242</t>
  </si>
  <si>
    <t>Semiconductors NAICS 334413</t>
  </si>
  <si>
    <t>Research &amp; Development in NanoTech NAICS 541713</t>
  </si>
  <si>
    <t>Version: December 13, 2024</t>
  </si>
  <si>
    <t>12.13.24</t>
  </si>
  <si>
    <r>
      <t xml:space="preserve">Value of capital stock used to produce Qualified Products. </t>
    </r>
    <r>
      <rPr>
        <sz val="11"/>
        <color theme="1" tint="4.9989318521683403E-2"/>
        <rFont val="Calibri"/>
        <family val="2"/>
        <scheme val="minor"/>
      </rPr>
      <t xml:space="preserve">Enter the total value of all equipment and tangible personal property used to produce the output listed in Box D2 below. </t>
    </r>
    <r>
      <rPr>
        <u/>
        <sz val="11"/>
        <color theme="1" tint="4.9989318521683403E-2"/>
        <rFont val="Calibri"/>
        <family val="2"/>
        <scheme val="minor"/>
      </rPr>
      <t>This should equal the value of anticipated Qualified Property purchases plus any existing capital stock</t>
    </r>
    <r>
      <rPr>
        <sz val="11"/>
        <color theme="1" tint="4.9989318521683403E-2"/>
        <rFont val="Calibri"/>
        <family val="2"/>
        <scheme val="minor"/>
      </rPr>
      <t xml:space="preserve">. Do not include the value of land and structures. Value should be in current dollars inclusive of depreciation. </t>
    </r>
  </si>
  <si>
    <t>Instructions: Please enter the numbers requested in the shaded area below. Enter the description of each piece of Qualified Property in the white areas.
The worksheet will calculate the total cost of the Qualified property, the Weighted Average of the Estimated Useful Lifespan of Qualified Property, and the percent of time the Qualified Property is used to produce a Qualified Product. Note that Qualified Property must be used at least 50.0 percent of the time to produce Qualified Products. Qualified Property must be limited to $117,924,528.30, except as provided in Program Regulation Section 10032(a)(5)(B), then the limit is $235,849,056.60.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</si>
</sst>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0"/>
    <numFmt numFmtId="165" formatCode="0.0000"/>
    <numFmt numFmtId="166" formatCode="0.0"/>
    <numFmt numFmtId="167" formatCode="&quot;$&quot;#,##0"/>
    <numFmt numFmtId="168" formatCode="0.0%"/>
    <numFmt numFmtId="169" formatCode="_(* #,##0_);_(* \(#,##0\);_(* &quot;-&quot;??_);_(@_)"/>
    <numFmt numFmtId="170" formatCode="&quot;$&quot;#,##0.00000"/>
    <numFmt numFmtId="171" formatCode="_(&quot;$&quot;* #,##0.00000_);_(&quot;$&quot;* \(#,##0.00000\);_(&quot;$&quot;* &quot;-&quot;?????_);_(@_)"/>
    <numFmt numFmtId="172" formatCode="_(&quot;$&quot;* #,##0.0000000_);_(&quot;$&quot;* \(#,##0.0000000\);_(&quot;$&quot;* &quot;-&quot;??_);_(@_)"/>
    <numFmt numFmtId="173" formatCode="&quot;$&quot;#,##0.00"/>
    <numFmt numFmtId="174" formatCode="_(* #,##0.00000000_);_(* \(#,##0.00000000\);_(* &quot;-&quot;??_);_(@_)"/>
    <numFmt numFmtId="175" formatCode="#,##0.000000"/>
    <numFmt numFmtId="176" formatCode="#,##0_);\(&quot;$&quot;#,##0\)"/>
    <numFmt numFmtId="177" formatCode="_(&quot;$&quot;* #,##0_);_(&quot;$&quot;* \(#,##0\);_(&quot;$&quot;* &quot;-&quot;??_);_(@_)"/>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i/>
      <sz val="10"/>
      <name val="Arial"/>
      <family val="2"/>
    </font>
    <font>
      <sz val="10"/>
      <name val="Arial"/>
      <family val="2"/>
    </font>
    <font>
      <u/>
      <sz val="10"/>
      <color indexed="12"/>
      <name val="Arial"/>
      <family val="2"/>
    </font>
    <font>
      <b/>
      <sz val="12"/>
      <name val="Arial"/>
      <family val="2"/>
    </font>
    <font>
      <b/>
      <i/>
      <sz val="10"/>
      <name val="Arial"/>
      <family val="2"/>
    </font>
    <font>
      <sz val="10"/>
      <color indexed="9"/>
      <name val="Arial"/>
      <family val="2"/>
    </font>
    <font>
      <sz val="10"/>
      <name val="Calibri"/>
      <family val="2"/>
    </font>
    <font>
      <b/>
      <sz val="10"/>
      <name val="Calibri"/>
      <family val="2"/>
    </font>
    <font>
      <b/>
      <sz val="10"/>
      <color indexed="9"/>
      <name val="Arial"/>
      <family val="2"/>
    </font>
    <font>
      <sz val="12"/>
      <name val="Arial"/>
      <family val="2"/>
    </font>
    <font>
      <b/>
      <sz val="10"/>
      <color indexed="10"/>
      <name val="Arial"/>
      <family val="2"/>
    </font>
    <font>
      <sz val="10"/>
      <color indexed="10"/>
      <name val="Arial"/>
      <family val="2"/>
    </font>
    <font>
      <b/>
      <sz val="10"/>
      <color indexed="8"/>
      <name val="Arial"/>
      <family val="2"/>
    </font>
    <font>
      <sz val="10"/>
      <color indexed="22"/>
      <name val="Arial"/>
      <family val="2"/>
    </font>
    <font>
      <b/>
      <sz val="10"/>
      <color indexed="22"/>
      <name val="Arial"/>
      <family val="2"/>
    </font>
    <font>
      <sz val="10"/>
      <name val="Arial"/>
      <family val="2"/>
    </font>
    <font>
      <b/>
      <i/>
      <strike/>
      <sz val="12"/>
      <color indexed="9"/>
      <name val="Arial"/>
      <family val="2"/>
    </font>
    <font>
      <sz val="10"/>
      <name val="Calibri"/>
      <family val="2"/>
      <scheme val="minor"/>
    </font>
    <font>
      <sz val="10"/>
      <color indexed="10"/>
      <name val="Calibri"/>
      <family val="2"/>
      <scheme val="minor"/>
    </font>
    <font>
      <b/>
      <sz val="12"/>
      <name val="Calibri"/>
      <family val="2"/>
      <scheme val="minor"/>
    </font>
    <font>
      <sz val="12"/>
      <name val="Calibri"/>
      <family val="2"/>
      <scheme val="minor"/>
    </font>
    <font>
      <b/>
      <sz val="10"/>
      <name val="Calibri"/>
      <family val="2"/>
      <scheme val="minor"/>
    </font>
    <font>
      <b/>
      <i/>
      <sz val="12"/>
      <color theme="0"/>
      <name val="Calibri"/>
      <family val="2"/>
      <scheme val="minor"/>
    </font>
    <font>
      <sz val="10"/>
      <color theme="0"/>
      <name val="Calibri"/>
      <family val="2"/>
      <scheme val="minor"/>
    </font>
    <font>
      <b/>
      <i/>
      <sz val="12"/>
      <name val="Calibri"/>
      <family val="2"/>
      <scheme val="minor"/>
    </font>
    <font>
      <b/>
      <i/>
      <sz val="11"/>
      <name val="Calibri"/>
      <family val="2"/>
      <scheme val="minor"/>
    </font>
    <font>
      <b/>
      <i/>
      <sz val="10"/>
      <name val="Calibri"/>
      <family val="2"/>
      <scheme val="minor"/>
    </font>
    <font>
      <sz val="10"/>
      <color rgb="FFFF0000"/>
      <name val="Calibri"/>
      <family val="2"/>
      <scheme val="minor"/>
    </font>
    <font>
      <b/>
      <strike/>
      <sz val="10"/>
      <name val="Calibri"/>
      <family val="2"/>
      <scheme val="minor"/>
    </font>
    <font>
      <sz val="10"/>
      <color rgb="FFFF0000"/>
      <name val="Arial"/>
      <family val="2"/>
    </font>
    <font>
      <b/>
      <sz val="14"/>
      <color rgb="FFFF0000"/>
      <name val="Arial"/>
      <family val="2"/>
    </font>
    <font>
      <sz val="10"/>
      <name val="Arial"/>
      <family val="2"/>
    </font>
    <font>
      <b/>
      <sz val="11"/>
      <color theme="1"/>
      <name val="Calibri"/>
      <family val="2"/>
      <scheme val="minor"/>
    </font>
    <font>
      <b/>
      <sz val="14"/>
      <color theme="4"/>
      <name val="Calibri"/>
      <family val="2"/>
      <scheme val="minor"/>
    </font>
    <font>
      <sz val="14"/>
      <color theme="4"/>
      <name val="Calibri"/>
      <family val="2"/>
      <scheme val="minor"/>
    </font>
    <font>
      <b/>
      <u/>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0"/>
      <name val="Calibri"/>
      <family val="2"/>
      <scheme val="minor"/>
    </font>
    <font>
      <b/>
      <i/>
      <sz val="11"/>
      <color theme="0"/>
      <name val="Calibri"/>
      <family val="2"/>
      <scheme val="minor"/>
    </font>
    <font>
      <u/>
      <sz val="11"/>
      <name val="Calibri"/>
      <family val="2"/>
      <scheme val="minor"/>
    </font>
    <font>
      <b/>
      <sz val="11"/>
      <color indexed="10"/>
      <name val="Calibri"/>
      <family val="2"/>
      <scheme val="minor"/>
    </font>
    <font>
      <sz val="11"/>
      <name val="Arial"/>
      <family val="2"/>
    </font>
    <font>
      <i/>
      <sz val="11"/>
      <name val="Calibri"/>
      <family val="2"/>
      <scheme val="minor"/>
    </font>
    <font>
      <b/>
      <sz val="16"/>
      <color rgb="FFFF0000"/>
      <name val="Calibri"/>
      <family val="2"/>
      <scheme val="minor"/>
    </font>
    <font>
      <u/>
      <sz val="10"/>
      <name val="Arial"/>
      <family val="2"/>
    </font>
    <font>
      <u/>
      <sz val="12"/>
      <color indexed="12"/>
      <name val="Calibri"/>
      <family val="2"/>
      <scheme val="minor"/>
    </font>
    <font>
      <sz val="10"/>
      <color theme="0" tint="-0.34998626667073579"/>
      <name val="Arial"/>
      <family val="2"/>
    </font>
    <font>
      <b/>
      <sz val="10"/>
      <color theme="0" tint="-0.34998626667073579"/>
      <name val="Arial"/>
      <family val="2"/>
    </font>
    <font>
      <sz val="10"/>
      <color theme="1"/>
      <name val="Arial"/>
      <family val="2"/>
    </font>
    <font>
      <sz val="10"/>
      <name val="Verdana"/>
      <family val="2"/>
    </font>
    <font>
      <sz val="14"/>
      <name val="Calibri"/>
      <family val="2"/>
      <scheme val="minor"/>
    </font>
    <font>
      <b/>
      <sz val="14"/>
      <name val="Calibri"/>
      <family val="2"/>
      <scheme val="minor"/>
    </font>
    <font>
      <sz val="16"/>
      <name val="Calibri"/>
      <family val="2"/>
      <scheme val="minor"/>
    </font>
    <font>
      <b/>
      <sz val="12"/>
      <color theme="1"/>
      <name val="Calibri"/>
      <family val="2"/>
      <scheme val="minor"/>
    </font>
    <font>
      <sz val="10"/>
      <name val="Arial"/>
      <family val="2"/>
    </font>
    <font>
      <sz val="11"/>
      <color rgb="FF000000"/>
      <name val="Arial"/>
      <family val="2"/>
    </font>
    <font>
      <u/>
      <sz val="10"/>
      <color theme="11"/>
      <name val="Arial"/>
      <family val="2"/>
    </font>
    <font>
      <b/>
      <u/>
      <sz val="11"/>
      <color indexed="12"/>
      <name val="Calibri"/>
      <family val="2"/>
      <scheme val="minor"/>
    </font>
    <font>
      <b/>
      <sz val="10"/>
      <color theme="1" tint="4.9989318521683403E-2"/>
      <name val="Arial"/>
      <family val="2"/>
    </font>
    <font>
      <sz val="10"/>
      <color theme="1" tint="4.9989318521683403E-2"/>
      <name val="Arial"/>
      <family val="2"/>
    </font>
    <font>
      <sz val="8"/>
      <color indexed="9"/>
      <name val="Arial"/>
      <family val="2"/>
    </font>
    <font>
      <sz val="11"/>
      <color rgb="FFFF0000"/>
      <name val="Calibri"/>
      <family val="2"/>
      <scheme val="minor"/>
    </font>
    <font>
      <b/>
      <u/>
      <sz val="11"/>
      <name val="Calibri"/>
      <family val="2"/>
      <scheme val="minor"/>
    </font>
    <font>
      <sz val="16"/>
      <color theme="0"/>
      <name val="Arial"/>
      <family val="2"/>
    </font>
    <font>
      <b/>
      <sz val="16"/>
      <color theme="0"/>
      <name val="Arial"/>
      <family val="2"/>
    </font>
    <font>
      <u/>
      <sz val="16"/>
      <color theme="0"/>
      <name val="Arial"/>
      <family val="2"/>
    </font>
    <font>
      <b/>
      <u/>
      <sz val="10"/>
      <name val="Arial"/>
      <family val="2"/>
    </font>
    <font>
      <sz val="10"/>
      <color theme="8" tint="-0.249977111117893"/>
      <name val="Arial"/>
      <family val="2"/>
    </font>
    <font>
      <b/>
      <sz val="11"/>
      <color rgb="FF000000"/>
      <name val="Calibri"/>
      <family val="2"/>
    </font>
    <font>
      <sz val="11"/>
      <color rgb="FF000000"/>
      <name val="Calibri"/>
      <family val="2"/>
    </font>
    <font>
      <sz val="11"/>
      <name val="Calibri"/>
      <family val="2"/>
    </font>
    <font>
      <b/>
      <sz val="11"/>
      <name val="Calibri"/>
      <family val="2"/>
    </font>
    <font>
      <b/>
      <sz val="12"/>
      <color theme="3"/>
      <name val="Calibri"/>
      <family val="2"/>
      <scheme val="minor"/>
    </font>
    <font>
      <b/>
      <sz val="14"/>
      <color theme="3"/>
      <name val="Calibri"/>
      <family val="2"/>
      <scheme val="minor"/>
    </font>
    <font>
      <sz val="10"/>
      <color theme="1" tint="0.249977111117893"/>
      <name val="Calibri"/>
      <family val="2"/>
      <scheme val="minor"/>
    </font>
    <font>
      <sz val="10"/>
      <color theme="1"/>
      <name val="Calibri"/>
      <family val="2"/>
      <scheme val="minor"/>
    </font>
    <font>
      <sz val="11"/>
      <color theme="1" tint="0.34998626667073579"/>
      <name val="Calibri"/>
      <family val="2"/>
      <scheme val="minor"/>
    </font>
    <font>
      <sz val="10"/>
      <color theme="1" tint="0.34998626667073579"/>
      <name val="Calibri"/>
      <family val="2"/>
      <scheme val="minor"/>
    </font>
    <font>
      <b/>
      <sz val="10"/>
      <color rgb="FFED0000"/>
      <name val="Arial"/>
      <family val="2"/>
    </font>
    <font>
      <sz val="10"/>
      <color rgb="FF535300"/>
      <name val="Arial"/>
      <family val="2"/>
    </font>
    <font>
      <sz val="10"/>
      <color theme="1" tint="0.34998626667073579"/>
      <name val="Arial"/>
      <family val="2"/>
    </font>
    <font>
      <b/>
      <sz val="10"/>
      <color rgb="FF505050"/>
      <name val="Arial"/>
      <family val="2"/>
    </font>
    <font>
      <u/>
      <sz val="10"/>
      <color rgb="FF505050"/>
      <name val="Arial"/>
      <family val="2"/>
    </font>
    <font>
      <sz val="10"/>
      <color theme="6" tint="-0.499984740745262"/>
      <name val="Arial"/>
      <family val="2"/>
    </font>
    <font>
      <b/>
      <sz val="10"/>
      <color theme="1" tint="0.34998626667073579"/>
      <name val="Arial"/>
      <family val="2"/>
    </font>
    <font>
      <sz val="10"/>
      <color theme="1" tint="0.249977111117893"/>
      <name val="Arial"/>
      <family val="2"/>
    </font>
    <font>
      <sz val="11"/>
      <color theme="1" tint="4.9989318521683403E-2"/>
      <name val="Calibri"/>
      <family val="2"/>
      <scheme val="minor"/>
    </font>
    <font>
      <b/>
      <sz val="11"/>
      <color theme="1" tint="4.9989318521683403E-2"/>
      <name val="Calibri"/>
      <family val="2"/>
      <scheme val="minor"/>
    </font>
    <font>
      <u/>
      <sz val="11"/>
      <color theme="1" tint="4.9989318521683403E-2"/>
      <name val="Calibri"/>
      <family val="2"/>
      <scheme val="minor"/>
    </font>
    <font>
      <b/>
      <i/>
      <sz val="11"/>
      <color rgb="FFDCE6F1"/>
      <name val="Calibri"/>
      <family val="2"/>
      <scheme val="minor"/>
    </font>
  </fonts>
  <fills count="24">
    <fill>
      <patternFill patternType="none"/>
    </fill>
    <fill>
      <patternFill patternType="gray125"/>
    </fill>
    <fill>
      <patternFill patternType="solid">
        <fgColor indexed="43"/>
        <bgColor indexed="64"/>
      </patternFill>
    </fill>
    <fill>
      <patternFill patternType="solid">
        <fgColor indexed="23"/>
        <bgColor indexed="64"/>
      </patternFill>
    </fill>
    <fill>
      <patternFill patternType="solid">
        <fgColor indexed="56"/>
        <bgColor indexed="64"/>
      </patternFill>
    </fill>
    <fill>
      <patternFill patternType="solid">
        <fgColor indexed="55"/>
        <bgColor indexed="64"/>
      </patternFill>
    </fill>
    <fill>
      <patternFill patternType="solid">
        <fgColor indexed="42"/>
        <bgColor indexed="64"/>
      </patternFill>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465926084170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FFFFCC"/>
        <bgColor indexed="64"/>
      </patternFill>
    </fill>
    <fill>
      <patternFill patternType="solid">
        <fgColor theme="3"/>
        <bgColor indexed="64"/>
      </patternFill>
    </fill>
    <fill>
      <patternFill patternType="solid">
        <fgColor theme="4" tint="0.39994506668294322"/>
        <bgColor indexed="64"/>
      </patternFill>
    </fill>
    <fill>
      <patternFill patternType="solid">
        <fgColor rgb="FFFFFF99"/>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rgb="FFDCE6F1"/>
        <bgColor rgb="FF000000"/>
      </patternFill>
    </fill>
    <fill>
      <patternFill patternType="solid">
        <fgColor theme="3" tint="0.79998168889431442"/>
        <bgColor indexed="64"/>
      </patternFill>
    </fill>
  </fills>
  <borders count="112">
    <border>
      <left/>
      <right/>
      <top/>
      <bottom/>
      <diagonal/>
    </border>
    <border>
      <left style="thin">
        <color indexed="22"/>
      </left>
      <right style="thin">
        <color indexed="22"/>
      </right>
      <top style="thin">
        <color indexed="22"/>
      </top>
      <bottom style="thin">
        <color indexed="22"/>
      </bottom>
      <diagonal/>
    </border>
    <border>
      <left/>
      <right/>
      <top/>
      <bottom style="double">
        <color auto="1"/>
      </bottom>
      <diagonal/>
    </border>
    <border>
      <left style="dotted">
        <color auto="1"/>
      </left>
      <right style="dotted">
        <color auto="1"/>
      </right>
      <top style="dotted">
        <color auto="1"/>
      </top>
      <bottom style="dotted">
        <color auto="1"/>
      </bottom>
      <diagonal/>
    </border>
    <border>
      <left/>
      <right/>
      <top style="thin">
        <color auto="1"/>
      </top>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medium">
        <color auto="1"/>
      </left>
      <right style="medium">
        <color auto="1"/>
      </right>
      <top style="thin">
        <color auto="1"/>
      </top>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indexed="22"/>
      </left>
      <right/>
      <top style="thin">
        <color indexed="22"/>
      </top>
      <bottom style="thin">
        <color indexed="22"/>
      </bottom>
      <diagonal/>
    </border>
    <border>
      <left style="medium">
        <color auto="1"/>
      </left>
      <right style="medium">
        <color auto="1"/>
      </right>
      <top style="thin">
        <color auto="1"/>
      </top>
      <bottom style="thin">
        <color auto="1"/>
      </bottom>
      <diagonal/>
    </border>
    <border>
      <left style="dotted">
        <color auto="1"/>
      </left>
      <right/>
      <top/>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top style="double">
        <color auto="1"/>
      </top>
      <bottom/>
      <diagonal/>
    </border>
    <border>
      <left/>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dashed">
        <color auto="1"/>
      </bottom>
      <diagonal/>
    </border>
    <border>
      <left style="thin">
        <color auto="1"/>
      </left>
      <right style="thin">
        <color auto="1"/>
      </right>
      <top/>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medium">
        <color auto="1"/>
      </right>
      <top style="medium">
        <color auto="1"/>
      </top>
      <bottom/>
      <diagonal/>
    </border>
    <border>
      <left style="thin">
        <color auto="1"/>
      </left>
      <right/>
      <top/>
      <bottom style="thin">
        <color auto="1"/>
      </bottom>
      <diagonal/>
    </border>
    <border>
      <left/>
      <right/>
      <top style="medium">
        <color auto="1"/>
      </top>
      <bottom style="thin">
        <color auto="1"/>
      </bottom>
      <diagonal/>
    </border>
    <border>
      <left/>
      <right style="thin">
        <color auto="1"/>
      </right>
      <top/>
      <bottom style="thin">
        <color auto="1"/>
      </bottom>
      <diagonal/>
    </border>
    <border>
      <left style="thin">
        <color auto="1"/>
      </left>
      <right/>
      <top style="thin">
        <color auto="1"/>
      </top>
      <bottom style="dashed">
        <color auto="1"/>
      </bottom>
      <diagonal/>
    </border>
    <border>
      <left/>
      <right style="medium">
        <color auto="1"/>
      </right>
      <top style="thin">
        <color auto="1"/>
      </top>
      <bottom style="dashed">
        <color auto="1"/>
      </bottom>
      <diagonal/>
    </border>
    <border>
      <left style="medium">
        <color auto="1"/>
      </left>
      <right style="medium">
        <color auto="1"/>
      </right>
      <top style="thin">
        <color auto="1"/>
      </top>
      <bottom style="dashed">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dashed">
        <color auto="1"/>
      </bottom>
      <diagonal/>
    </border>
    <border>
      <left/>
      <right style="medium">
        <color auto="1"/>
      </right>
      <top style="medium">
        <color auto="1"/>
      </top>
      <bottom style="dashed">
        <color auto="1"/>
      </bottom>
      <diagonal/>
    </border>
    <border>
      <left style="medium">
        <color auto="1"/>
      </left>
      <right style="medium">
        <color auto="1"/>
      </right>
      <top style="medium">
        <color auto="1"/>
      </top>
      <bottom style="dashed">
        <color auto="1"/>
      </bottom>
      <diagonal/>
    </border>
    <border>
      <left style="thin">
        <color auto="1"/>
      </left>
      <right style="medium">
        <color auto="1"/>
      </right>
      <top style="dashed">
        <color auto="1"/>
      </top>
      <bottom style="medium">
        <color auto="1"/>
      </bottom>
      <diagonal/>
    </border>
    <border>
      <left style="medium">
        <color auto="1"/>
      </left>
      <right/>
      <top style="dashed">
        <color auto="1"/>
      </top>
      <bottom style="medium">
        <color auto="1"/>
      </bottom>
      <diagonal/>
    </border>
    <border>
      <left/>
      <right style="medium">
        <color auto="1"/>
      </right>
      <top style="dashed">
        <color auto="1"/>
      </top>
      <bottom style="medium">
        <color auto="1"/>
      </bottom>
      <diagonal/>
    </border>
    <border>
      <left/>
      <right/>
      <top style="dashed">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double">
        <color auto="1"/>
      </top>
      <bottom style="double">
        <color auto="1"/>
      </bottom>
      <diagonal/>
    </border>
    <border>
      <left/>
      <right style="medium">
        <color auto="1"/>
      </right>
      <top style="double">
        <color auto="1"/>
      </top>
      <bottom/>
      <diagonal/>
    </border>
    <border>
      <left style="thin">
        <color auto="1"/>
      </left>
      <right/>
      <top style="thin">
        <color auto="1"/>
      </top>
      <bottom style="medium">
        <color auto="1"/>
      </bottom>
      <diagonal/>
    </border>
    <border>
      <left style="medium">
        <color auto="1"/>
      </left>
      <right/>
      <top style="double">
        <color auto="1"/>
      </top>
      <bottom/>
      <diagonal/>
    </border>
    <border>
      <left/>
      <right style="medium">
        <color auto="1"/>
      </right>
      <top style="thin">
        <color auto="1"/>
      </top>
      <bottom/>
      <diagonal/>
    </border>
    <border>
      <left/>
      <right/>
      <top style="thin">
        <color auto="1"/>
      </top>
      <bottom style="medium">
        <color auto="1"/>
      </bottom>
      <diagonal/>
    </border>
    <border>
      <left style="medium">
        <color auto="1"/>
      </left>
      <right style="thin">
        <color auto="1"/>
      </right>
      <top/>
      <bottom style="medium">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medium">
        <color auto="1"/>
      </right>
      <top style="dashed">
        <color auto="1"/>
      </top>
      <bottom/>
      <diagonal/>
    </border>
    <border>
      <left/>
      <right style="medium">
        <color auto="1"/>
      </right>
      <top style="dashed">
        <color auto="1"/>
      </top>
      <bottom/>
      <diagonal/>
    </border>
    <border>
      <left style="medium">
        <color auto="1"/>
      </left>
      <right/>
      <top style="dashed">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auto="1"/>
      </right>
      <top/>
      <bottom style="thin">
        <color auto="1"/>
      </bottom>
      <diagonal/>
    </border>
    <border>
      <left style="medium">
        <color auto="1"/>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thin">
        <color auto="1"/>
      </right>
      <top style="thin">
        <color auto="1"/>
      </top>
      <bottom/>
      <diagonal/>
    </border>
    <border>
      <left style="medium">
        <color auto="1"/>
      </left>
      <right style="medium">
        <color auto="1"/>
      </right>
      <top style="double">
        <color auto="1"/>
      </top>
      <bottom style="medium">
        <color auto="1"/>
      </bottom>
      <diagonal/>
    </border>
    <border>
      <left style="medium">
        <color auto="1"/>
      </left>
      <right style="thin">
        <color auto="1"/>
      </right>
      <top style="medium">
        <color auto="1"/>
      </top>
      <bottom/>
      <diagonal/>
    </border>
    <border>
      <left style="dashed">
        <color auto="1"/>
      </left>
      <right style="medium">
        <color auto="1"/>
      </right>
      <top style="thin">
        <color auto="1"/>
      </top>
      <bottom/>
      <diagonal/>
    </border>
    <border>
      <left/>
      <right/>
      <top style="thin">
        <color auto="1"/>
      </top>
      <bottom style="thin">
        <color auto="1"/>
      </bottom>
      <diagonal/>
    </border>
    <border>
      <left style="thin">
        <color auto="1"/>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medium">
        <color auto="1"/>
      </right>
      <top style="dotted">
        <color auto="1"/>
      </top>
      <bottom style="medium">
        <color auto="1"/>
      </bottom>
      <diagonal/>
    </border>
    <border>
      <left/>
      <right style="medium">
        <color auto="1"/>
      </right>
      <top style="medium">
        <color auto="1"/>
      </top>
      <bottom style="dotted">
        <color auto="1"/>
      </bottom>
      <diagonal/>
    </border>
    <border>
      <left style="medium">
        <color auto="1"/>
      </left>
      <right style="medium">
        <color auto="1"/>
      </right>
      <top style="medium">
        <color auto="1"/>
      </top>
      <bottom style="dotted">
        <color auto="1"/>
      </bottom>
      <diagonal/>
    </border>
    <border>
      <left style="thin">
        <color auto="1"/>
      </left>
      <right/>
      <top style="medium">
        <color auto="1"/>
      </top>
      <bottom style="dotted">
        <color auto="1"/>
      </bottom>
      <diagonal/>
    </border>
    <border>
      <left style="dashed">
        <color auto="1"/>
      </left>
      <right style="medium">
        <color auto="1"/>
      </right>
      <top style="medium">
        <color auto="1"/>
      </top>
      <bottom style="dotted">
        <color auto="1"/>
      </bottom>
      <diagonal/>
    </border>
    <border>
      <left style="medium">
        <color auto="1"/>
      </left>
      <right style="medium">
        <color auto="1"/>
      </right>
      <top style="thin">
        <color auto="1"/>
      </top>
      <bottom style="dotted">
        <color auto="1"/>
      </bottom>
      <diagonal/>
    </border>
    <border>
      <left style="thin">
        <color auto="1"/>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bottom style="thin">
        <color auto="1"/>
      </bottom>
      <diagonal/>
    </border>
    <border>
      <left style="medium">
        <color auto="1"/>
      </left>
      <right style="thin">
        <color auto="1"/>
      </right>
      <top/>
      <bottom style="dotted">
        <color auto="1"/>
      </bottom>
      <diagonal/>
    </border>
    <border>
      <left style="medium">
        <color auto="1"/>
      </left>
      <right/>
      <top/>
      <bottom style="dotted">
        <color auto="1"/>
      </bottom>
      <diagonal/>
    </border>
    <border>
      <left/>
      <right style="medium">
        <color auto="1"/>
      </right>
      <top style="dotted">
        <color auto="1"/>
      </top>
      <bottom style="thin">
        <color auto="1"/>
      </bottom>
      <diagonal/>
    </border>
    <border>
      <left style="medium">
        <color auto="1"/>
      </left>
      <right/>
      <top style="dotted">
        <color auto="1"/>
      </top>
      <bottom style="thin">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style="medium">
        <color auto="1"/>
      </top>
      <bottom style="dashed">
        <color auto="1"/>
      </bottom>
      <diagonal/>
    </border>
    <border>
      <left style="thin">
        <color auto="1"/>
      </left>
      <right/>
      <top/>
      <bottom style="dotted">
        <color auto="1"/>
      </bottom>
      <diagonal/>
    </border>
    <border>
      <left/>
      <right style="medium">
        <color auto="1"/>
      </right>
      <top/>
      <bottom style="dotted">
        <color auto="1"/>
      </bottom>
      <diagonal/>
    </border>
    <border>
      <left style="medium">
        <color auto="1"/>
      </left>
      <right style="medium">
        <color auto="1"/>
      </right>
      <top/>
      <bottom style="dotted">
        <color auto="1"/>
      </bottom>
      <diagonal/>
    </border>
    <border>
      <left/>
      <right/>
      <top style="dashed">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dotted">
        <color indexed="64"/>
      </top>
      <bottom/>
      <diagonal/>
    </border>
    <border>
      <left style="thin">
        <color indexed="64"/>
      </left>
      <right style="thin">
        <color indexed="64"/>
      </right>
      <top style="thin">
        <color indexed="64"/>
      </top>
      <bottom style="thin">
        <color indexed="64"/>
      </bottom>
      <diagonal/>
    </border>
  </borders>
  <cellStyleXfs count="118">
    <xf numFmtId="0" fontId="0" fillId="0" borderId="0"/>
    <xf numFmtId="43" fontId="14" fillId="0" borderId="0" applyFont="0" applyFill="0" applyBorder="0" applyAlignment="0" applyProtection="0"/>
    <xf numFmtId="44" fontId="14" fillId="0" borderId="0" applyFont="0" applyFill="0" applyBorder="0" applyAlignment="0" applyProtection="0"/>
    <xf numFmtId="44" fontId="32" fillId="0" borderId="0" applyFont="0" applyFill="0" applyBorder="0" applyAlignment="0" applyProtection="0"/>
    <xf numFmtId="0" fontId="19" fillId="0" borderId="0" applyNumberFormat="0" applyFill="0" applyBorder="0" applyAlignment="0" applyProtection="0">
      <alignment vertical="top"/>
      <protection locked="0"/>
    </xf>
    <xf numFmtId="9" fontId="14" fillId="0" borderId="0" applyFont="0" applyFill="0" applyBorder="0" applyAlignment="0" applyProtection="0"/>
    <xf numFmtId="0" fontId="13" fillId="0" borderId="0"/>
    <xf numFmtId="43" fontId="14" fillId="0" borderId="0" applyFont="0" applyFill="0" applyBorder="0" applyAlignment="0" applyProtection="0"/>
    <xf numFmtId="43" fontId="48" fillId="0" borderId="0" applyFont="0" applyFill="0" applyBorder="0" applyAlignment="0" applyProtection="0"/>
    <xf numFmtId="44" fontId="48" fillId="0" borderId="0" applyFont="0" applyFill="0" applyBorder="0" applyAlignment="0" applyProtection="0"/>
    <xf numFmtId="44" fontId="14" fillId="0" borderId="0" applyFont="0" applyFill="0" applyBorder="0" applyAlignment="0" applyProtection="0"/>
    <xf numFmtId="44" fontId="48" fillId="0" borderId="0" applyFont="0" applyFill="0" applyBorder="0" applyAlignment="0" applyProtection="0"/>
    <xf numFmtId="0" fontId="48" fillId="0" borderId="0"/>
    <xf numFmtId="9" fontId="14" fillId="0" borderId="0" applyFont="0" applyFill="0" applyBorder="0" applyAlignment="0" applyProtection="0"/>
    <xf numFmtId="9" fontId="48" fillId="0" borderId="0" applyFont="0" applyFill="0" applyBorder="0" applyAlignment="0" applyProtection="0"/>
    <xf numFmtId="0" fontId="14" fillId="0" borderId="0"/>
    <xf numFmtId="0" fontId="12" fillId="0" borderId="0"/>
    <xf numFmtId="44" fontId="14" fillId="0" borderId="0" applyFon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xf numFmtId="44" fontId="14" fillId="0" borderId="0" applyFont="0" applyFill="0" applyBorder="0" applyAlignment="0" applyProtection="0"/>
    <xf numFmtId="0" fontId="11" fillId="0" borderId="0"/>
    <xf numFmtId="0" fontId="11" fillId="0" borderId="0"/>
    <xf numFmtId="44" fontId="14" fillId="0" borderId="0" applyFont="0" applyFill="0" applyBorder="0" applyAlignment="0" applyProtection="0"/>
    <xf numFmtId="44" fontId="14" fillId="0" borderId="0" applyFont="0" applyFill="0" applyBorder="0" applyAlignment="0" applyProtection="0"/>
    <xf numFmtId="0" fontId="11" fillId="0" borderId="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0" borderId="0"/>
    <xf numFmtId="9" fontId="14" fillId="0" borderId="0" applyFont="0" applyFill="0" applyBorder="0" applyAlignment="0" applyProtection="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8" fillId="0" borderId="0"/>
    <xf numFmtId="43" fontId="73" fillId="0" borderId="0" applyFon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14" fillId="0" borderId="0" applyFont="0" applyFill="0" applyBorder="0" applyAlignment="0" applyProtection="0"/>
    <xf numFmtId="0" fontId="75" fillId="0" borderId="0" applyNumberFormat="0" applyFill="0" applyBorder="0" applyAlignment="0" applyProtection="0"/>
    <xf numFmtId="0" fontId="8" fillId="0" borderId="0"/>
    <xf numFmtId="44" fontId="8" fillId="0" borderId="0" applyFont="0" applyFill="0" applyBorder="0" applyAlignment="0" applyProtection="0"/>
    <xf numFmtId="44" fontId="14"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cellStyleXfs>
  <cellXfs count="721">
    <xf numFmtId="0" fontId="0" fillId="0" borderId="0" xfId="0"/>
    <xf numFmtId="0" fontId="14" fillId="0" borderId="0" xfId="0" applyFont="1"/>
    <xf numFmtId="0" fontId="0" fillId="0" borderId="0" xfId="0" applyAlignment="1">
      <alignment horizontal="centerContinuous"/>
    </xf>
    <xf numFmtId="0" fontId="0" fillId="0" borderId="0" xfId="0" applyAlignment="1">
      <alignment horizontal="right"/>
    </xf>
    <xf numFmtId="0" fontId="0" fillId="0" borderId="0" xfId="0" applyAlignment="1">
      <alignment horizontal="center"/>
    </xf>
    <xf numFmtId="0" fontId="16" fillId="0" borderId="0" xfId="0" applyFont="1"/>
    <xf numFmtId="0" fontId="0" fillId="0" borderId="0" xfId="0" applyAlignment="1">
      <alignment horizontal="left"/>
    </xf>
    <xf numFmtId="0" fontId="14" fillId="0" borderId="0" xfId="0" applyFont="1" applyAlignment="1">
      <alignment horizontal="center"/>
    </xf>
    <xf numFmtId="0" fontId="20" fillId="0" borderId="0" xfId="0" applyFont="1"/>
    <xf numFmtId="0" fontId="18" fillId="0" borderId="0" xfId="0" applyFont="1"/>
    <xf numFmtId="44" fontId="0" fillId="0" borderId="0" xfId="0" applyNumberFormat="1"/>
    <xf numFmtId="0" fontId="16" fillId="0" borderId="0" xfId="0" applyFont="1" applyAlignment="1">
      <alignment horizontal="center"/>
    </xf>
    <xf numFmtId="0" fontId="16" fillId="0" borderId="2" xfId="0" applyFont="1" applyBorder="1"/>
    <xf numFmtId="0" fontId="0" fillId="0" borderId="2" xfId="0" applyBorder="1"/>
    <xf numFmtId="0" fontId="17" fillId="0" borderId="0" xfId="0" applyFont="1"/>
    <xf numFmtId="0" fontId="23" fillId="0" borderId="0" xfId="0" applyFont="1"/>
    <xf numFmtId="0" fontId="24" fillId="0" borderId="0" xfId="0" applyFont="1" applyAlignment="1">
      <alignment horizontal="center" vertical="top"/>
    </xf>
    <xf numFmtId="44" fontId="0" fillId="0" borderId="2" xfId="0" applyNumberFormat="1" applyBorder="1"/>
    <xf numFmtId="0" fontId="17" fillId="0" borderId="0" xfId="0" applyFont="1" applyAlignment="1">
      <alignment horizontal="left"/>
    </xf>
    <xf numFmtId="0" fontId="26" fillId="0" borderId="0" xfId="0" applyFont="1"/>
    <xf numFmtId="0" fontId="20" fillId="0" borderId="0" xfId="0" applyFont="1" applyAlignment="1">
      <alignment horizontal="center"/>
    </xf>
    <xf numFmtId="0" fontId="16" fillId="0" borderId="0" xfId="0" applyFont="1" applyAlignment="1">
      <alignment horizontal="center" vertical="top"/>
    </xf>
    <xf numFmtId="0" fontId="16" fillId="2" borderId="6" xfId="0" applyFont="1" applyFill="1" applyBorder="1" applyAlignment="1">
      <alignment horizontal="center" vertical="top"/>
    </xf>
    <xf numFmtId="0" fontId="16" fillId="2" borderId="7" xfId="0" applyFont="1" applyFill="1" applyBorder="1" applyAlignment="1">
      <alignment horizontal="center" vertical="top"/>
    </xf>
    <xf numFmtId="10" fontId="16" fillId="0" borderId="0" xfId="5" applyNumberFormat="1" applyFont="1" applyAlignment="1">
      <alignment horizontal="center" vertical="top"/>
    </xf>
    <xf numFmtId="0" fontId="20" fillId="0" borderId="0" xfId="0" applyFont="1" applyAlignment="1">
      <alignment horizontal="left"/>
    </xf>
    <xf numFmtId="0" fontId="16" fillId="2" borderId="15" xfId="0" applyFont="1" applyFill="1" applyBorder="1" applyAlignment="1">
      <alignment horizontal="center" vertical="top" wrapText="1"/>
    </xf>
    <xf numFmtId="0" fontId="16" fillId="2" borderId="11" xfId="0" applyFont="1" applyFill="1" applyBorder="1"/>
    <xf numFmtId="10" fontId="18" fillId="0" borderId="0" xfId="5" applyNumberFormat="1" applyFont="1"/>
    <xf numFmtId="0" fontId="34" fillId="0" borderId="0" xfId="0" applyFont="1"/>
    <xf numFmtId="0" fontId="34" fillId="0" borderId="0" xfId="0" applyFont="1" applyAlignment="1">
      <alignment wrapText="1"/>
    </xf>
    <xf numFmtId="1" fontId="35" fillId="0" borderId="0" xfId="0" applyNumberFormat="1" applyFont="1" applyAlignment="1">
      <alignment wrapText="1"/>
    </xf>
    <xf numFmtId="0" fontId="34" fillId="0" borderId="0" xfId="0" applyFont="1" applyAlignment="1">
      <alignment horizontal="centerContinuous" wrapText="1"/>
    </xf>
    <xf numFmtId="1" fontId="34" fillId="0" borderId="0" xfId="0" applyNumberFormat="1" applyFont="1" applyAlignment="1">
      <alignment horizontal="centerContinuous" wrapText="1"/>
    </xf>
    <xf numFmtId="0" fontId="38" fillId="0" borderId="0" xfId="0" applyFont="1" applyAlignment="1">
      <alignment horizontal="center"/>
    </xf>
    <xf numFmtId="0" fontId="44" fillId="0" borderId="0" xfId="0" applyFont="1"/>
    <xf numFmtId="0" fontId="44" fillId="0" borderId="0" xfId="0" applyFont="1" applyAlignment="1">
      <alignment wrapText="1"/>
    </xf>
    <xf numFmtId="0" fontId="44" fillId="9" borderId="0" xfId="0" applyFont="1" applyFill="1" applyAlignment="1">
      <alignment wrapText="1"/>
    </xf>
    <xf numFmtId="0" fontId="37" fillId="0" borderId="0" xfId="0" applyFont="1"/>
    <xf numFmtId="0" fontId="34" fillId="0" borderId="0" xfId="0" applyFont="1" applyAlignment="1">
      <alignment horizontal="center"/>
    </xf>
    <xf numFmtId="0" fontId="45" fillId="0" borderId="0" xfId="0" applyFont="1" applyAlignment="1">
      <alignment horizontal="left"/>
    </xf>
    <xf numFmtId="0" fontId="38" fillId="0" borderId="0" xfId="0" applyFont="1" applyAlignment="1">
      <alignment horizontal="right"/>
    </xf>
    <xf numFmtId="0" fontId="34" fillId="0" borderId="22" xfId="0" applyFont="1" applyBorder="1" applyAlignment="1" applyProtection="1">
      <alignment horizontal="left"/>
      <protection locked="0"/>
    </xf>
    <xf numFmtId="6" fontId="34" fillId="8" borderId="20" xfId="0" applyNumberFormat="1" applyFont="1" applyFill="1" applyBorder="1" applyAlignment="1" applyProtection="1">
      <alignment horizontal="center"/>
      <protection locked="0"/>
    </xf>
    <xf numFmtId="0" fontId="34" fillId="8" borderId="20" xfId="0" applyFont="1" applyFill="1" applyBorder="1" applyAlignment="1" applyProtection="1">
      <alignment horizontal="center"/>
      <protection locked="0"/>
    </xf>
    <xf numFmtId="9" fontId="34" fillId="8" borderId="20" xfId="5" applyFont="1" applyFill="1" applyBorder="1" applyAlignment="1" applyProtection="1">
      <alignment horizontal="center"/>
      <protection locked="0"/>
    </xf>
    <xf numFmtId="0" fontId="40" fillId="0" borderId="0" xfId="0" applyFont="1"/>
    <xf numFmtId="0" fontId="38" fillId="10" borderId="22" xfId="0" applyFont="1" applyFill="1" applyBorder="1" applyAlignment="1">
      <alignment horizontal="center"/>
    </xf>
    <xf numFmtId="0" fontId="38" fillId="10" borderId="20" xfId="0" applyFont="1" applyFill="1" applyBorder="1" applyAlignment="1">
      <alignment horizontal="center"/>
    </xf>
    <xf numFmtId="0" fontId="38" fillId="10" borderId="20" xfId="0" applyFont="1" applyFill="1" applyBorder="1" applyAlignment="1">
      <alignment horizontal="center" wrapText="1"/>
    </xf>
    <xf numFmtId="0" fontId="40" fillId="0" borderId="0" xfId="0" applyFont="1" applyAlignment="1">
      <alignment horizontal="center"/>
    </xf>
    <xf numFmtId="0" fontId="34" fillId="0" borderId="0" xfId="0" applyFont="1" applyAlignment="1">
      <alignment horizontal="center" wrapText="1"/>
    </xf>
    <xf numFmtId="0" fontId="13" fillId="0" borderId="0" xfId="6"/>
    <xf numFmtId="0" fontId="51" fillId="0" borderId="0" xfId="6" applyFont="1"/>
    <xf numFmtId="0" fontId="50" fillId="0" borderId="0" xfId="6" applyFont="1"/>
    <xf numFmtId="0" fontId="53" fillId="0" borderId="0" xfId="6" applyFont="1"/>
    <xf numFmtId="0" fontId="13" fillId="0" borderId="0" xfId="6" applyAlignment="1">
      <alignment wrapText="1"/>
    </xf>
    <xf numFmtId="0" fontId="39" fillId="0" borderId="0" xfId="6" applyFont="1"/>
    <xf numFmtId="0" fontId="16" fillId="0" borderId="17" xfId="0" applyFont="1" applyBorder="1" applyAlignment="1">
      <alignment horizontal="center" vertical="top" wrapText="1"/>
    </xf>
    <xf numFmtId="0" fontId="38" fillId="0" borderId="14" xfId="0" applyFont="1" applyBorder="1" applyAlignment="1">
      <alignment horizontal="center"/>
    </xf>
    <xf numFmtId="0" fontId="38" fillId="0" borderId="14" xfId="0" applyFont="1" applyBorder="1" applyAlignment="1">
      <alignment horizontal="center" wrapText="1"/>
    </xf>
    <xf numFmtId="0" fontId="44" fillId="0" borderId="0" xfId="0" applyFont="1" applyAlignment="1">
      <alignment horizontal="center"/>
    </xf>
    <xf numFmtId="0" fontId="49" fillId="10" borderId="28" xfId="0" applyFont="1" applyFill="1" applyBorder="1"/>
    <xf numFmtId="0" fontId="49" fillId="10" borderId="0" xfId="0" applyFont="1" applyFill="1"/>
    <xf numFmtId="0" fontId="0" fillId="10" borderId="0" xfId="0" applyFill="1"/>
    <xf numFmtId="0" fontId="0" fillId="10" borderId="33" xfId="0" applyFill="1" applyBorder="1"/>
    <xf numFmtId="0" fontId="0" fillId="10" borderId="28" xfId="0" applyFill="1" applyBorder="1"/>
    <xf numFmtId="0" fontId="0" fillId="10" borderId="36" xfId="0" applyFill="1" applyBorder="1"/>
    <xf numFmtId="0" fontId="0" fillId="10" borderId="38" xfId="0" applyFill="1" applyBorder="1"/>
    <xf numFmtId="0" fontId="0" fillId="10" borderId="39" xfId="0" applyFill="1" applyBorder="1"/>
    <xf numFmtId="0" fontId="0" fillId="10" borderId="5" xfId="0" applyFill="1" applyBorder="1"/>
    <xf numFmtId="0" fontId="52" fillId="10" borderId="28" xfId="0" applyFont="1" applyFill="1" applyBorder="1"/>
    <xf numFmtId="0" fontId="52" fillId="10" borderId="0" xfId="0" applyFont="1" applyFill="1"/>
    <xf numFmtId="0" fontId="0" fillId="10" borderId="40" xfId="0" applyFill="1" applyBorder="1"/>
    <xf numFmtId="0" fontId="55" fillId="10" borderId="0" xfId="0" applyFont="1" applyFill="1" applyAlignment="1">
      <alignment vertical="top" wrapText="1"/>
    </xf>
    <xf numFmtId="0" fontId="49" fillId="10" borderId="28" xfId="0" applyFont="1" applyFill="1" applyBorder="1" applyAlignment="1">
      <alignment vertical="top"/>
    </xf>
    <xf numFmtId="0" fontId="49" fillId="10" borderId="0" xfId="0" applyFont="1" applyFill="1" applyAlignment="1">
      <alignment vertical="top"/>
    </xf>
    <xf numFmtId="0" fontId="52" fillId="10" borderId="67" xfId="0" applyFont="1" applyFill="1" applyBorder="1"/>
    <xf numFmtId="0" fontId="52" fillId="10" borderId="4" xfId="0" applyFont="1" applyFill="1" applyBorder="1"/>
    <xf numFmtId="0" fontId="49" fillId="10" borderId="44" xfId="6" applyFont="1" applyFill="1" applyBorder="1" applyAlignment="1">
      <alignment vertical="center"/>
    </xf>
    <xf numFmtId="0" fontId="49" fillId="10" borderId="46" xfId="6" applyFont="1" applyFill="1" applyBorder="1" applyAlignment="1">
      <alignment horizontal="center" vertical="center"/>
    </xf>
    <xf numFmtId="0" fontId="49" fillId="10" borderId="44" xfId="6" applyFont="1" applyFill="1" applyBorder="1" applyAlignment="1">
      <alignment horizontal="center" vertical="center"/>
    </xf>
    <xf numFmtId="0" fontId="42" fillId="10" borderId="10" xfId="6" applyFont="1" applyFill="1" applyBorder="1" applyAlignment="1">
      <alignment horizontal="left" vertical="center" wrapText="1"/>
    </xf>
    <xf numFmtId="0" fontId="54" fillId="10" borderId="44" xfId="6" applyFont="1" applyFill="1" applyBorder="1" applyAlignment="1">
      <alignment horizontal="center" vertical="center"/>
    </xf>
    <xf numFmtId="0" fontId="56" fillId="11" borderId="26" xfId="0" applyFont="1" applyFill="1" applyBorder="1" applyAlignment="1">
      <alignment wrapText="1"/>
    </xf>
    <xf numFmtId="0" fontId="56" fillId="11" borderId="61" xfId="0" applyFont="1" applyFill="1" applyBorder="1" applyAlignment="1">
      <alignment wrapText="1"/>
    </xf>
    <xf numFmtId="0" fontId="54" fillId="10" borderId="8" xfId="0" applyFont="1" applyFill="1" applyBorder="1" applyAlignment="1">
      <alignment horizontal="center"/>
    </xf>
    <xf numFmtId="0" fontId="55" fillId="10" borderId="9" xfId="0" applyFont="1" applyFill="1" applyBorder="1" applyAlignment="1">
      <alignment horizontal="center" wrapText="1"/>
    </xf>
    <xf numFmtId="0" fontId="54" fillId="10" borderId="66" xfId="0" applyFont="1" applyFill="1" applyBorder="1" applyAlignment="1">
      <alignment horizontal="center" vertical="center"/>
    </xf>
    <xf numFmtId="0" fontId="42" fillId="10" borderId="65" xfId="0" applyFont="1" applyFill="1" applyBorder="1" applyAlignment="1">
      <alignment horizontal="left" wrapText="1"/>
    </xf>
    <xf numFmtId="0" fontId="49" fillId="10" borderId="47" xfId="6" applyFont="1" applyFill="1" applyBorder="1" applyAlignment="1">
      <alignment horizontal="center"/>
    </xf>
    <xf numFmtId="0" fontId="54" fillId="10" borderId="46" xfId="6" applyFont="1" applyFill="1" applyBorder="1" applyAlignment="1">
      <alignment horizontal="center" vertical="center"/>
    </xf>
    <xf numFmtId="0" fontId="54" fillId="10" borderId="29" xfId="6" applyFont="1" applyFill="1" applyBorder="1" applyAlignment="1">
      <alignment horizontal="left" vertical="center" wrapText="1"/>
    </xf>
    <xf numFmtId="0" fontId="54" fillId="10" borderId="45" xfId="6" applyFont="1" applyFill="1" applyBorder="1" applyAlignment="1">
      <alignment horizontal="left" vertical="center" wrapText="1"/>
    </xf>
    <xf numFmtId="0" fontId="54" fillId="10" borderId="54" xfId="6" applyFont="1" applyFill="1" applyBorder="1" applyAlignment="1">
      <alignment horizontal="left" vertical="center" wrapText="1"/>
    </xf>
    <xf numFmtId="0" fontId="36" fillId="10" borderId="31" xfId="0" applyFont="1" applyFill="1" applyBorder="1" applyAlignment="1">
      <alignment horizontal="left" vertical="center" wrapText="1"/>
    </xf>
    <xf numFmtId="0" fontId="57" fillId="12" borderId="68" xfId="6" applyFont="1" applyFill="1" applyBorder="1"/>
    <xf numFmtId="0" fontId="57" fillId="15" borderId="68" xfId="6" applyFont="1" applyFill="1" applyBorder="1" applyAlignment="1">
      <alignment vertical="top"/>
    </xf>
    <xf numFmtId="0" fontId="57" fillId="11" borderId="68" xfId="6" quotePrefix="1" applyFont="1" applyFill="1" applyBorder="1"/>
    <xf numFmtId="0" fontId="54" fillId="10" borderId="69" xfId="6" applyFont="1" applyFill="1" applyBorder="1" applyAlignment="1">
      <alignment horizontal="left" vertical="center" wrapText="1"/>
    </xf>
    <xf numFmtId="0" fontId="49" fillId="10" borderId="32" xfId="6" applyFont="1" applyFill="1" applyBorder="1" applyAlignment="1">
      <alignment vertical="center"/>
    </xf>
    <xf numFmtId="0" fontId="36" fillId="10" borderId="28" xfId="0" applyFont="1" applyFill="1" applyBorder="1" applyAlignment="1">
      <alignment horizontal="left" vertical="center" wrapText="1"/>
    </xf>
    <xf numFmtId="0" fontId="57" fillId="11" borderId="4" xfId="6" quotePrefix="1" applyFont="1" applyFill="1" applyBorder="1"/>
    <xf numFmtId="0" fontId="57" fillId="11" borderId="72" xfId="6" quotePrefix="1" applyFont="1" applyFill="1" applyBorder="1"/>
    <xf numFmtId="0" fontId="54" fillId="10" borderId="62" xfId="15" applyFont="1" applyFill="1" applyBorder="1" applyAlignment="1">
      <alignment vertical="center" wrapText="1"/>
    </xf>
    <xf numFmtId="0" fontId="54" fillId="10" borderId="44" xfId="6" applyFont="1" applyFill="1" applyBorder="1" applyAlignment="1">
      <alignment vertical="center"/>
    </xf>
    <xf numFmtId="0" fontId="54" fillId="10" borderId="47" xfId="6" applyFont="1" applyFill="1" applyBorder="1" applyAlignment="1">
      <alignment horizontal="center"/>
    </xf>
    <xf numFmtId="0" fontId="54" fillId="10" borderId="44" xfId="6" applyFont="1" applyFill="1" applyBorder="1" applyAlignment="1">
      <alignment horizontal="center"/>
    </xf>
    <xf numFmtId="0" fontId="57" fillId="11" borderId="67" xfId="6" quotePrefix="1" applyFont="1" applyFill="1" applyBorder="1" applyAlignment="1">
      <alignment vertical="center"/>
    </xf>
    <xf numFmtId="0" fontId="57" fillId="11" borderId="63" xfId="0" applyFont="1" applyFill="1" applyBorder="1" applyAlignment="1">
      <alignment vertical="center"/>
    </xf>
    <xf numFmtId="0" fontId="54" fillId="10" borderId="62" xfId="0" applyFont="1" applyFill="1" applyBorder="1" applyAlignment="1">
      <alignment horizontal="left" vertical="center" wrapText="1"/>
    </xf>
    <xf numFmtId="0" fontId="54" fillId="10" borderId="44" xfId="6" applyFont="1" applyFill="1" applyBorder="1"/>
    <xf numFmtId="0" fontId="54" fillId="10" borderId="76" xfId="6" applyFont="1" applyFill="1" applyBorder="1" applyAlignment="1">
      <alignment vertical="center"/>
    </xf>
    <xf numFmtId="0" fontId="0" fillId="17" borderId="27" xfId="0" applyFill="1" applyBorder="1"/>
    <xf numFmtId="0" fontId="0" fillId="17" borderId="24" xfId="0" applyFill="1" applyBorder="1"/>
    <xf numFmtId="0" fontId="52" fillId="17" borderId="8" xfId="0" applyFont="1" applyFill="1" applyBorder="1"/>
    <xf numFmtId="0" fontId="0" fillId="17" borderId="0" xfId="0" applyFill="1"/>
    <xf numFmtId="0" fontId="0" fillId="17" borderId="17" xfId="0" applyFill="1" applyBorder="1"/>
    <xf numFmtId="0" fontId="0" fillId="17" borderId="10" xfId="0" applyFill="1" applyBorder="1"/>
    <xf numFmtId="0" fontId="0" fillId="17" borderId="18" xfId="0" applyFill="1" applyBorder="1"/>
    <xf numFmtId="0" fontId="49" fillId="17" borderId="23" xfId="0" applyFont="1" applyFill="1" applyBorder="1" applyAlignment="1">
      <alignment vertical="center"/>
    </xf>
    <xf numFmtId="0" fontId="0" fillId="0" borderId="8" xfId="0" applyBorder="1"/>
    <xf numFmtId="0" fontId="54" fillId="10" borderId="62" xfId="0" quotePrefix="1" applyFont="1" applyFill="1" applyBorder="1" applyAlignment="1">
      <alignment horizontal="left" vertical="center" wrapText="1"/>
    </xf>
    <xf numFmtId="0" fontId="14" fillId="0" borderId="0" xfId="0" quotePrefix="1" applyFont="1" applyAlignment="1">
      <alignment horizontal="left" wrapText="1"/>
    </xf>
    <xf numFmtId="0" fontId="14" fillId="0" borderId="0" xfId="0" applyFont="1" applyAlignment="1">
      <alignment wrapText="1"/>
    </xf>
    <xf numFmtId="0" fontId="37" fillId="0" borderId="0" xfId="0" applyFont="1" applyAlignment="1">
      <alignment wrapText="1"/>
    </xf>
    <xf numFmtId="0" fontId="16" fillId="0" borderId="0" xfId="0" quotePrefix="1" applyFont="1" applyAlignment="1">
      <alignment horizontal="centerContinuous"/>
    </xf>
    <xf numFmtId="0" fontId="43" fillId="0" borderId="0" xfId="0" applyFont="1" applyAlignment="1">
      <alignment horizontal="center" wrapText="1"/>
    </xf>
    <xf numFmtId="0" fontId="16" fillId="0" borderId="0" xfId="0" quotePrefix="1" applyFont="1" applyAlignment="1">
      <alignment horizontal="left" wrapText="1"/>
    </xf>
    <xf numFmtId="0" fontId="16" fillId="0" borderId="79" xfId="0" applyFont="1" applyBorder="1"/>
    <xf numFmtId="0" fontId="19" fillId="0" borderId="0" xfId="4" applyBorder="1" applyAlignment="1" applyProtection="1"/>
    <xf numFmtId="0" fontId="14" fillId="0" borderId="0" xfId="0" applyFont="1" applyAlignment="1">
      <alignment horizontal="left"/>
    </xf>
    <xf numFmtId="0" fontId="14" fillId="0" borderId="4" xfId="0" applyFont="1" applyBorder="1"/>
    <xf numFmtId="0" fontId="14" fillId="0" borderId="0" xfId="15"/>
    <xf numFmtId="0" fontId="16" fillId="0" borderId="4" xfId="0" quotePrefix="1" applyFont="1" applyBorder="1" applyAlignment="1">
      <alignment horizontal="left" wrapText="1"/>
    </xf>
    <xf numFmtId="0" fontId="16" fillId="0" borderId="4" xfId="0" applyFont="1" applyBorder="1"/>
    <xf numFmtId="0" fontId="14" fillId="0" borderId="0" xfId="15" applyAlignment="1">
      <alignment horizontal="left" wrapText="1"/>
    </xf>
    <xf numFmtId="0" fontId="19" fillId="0" borderId="0" xfId="4" applyFill="1" applyBorder="1" applyAlignment="1" applyProtection="1"/>
    <xf numFmtId="0" fontId="14" fillId="0" borderId="0" xfId="15" applyAlignment="1">
      <alignment horizontal="right" wrapText="1"/>
    </xf>
    <xf numFmtId="0" fontId="16" fillId="0" borderId="81" xfId="0" applyFont="1" applyBorder="1"/>
    <xf numFmtId="0" fontId="14" fillId="0" borderId="0" xfId="0" quotePrefix="1" applyFont="1"/>
    <xf numFmtId="0" fontId="42" fillId="10" borderId="52" xfId="6" applyFont="1" applyFill="1" applyBorder="1" applyAlignment="1">
      <alignment vertical="center" wrapText="1"/>
    </xf>
    <xf numFmtId="2" fontId="67" fillId="0" borderId="0" xfId="0" applyNumberFormat="1" applyFont="1" applyAlignment="1">
      <alignment horizontal="center" vertical="center" wrapText="1"/>
    </xf>
    <xf numFmtId="0" fontId="67" fillId="0" borderId="0" xfId="0" applyFont="1" applyAlignment="1">
      <alignment vertical="center" wrapText="1"/>
    </xf>
    <xf numFmtId="2" fontId="67" fillId="0" borderId="0" xfId="0" applyNumberFormat="1" applyFont="1" applyAlignment="1">
      <alignment horizontal="center" vertical="center"/>
    </xf>
    <xf numFmtId="0" fontId="16" fillId="0" borderId="0" xfId="0" applyFont="1" applyAlignment="1">
      <alignment horizontal="left" wrapText="1"/>
    </xf>
    <xf numFmtId="0" fontId="54" fillId="10" borderId="8" xfId="0" applyFont="1" applyFill="1" applyBorder="1" applyAlignment="1">
      <alignment horizontal="centerContinuous"/>
    </xf>
    <xf numFmtId="0" fontId="0" fillId="0" borderId="25" xfId="0" applyBorder="1" applyProtection="1">
      <protection locked="0"/>
    </xf>
    <xf numFmtId="0" fontId="0" fillId="13" borderId="25" xfId="0" applyFill="1" applyBorder="1" applyProtection="1">
      <protection locked="0"/>
    </xf>
    <xf numFmtId="0" fontId="0" fillId="0" borderId="37" xfId="0" applyBorder="1" applyProtection="1">
      <protection locked="0"/>
    </xf>
    <xf numFmtId="0" fontId="14" fillId="0" borderId="25" xfId="0" applyFont="1" applyBorder="1" applyProtection="1">
      <protection locked="0"/>
    </xf>
    <xf numFmtId="0" fontId="14" fillId="0" borderId="25" xfId="0" applyFont="1" applyBorder="1" applyAlignment="1" applyProtection="1">
      <alignment vertical="top" wrapText="1"/>
      <protection locked="0"/>
    </xf>
    <xf numFmtId="7" fontId="55" fillId="0" borderId="64" xfId="1" applyNumberFormat="1" applyFont="1" applyFill="1" applyBorder="1" applyAlignment="1" applyProtection="1">
      <alignment horizontal="center" vertical="center" wrapText="1"/>
      <protection locked="0"/>
    </xf>
    <xf numFmtId="0" fontId="55" fillId="0" borderId="59" xfId="1" applyNumberFormat="1" applyFont="1" applyFill="1" applyBorder="1" applyAlignment="1" applyProtection="1">
      <alignment horizontal="center" vertical="center" wrapText="1"/>
      <protection locked="0"/>
    </xf>
    <xf numFmtId="43" fontId="55" fillId="16" borderId="82" xfId="1" applyFont="1" applyFill="1" applyBorder="1" applyAlignment="1" applyProtection="1">
      <alignment horizontal="left" vertical="center" wrapText="1"/>
      <protection locked="0"/>
    </xf>
    <xf numFmtId="43" fontId="55" fillId="16" borderId="50" xfId="1" applyFont="1" applyFill="1" applyBorder="1" applyAlignment="1" applyProtection="1">
      <alignment horizontal="left" vertical="center" wrapText="1"/>
      <protection locked="0"/>
    </xf>
    <xf numFmtId="3" fontId="55" fillId="0" borderId="43" xfId="1" applyNumberFormat="1" applyFont="1" applyFill="1" applyBorder="1" applyAlignment="1" applyProtection="1">
      <alignment horizontal="center" vertical="center" wrapText="1"/>
      <protection locked="0"/>
    </xf>
    <xf numFmtId="0" fontId="54" fillId="10" borderId="45" xfId="12" applyFont="1" applyFill="1" applyBorder="1" applyAlignment="1">
      <alignment vertical="center" wrapText="1"/>
    </xf>
    <xf numFmtId="0" fontId="54" fillId="10" borderId="54" xfId="15" applyFont="1" applyFill="1" applyBorder="1" applyAlignment="1">
      <alignment horizontal="left" vertical="center" wrapText="1"/>
    </xf>
    <xf numFmtId="2" fontId="14" fillId="0" borderId="0" xfId="0" applyNumberFormat="1" applyFont="1"/>
    <xf numFmtId="0" fontId="14" fillId="0" borderId="67" xfId="0" applyFont="1" applyBorder="1"/>
    <xf numFmtId="0" fontId="14" fillId="0" borderId="28" xfId="0" applyFont="1" applyBorder="1"/>
    <xf numFmtId="0" fontId="14" fillId="0" borderId="38" xfId="0" applyFont="1" applyBorder="1"/>
    <xf numFmtId="2" fontId="14" fillId="0" borderId="5" xfId="0" applyNumberFormat="1" applyFont="1" applyBorder="1"/>
    <xf numFmtId="0" fontId="14" fillId="0" borderId="5" xfId="0" applyFont="1" applyBorder="1"/>
    <xf numFmtId="0" fontId="54" fillId="10" borderId="28" xfId="15" applyFont="1" applyFill="1" applyBorder="1" applyAlignment="1">
      <alignment horizontal="left" vertical="center" wrapText="1"/>
    </xf>
    <xf numFmtId="0" fontId="54" fillId="10" borderId="17" xfId="15" applyFont="1" applyFill="1" applyBorder="1" applyAlignment="1">
      <alignment horizontal="left" vertical="center" wrapText="1"/>
    </xf>
    <xf numFmtId="0" fontId="74" fillId="0" borderId="0" xfId="0" applyFont="1" applyAlignment="1">
      <alignment horizontal="left" vertical="center"/>
    </xf>
    <xf numFmtId="0" fontId="16" fillId="0" borderId="0" xfId="0" applyFont="1" applyAlignment="1">
      <alignment horizontal="right"/>
    </xf>
    <xf numFmtId="0" fontId="16" fillId="0" borderId="0" xfId="0" applyFont="1" applyAlignment="1">
      <alignment wrapText="1"/>
    </xf>
    <xf numFmtId="0" fontId="14" fillId="13" borderId="25" xfId="0" applyFont="1" applyFill="1" applyBorder="1" applyProtection="1">
      <protection locked="0"/>
    </xf>
    <xf numFmtId="43" fontId="0" fillId="0" borderId="0" xfId="1" applyFont="1"/>
    <xf numFmtId="43" fontId="0" fillId="0" borderId="0" xfId="1" applyFont="1" applyFill="1"/>
    <xf numFmtId="0" fontId="76" fillId="10" borderId="0" xfId="4" applyFont="1" applyFill="1" applyAlignment="1" applyProtection="1">
      <alignment wrapText="1"/>
    </xf>
    <xf numFmtId="0" fontId="16" fillId="0" borderId="64" xfId="15" applyFont="1" applyBorder="1"/>
    <xf numFmtId="0" fontId="19" fillId="0" borderId="40" xfId="4" applyBorder="1" applyAlignment="1" applyProtection="1"/>
    <xf numFmtId="0" fontId="19" fillId="0" borderId="72" xfId="4" applyBorder="1" applyAlignment="1" applyProtection="1"/>
    <xf numFmtId="0" fontId="19" fillId="0" borderId="33" xfId="4" applyBorder="1" applyAlignment="1" applyProtection="1"/>
    <xf numFmtId="0" fontId="19" fillId="0" borderId="4" xfId="4" applyBorder="1" applyAlignment="1" applyProtection="1"/>
    <xf numFmtId="0" fontId="19" fillId="0" borderId="0" xfId="4" applyAlignment="1" applyProtection="1"/>
    <xf numFmtId="0" fontId="16" fillId="0" borderId="4" xfId="15" applyFont="1" applyBorder="1"/>
    <xf numFmtId="0" fontId="16" fillId="0" borderId="85" xfId="15" applyFont="1" applyBorder="1"/>
    <xf numFmtId="0" fontId="14" fillId="0" borderId="37" xfId="0" applyFont="1" applyBorder="1" applyProtection="1">
      <protection locked="0"/>
    </xf>
    <xf numFmtId="0" fontId="34" fillId="0" borderId="0" xfId="0" applyFont="1" applyProtection="1">
      <protection locked="0"/>
    </xf>
    <xf numFmtId="0" fontId="0" fillId="0" borderId="25" xfId="0" applyBorder="1" applyAlignment="1" applyProtection="1">
      <alignment horizontal="left"/>
      <protection locked="0"/>
    </xf>
    <xf numFmtId="14" fontId="14" fillId="0" borderId="25" xfId="0" applyNumberFormat="1" applyFont="1" applyBorder="1" applyAlignment="1" applyProtection="1">
      <alignment horizontal="left"/>
      <protection locked="0"/>
    </xf>
    <xf numFmtId="0" fontId="14" fillId="0" borderId="25" xfId="0" applyFont="1" applyBorder="1" applyAlignment="1" applyProtection="1">
      <alignment horizontal="left"/>
      <protection locked="0"/>
    </xf>
    <xf numFmtId="0" fontId="54" fillId="10" borderId="86" xfId="15" applyFont="1" applyFill="1" applyBorder="1" applyAlignment="1">
      <alignment horizontal="left" vertical="center" wrapText="1"/>
    </xf>
    <xf numFmtId="39" fontId="55" fillId="0" borderId="37" xfId="1" applyNumberFormat="1" applyFont="1" applyFill="1" applyBorder="1" applyAlignment="1" applyProtection="1">
      <alignment horizontal="center" vertical="center" wrapText="1"/>
      <protection locked="0"/>
    </xf>
    <xf numFmtId="0" fontId="54" fillId="10" borderId="45" xfId="15" applyFont="1" applyFill="1" applyBorder="1" applyAlignment="1">
      <alignment horizontal="left" vertical="center" wrapText="1"/>
    </xf>
    <xf numFmtId="173" fontId="55" fillId="0" borderId="84" xfId="1" applyNumberFormat="1" applyFont="1" applyFill="1" applyBorder="1" applyAlignment="1" applyProtection="1">
      <alignment horizontal="center" vertical="center" wrapText="1"/>
      <protection locked="0"/>
    </xf>
    <xf numFmtId="0" fontId="54" fillId="10" borderId="66" xfId="0" applyFont="1" applyFill="1" applyBorder="1" applyAlignment="1">
      <alignment horizontal="centerContinuous"/>
    </xf>
    <xf numFmtId="0" fontId="54" fillId="10" borderId="83" xfId="0" applyFont="1" applyFill="1" applyBorder="1" applyAlignment="1">
      <alignment horizontal="centerContinuous"/>
    </xf>
    <xf numFmtId="173" fontId="55" fillId="0" borderId="92" xfId="1" applyNumberFormat="1" applyFont="1" applyFill="1" applyBorder="1" applyAlignment="1" applyProtection="1">
      <alignment horizontal="center" vertical="center" wrapText="1"/>
      <protection locked="0"/>
    </xf>
    <xf numFmtId="9" fontId="55" fillId="0" borderId="92" xfId="1" applyNumberFormat="1" applyFont="1" applyFill="1" applyBorder="1" applyAlignment="1" applyProtection="1">
      <alignment horizontal="center" vertical="center" wrapText="1"/>
      <protection locked="0"/>
    </xf>
    <xf numFmtId="9" fontId="55" fillId="0" borderId="93" xfId="1" applyNumberFormat="1" applyFont="1" applyFill="1" applyBorder="1" applyAlignment="1" applyProtection="1">
      <alignment horizontal="center" vertical="center" wrapText="1"/>
      <protection locked="0"/>
    </xf>
    <xf numFmtId="0" fontId="54" fillId="10" borderId="66" xfId="0" applyFont="1" applyFill="1" applyBorder="1" applyAlignment="1">
      <alignment horizontal="center"/>
    </xf>
    <xf numFmtId="0" fontId="49" fillId="10" borderId="29" xfId="6" applyFont="1" applyFill="1" applyBorder="1" applyAlignment="1">
      <alignment vertical="center"/>
    </xf>
    <xf numFmtId="0" fontId="54" fillId="10" borderId="54" xfId="12" applyFont="1" applyFill="1" applyBorder="1" applyAlignment="1">
      <alignment vertical="center" wrapText="1"/>
    </xf>
    <xf numFmtId="0" fontId="54" fillId="10" borderId="86" xfId="12" applyFont="1" applyFill="1" applyBorder="1" applyAlignment="1">
      <alignment vertical="center" wrapText="1"/>
    </xf>
    <xf numFmtId="0" fontId="49" fillId="10" borderId="9" xfId="6" applyFont="1" applyFill="1" applyBorder="1" applyAlignment="1">
      <alignment vertical="center"/>
    </xf>
    <xf numFmtId="0" fontId="54" fillId="10" borderId="45" xfId="18" applyFont="1" applyFill="1" applyBorder="1" applyAlignment="1">
      <alignment vertical="center" wrapText="1"/>
    </xf>
    <xf numFmtId="0" fontId="54" fillId="10" borderId="86" xfId="18" applyFont="1" applyFill="1" applyBorder="1" applyAlignment="1">
      <alignment vertical="center" wrapText="1"/>
    </xf>
    <xf numFmtId="0" fontId="49" fillId="10" borderId="96" xfId="6" applyFont="1" applyFill="1" applyBorder="1" applyAlignment="1">
      <alignment vertical="center"/>
    </xf>
    <xf numFmtId="0" fontId="49" fillId="10" borderId="36" xfId="6" applyFont="1" applyFill="1" applyBorder="1" applyAlignment="1">
      <alignment vertical="center"/>
    </xf>
    <xf numFmtId="0" fontId="49" fillId="10" borderId="32" xfId="6" applyFont="1" applyFill="1" applyBorder="1" applyAlignment="1">
      <alignment horizontal="center"/>
    </xf>
    <xf numFmtId="0" fontId="49" fillId="10" borderId="66" xfId="6" applyFont="1" applyFill="1" applyBorder="1" applyAlignment="1">
      <alignment vertical="center"/>
    </xf>
    <xf numFmtId="0" fontId="49" fillId="10" borderId="97" xfId="6" applyFont="1" applyFill="1" applyBorder="1" applyAlignment="1">
      <alignment vertical="center"/>
    </xf>
    <xf numFmtId="0" fontId="54" fillId="10" borderId="54" xfId="18" applyFont="1" applyFill="1" applyBorder="1" applyAlignment="1">
      <alignment vertical="center" wrapText="1"/>
    </xf>
    <xf numFmtId="0" fontId="34" fillId="0" borderId="98" xfId="0" applyFont="1" applyBorder="1"/>
    <xf numFmtId="0" fontId="54" fillId="10" borderId="18" xfId="12" applyFont="1" applyFill="1" applyBorder="1" applyAlignment="1">
      <alignment vertical="center" wrapText="1"/>
    </xf>
    <xf numFmtId="173" fontId="7" fillId="0" borderId="37" xfId="75" applyNumberFormat="1" applyBorder="1" applyAlignment="1" applyProtection="1">
      <alignment vertical="center"/>
      <protection locked="0"/>
    </xf>
    <xf numFmtId="0" fontId="0" fillId="0" borderId="0" xfId="0" applyAlignment="1">
      <alignment horizontal="left" wrapText="1"/>
    </xf>
    <xf numFmtId="0" fontId="0" fillId="0" borderId="0" xfId="0" applyAlignment="1">
      <alignment vertical="center"/>
    </xf>
    <xf numFmtId="0" fontId="55" fillId="0" borderId="53" xfId="6" applyFont="1" applyBorder="1" applyAlignment="1" applyProtection="1">
      <alignment vertical="center"/>
      <protection locked="0"/>
    </xf>
    <xf numFmtId="0" fontId="55" fillId="0" borderId="53" xfId="6" applyFont="1" applyBorder="1" applyAlignment="1" applyProtection="1">
      <alignment horizontal="center" vertical="center"/>
      <protection locked="0"/>
    </xf>
    <xf numFmtId="0" fontId="0" fillId="10" borderId="0" xfId="0" applyFill="1" applyProtection="1">
      <protection locked="0"/>
    </xf>
    <xf numFmtId="0" fontId="54" fillId="10" borderId="0" xfId="6" applyFont="1" applyFill="1" applyAlignment="1">
      <alignment horizontal="left" vertical="center" wrapText="1"/>
    </xf>
    <xf numFmtId="0" fontId="55" fillId="0" borderId="0" xfId="6" applyFont="1" applyAlignment="1" applyProtection="1">
      <alignment horizontal="left" vertical="center" wrapText="1"/>
      <protection locked="0"/>
    </xf>
    <xf numFmtId="0" fontId="55" fillId="0" borderId="0" xfId="6" applyFont="1" applyAlignment="1" applyProtection="1">
      <alignment horizontal="left" wrapText="1"/>
      <protection locked="0"/>
    </xf>
    <xf numFmtId="0" fontId="55" fillId="0" borderId="0" xfId="6" applyFont="1" applyAlignment="1" applyProtection="1">
      <alignment horizontal="left" vertical="center"/>
      <protection locked="0"/>
    </xf>
    <xf numFmtId="0" fontId="54" fillId="10" borderId="10" xfId="6" applyFont="1" applyFill="1" applyBorder="1" applyAlignment="1">
      <alignment horizontal="left" vertical="center" wrapText="1"/>
    </xf>
    <xf numFmtId="0" fontId="55" fillId="0" borderId="10" xfId="6" applyFont="1" applyBorder="1" applyAlignment="1" applyProtection="1">
      <alignment horizontal="left" vertical="center" wrapText="1"/>
      <protection locked="0"/>
    </xf>
    <xf numFmtId="39" fontId="55" fillId="0" borderId="107" xfId="1" applyNumberFormat="1" applyFont="1" applyFill="1" applyBorder="1" applyAlignment="1" applyProtection="1">
      <alignment horizontal="center" vertical="center" wrapText="1"/>
      <protection locked="0"/>
    </xf>
    <xf numFmtId="0" fontId="54" fillId="10" borderId="83" xfId="6" applyFont="1" applyFill="1" applyBorder="1" applyAlignment="1">
      <alignment horizontal="center" vertical="center"/>
    </xf>
    <xf numFmtId="0" fontId="54" fillId="10" borderId="36" xfId="6" applyFont="1" applyFill="1" applyBorder="1" applyAlignment="1">
      <alignment horizontal="center" vertical="center"/>
    </xf>
    <xf numFmtId="0" fontId="54" fillId="10" borderId="66" xfId="6" applyFont="1" applyFill="1" applyBorder="1" applyAlignment="1">
      <alignment horizontal="center" vertical="center"/>
    </xf>
    <xf numFmtId="0" fontId="54" fillId="10" borderId="11" xfId="0" applyFont="1" applyFill="1" applyBorder="1" applyAlignment="1">
      <alignment horizontal="center" vertical="center"/>
    </xf>
    <xf numFmtId="0" fontId="36" fillId="10" borderId="54" xfId="0" applyFont="1" applyFill="1" applyBorder="1" applyAlignment="1">
      <alignment horizontal="left" vertical="center" wrapText="1"/>
    </xf>
    <xf numFmtId="0" fontId="54" fillId="10" borderId="23" xfId="6" applyFont="1" applyFill="1" applyBorder="1" applyAlignment="1">
      <alignment horizontal="center" vertical="center"/>
    </xf>
    <xf numFmtId="0" fontId="54" fillId="10" borderId="108" xfId="6" applyFont="1" applyFill="1" applyBorder="1" applyAlignment="1">
      <alignment horizontal="left" vertical="center" wrapText="1"/>
    </xf>
    <xf numFmtId="0" fontId="49" fillId="10" borderId="28" xfId="6" applyFont="1" applyFill="1" applyBorder="1" applyAlignment="1">
      <alignment horizontal="center"/>
    </xf>
    <xf numFmtId="0" fontId="36" fillId="10" borderId="86" xfId="0" applyFont="1" applyFill="1" applyBorder="1" applyAlignment="1">
      <alignment horizontal="left" vertical="center" wrapText="1"/>
    </xf>
    <xf numFmtId="0" fontId="82" fillId="18" borderId="0" xfId="0" applyFont="1" applyFill="1" applyAlignment="1">
      <alignment horizontal="right"/>
    </xf>
    <xf numFmtId="0" fontId="0" fillId="0" borderId="79" xfId="0" applyBorder="1"/>
    <xf numFmtId="0" fontId="14" fillId="0" borderId="79" xfId="0" applyFont="1" applyBorder="1"/>
    <xf numFmtId="0" fontId="86" fillId="0" borderId="0" xfId="4" applyFont="1" applyAlignment="1" applyProtection="1">
      <alignment horizontal="center"/>
    </xf>
    <xf numFmtId="3" fontId="0" fillId="0" borderId="0" xfId="0" applyNumberFormat="1"/>
    <xf numFmtId="0" fontId="49" fillId="10" borderId="28" xfId="6" applyFont="1" applyFill="1" applyBorder="1" applyAlignment="1">
      <alignment vertical="center"/>
    </xf>
    <xf numFmtId="167" fontId="38" fillId="6" borderId="50" xfId="0" applyNumberFormat="1" applyFont="1" applyFill="1" applyBorder="1" applyAlignment="1">
      <alignment horizontal="center"/>
    </xf>
    <xf numFmtId="2" fontId="38" fillId="6" borderId="50" xfId="0" applyNumberFormat="1" applyFont="1" applyFill="1" applyBorder="1" applyAlignment="1">
      <alignment horizontal="center"/>
    </xf>
    <xf numFmtId="9" fontId="38" fillId="6" borderId="50" xfId="5" applyFont="1" applyFill="1" applyBorder="1" applyAlignment="1">
      <alignment horizontal="center"/>
    </xf>
    <xf numFmtId="0" fontId="57" fillId="12" borderId="79" xfId="6" applyFont="1" applyFill="1" applyBorder="1" applyAlignment="1">
      <alignment vertical="center"/>
    </xf>
    <xf numFmtId="0" fontId="57" fillId="12" borderId="85" xfId="6" applyFont="1" applyFill="1" applyBorder="1"/>
    <xf numFmtId="0" fontId="49" fillId="10" borderId="81" xfId="6" applyFont="1" applyFill="1" applyBorder="1" applyAlignment="1">
      <alignment horizontal="center"/>
    </xf>
    <xf numFmtId="0" fontId="57" fillId="15" borderId="79" xfId="6" applyFont="1" applyFill="1" applyBorder="1" applyAlignment="1">
      <alignment vertical="center"/>
    </xf>
    <xf numFmtId="0" fontId="57" fillId="15" borderId="85" xfId="6" applyFont="1" applyFill="1" applyBorder="1" applyAlignment="1">
      <alignment vertical="top"/>
    </xf>
    <xf numFmtId="0" fontId="57" fillId="11" borderId="79" xfId="6" quotePrefix="1" applyFont="1" applyFill="1" applyBorder="1" applyAlignment="1">
      <alignment vertical="center"/>
    </xf>
    <xf numFmtId="0" fontId="57" fillId="11" borderId="85" xfId="6" quotePrefix="1" applyFont="1" applyFill="1" applyBorder="1"/>
    <xf numFmtId="0" fontId="57" fillId="11" borderId="79" xfId="6" quotePrefix="1" applyFont="1" applyFill="1" applyBorder="1"/>
    <xf numFmtId="0" fontId="49" fillId="10" borderId="81" xfId="6" applyFont="1" applyFill="1" applyBorder="1" applyAlignment="1">
      <alignment horizontal="center" vertical="center"/>
    </xf>
    <xf numFmtId="10" fontId="14" fillId="0" borderId="0" xfId="5" applyNumberFormat="1" applyFont="1"/>
    <xf numFmtId="10" fontId="14" fillId="0" borderId="0" xfId="5" applyNumberFormat="1" applyFont="1" applyFill="1"/>
    <xf numFmtId="0" fontId="14" fillId="2" borderId="11" xfId="0" applyFont="1" applyFill="1" applyBorder="1"/>
    <xf numFmtId="10" fontId="14" fillId="2" borderId="15" xfId="5" applyNumberFormat="1" applyFont="1" applyFill="1" applyBorder="1" applyAlignment="1">
      <alignment horizontal="right"/>
    </xf>
    <xf numFmtId="0" fontId="14" fillId="2" borderId="15" xfId="0" applyFont="1" applyFill="1" applyBorder="1" applyAlignment="1">
      <alignment horizontal="right"/>
    </xf>
    <xf numFmtId="49" fontId="14" fillId="0" borderId="8" xfId="0" applyNumberFormat="1" applyFont="1" applyBorder="1"/>
    <xf numFmtId="0" fontId="14" fillId="0" borderId="23" xfId="0" applyFont="1" applyBorder="1"/>
    <xf numFmtId="168" fontId="14" fillId="0" borderId="24" xfId="5" applyNumberFormat="1" applyFont="1" applyBorder="1"/>
    <xf numFmtId="0" fontId="14" fillId="0" borderId="8" xfId="0" applyFont="1" applyBorder="1"/>
    <xf numFmtId="10" fontId="14" fillId="0" borderId="17" xfId="0" applyNumberFormat="1" applyFont="1" applyBorder="1"/>
    <xf numFmtId="10" fontId="14" fillId="0" borderId="17" xfId="5" applyNumberFormat="1" applyFont="1" applyBorder="1" applyAlignment="1">
      <alignment horizontal="center"/>
    </xf>
    <xf numFmtId="168" fontId="14" fillId="0" borderId="17" xfId="5" applyNumberFormat="1" applyFont="1" applyBorder="1"/>
    <xf numFmtId="0" fontId="14" fillId="0" borderId="8" xfId="0" applyFont="1" applyBorder="1" applyAlignment="1">
      <alignment horizontal="left"/>
    </xf>
    <xf numFmtId="0" fontId="14" fillId="0" borderId="9" xfId="0" applyFont="1" applyBorder="1"/>
    <xf numFmtId="168" fontId="14" fillId="0" borderId="18" xfId="5" applyNumberFormat="1" applyFont="1" applyBorder="1"/>
    <xf numFmtId="10" fontId="14" fillId="0" borderId="18" xfId="0" applyNumberFormat="1" applyFont="1" applyBorder="1"/>
    <xf numFmtId="0" fontId="14" fillId="0" borderId="10" xfId="0" applyFont="1" applyBorder="1"/>
    <xf numFmtId="10" fontId="14" fillId="0" borderId="18" xfId="5" applyNumberFormat="1" applyFont="1" applyBorder="1" applyAlignment="1">
      <alignment horizontal="center"/>
    </xf>
    <xf numFmtId="0" fontId="16" fillId="0" borderId="85" xfId="0" quotePrefix="1" applyFont="1" applyBorder="1" applyAlignment="1">
      <alignment horizontal="left" wrapText="1"/>
    </xf>
    <xf numFmtId="0" fontId="49" fillId="10" borderId="0" xfId="6" applyFont="1" applyFill="1" applyAlignment="1">
      <alignment vertical="center"/>
    </xf>
    <xf numFmtId="0" fontId="49" fillId="10" borderId="28" xfId="6" applyFont="1" applyFill="1" applyBorder="1" applyAlignment="1">
      <alignment horizontal="center" vertical="center"/>
    </xf>
    <xf numFmtId="0" fontId="54" fillId="10" borderId="47" xfId="6" applyFont="1" applyFill="1" applyBorder="1" applyAlignment="1">
      <alignment horizontal="center" vertical="center"/>
    </xf>
    <xf numFmtId="0" fontId="54" fillId="10" borderId="33" xfId="6" applyFont="1" applyFill="1" applyBorder="1" applyAlignment="1">
      <alignment horizontal="center" vertical="center"/>
    </xf>
    <xf numFmtId="0" fontId="54" fillId="10" borderId="0" xfId="6" applyFont="1" applyFill="1" applyAlignment="1">
      <alignment horizontal="center" vertical="center"/>
    </xf>
    <xf numFmtId="0" fontId="89" fillId="0" borderId="0" xfId="0" applyFont="1" applyAlignment="1">
      <alignment horizontal="left" vertical="center" indent="2"/>
    </xf>
    <xf numFmtId="0" fontId="89" fillId="0" borderId="0" xfId="0" applyFont="1" applyAlignment="1">
      <alignment vertical="center"/>
    </xf>
    <xf numFmtId="0" fontId="90" fillId="0" borderId="0" xfId="0" applyFont="1" applyAlignment="1">
      <alignment vertical="center"/>
    </xf>
    <xf numFmtId="0" fontId="54" fillId="10" borderId="51" xfId="6" applyFont="1" applyFill="1" applyBorder="1" applyAlignment="1">
      <alignment vertical="center" wrapText="1"/>
    </xf>
    <xf numFmtId="0" fontId="6" fillId="0" borderId="0" xfId="6" applyFont="1"/>
    <xf numFmtId="0" fontId="6" fillId="17" borderId="8" xfId="0" applyFont="1" applyFill="1" applyBorder="1"/>
    <xf numFmtId="0" fontId="6" fillId="17" borderId="9" xfId="0" applyFont="1" applyFill="1" applyBorder="1"/>
    <xf numFmtId="0" fontId="6" fillId="16" borderId="25" xfId="6" applyFont="1" applyFill="1" applyBorder="1" applyAlignment="1" applyProtection="1">
      <alignment horizontal="center" vertical="center"/>
      <protection locked="0"/>
    </xf>
    <xf numFmtId="9" fontId="6" fillId="0" borderId="90" xfId="6" applyNumberFormat="1" applyFont="1" applyBorder="1" applyAlignment="1" applyProtection="1">
      <alignment vertical="center"/>
      <protection locked="0"/>
    </xf>
    <xf numFmtId="0" fontId="6" fillId="16" borderId="53" xfId="6" applyFont="1" applyFill="1" applyBorder="1" applyAlignment="1" applyProtection="1">
      <alignment horizontal="center" vertical="center"/>
      <protection locked="0"/>
    </xf>
    <xf numFmtId="0" fontId="6" fillId="16" borderId="102" xfId="6" applyFont="1" applyFill="1" applyBorder="1" applyAlignment="1" applyProtection="1">
      <alignment horizontal="center" vertical="center"/>
      <protection locked="0"/>
    </xf>
    <xf numFmtId="0" fontId="6" fillId="16" borderId="103" xfId="6" applyFont="1" applyFill="1" applyBorder="1" applyAlignment="1" applyProtection="1">
      <alignment horizontal="center" vertical="center"/>
      <protection locked="0"/>
    </xf>
    <xf numFmtId="167" fontId="6" fillId="0" borderId="43" xfId="6" applyNumberFormat="1" applyFont="1" applyBorder="1" applyAlignment="1" applyProtection="1">
      <alignment vertical="center"/>
      <protection locked="0"/>
    </xf>
    <xf numFmtId="4" fontId="6" fillId="0" borderId="90" xfId="6" applyNumberFormat="1" applyFont="1" applyBorder="1" applyAlignment="1" applyProtection="1">
      <alignment vertical="center"/>
      <protection locked="0"/>
    </xf>
    <xf numFmtId="4" fontId="6" fillId="0" borderId="107" xfId="6" applyNumberFormat="1" applyFont="1" applyBorder="1" applyAlignment="1" applyProtection="1">
      <alignment vertical="center"/>
      <protection locked="0"/>
    </xf>
    <xf numFmtId="0" fontId="6" fillId="0" borderId="50" xfId="6" applyFont="1" applyBorder="1" applyAlignment="1" applyProtection="1">
      <alignment vertical="center" wrapText="1"/>
      <protection locked="0"/>
    </xf>
    <xf numFmtId="3" fontId="6" fillId="0" borderId="53" xfId="6" applyNumberFormat="1" applyFont="1" applyBorder="1" applyAlignment="1" applyProtection="1">
      <alignment vertical="center"/>
      <protection locked="0"/>
    </xf>
    <xf numFmtId="173" fontId="6" fillId="0" borderId="90" xfId="6" applyNumberFormat="1" applyFont="1" applyBorder="1" applyAlignment="1" applyProtection="1">
      <alignment vertical="center"/>
      <protection locked="0"/>
    </xf>
    <xf numFmtId="3" fontId="6" fillId="0" borderId="25" xfId="6" applyNumberFormat="1" applyFont="1" applyBorder="1" applyAlignment="1" applyProtection="1">
      <alignment vertical="center"/>
      <protection locked="0"/>
    </xf>
    <xf numFmtId="167" fontId="6" fillId="0" borderId="90" xfId="6" applyNumberFormat="1" applyFont="1" applyBorder="1" applyAlignment="1" applyProtection="1">
      <alignment vertical="center"/>
      <protection locked="0"/>
    </xf>
    <xf numFmtId="0" fontId="6" fillId="16" borderId="50" xfId="6" applyFont="1" applyFill="1" applyBorder="1" applyAlignment="1" applyProtection="1">
      <alignment horizontal="center" vertical="center"/>
      <protection locked="0"/>
    </xf>
    <xf numFmtId="0" fontId="6" fillId="0" borderId="53" xfId="6" applyFont="1" applyBorder="1" applyAlignment="1" applyProtection="1">
      <alignment vertical="center"/>
      <protection locked="0"/>
    </xf>
    <xf numFmtId="4" fontId="6" fillId="0" borderId="37" xfId="6" applyNumberFormat="1" applyFont="1" applyBorder="1" applyAlignment="1" applyProtection="1">
      <alignment vertical="center"/>
      <protection locked="0"/>
    </xf>
    <xf numFmtId="0" fontId="6" fillId="0" borderId="50" xfId="6" applyFont="1" applyBorder="1" applyAlignment="1" applyProtection="1">
      <alignment horizontal="left" vertical="center" wrapText="1"/>
      <protection locked="0"/>
    </xf>
    <xf numFmtId="173" fontId="6" fillId="0" borderId="37" xfId="6" applyNumberFormat="1" applyFont="1" applyBorder="1" applyAlignment="1" applyProtection="1">
      <alignment vertical="center"/>
      <protection locked="0"/>
    </xf>
    <xf numFmtId="9" fontId="6" fillId="0" borderId="90" xfId="5" applyFont="1" applyBorder="1" applyAlignment="1" applyProtection="1">
      <alignment vertical="center"/>
      <protection locked="0"/>
    </xf>
    <xf numFmtId="0" fontId="6" fillId="0" borderId="43" xfId="6" applyFont="1" applyBorder="1" applyAlignment="1" applyProtection="1">
      <alignment horizontal="center" vertical="center"/>
      <protection locked="0"/>
    </xf>
    <xf numFmtId="9" fontId="6" fillId="0" borderId="37" xfId="6" applyNumberFormat="1" applyFont="1" applyBorder="1" applyAlignment="1" applyProtection="1">
      <alignment vertical="center"/>
      <protection locked="0"/>
    </xf>
    <xf numFmtId="167" fontId="6" fillId="0" borderId="37" xfId="6" applyNumberFormat="1" applyFont="1" applyBorder="1" applyAlignment="1" applyProtection="1">
      <alignment vertical="center"/>
      <protection locked="0"/>
    </xf>
    <xf numFmtId="9" fontId="6" fillId="0" borderId="37" xfId="5" applyFont="1" applyBorder="1" applyAlignment="1" applyProtection="1">
      <alignment vertical="center"/>
      <protection locked="0"/>
    </xf>
    <xf numFmtId="9" fontId="6" fillId="0" borderId="53" xfId="6" applyNumberFormat="1" applyFont="1" applyBorder="1" applyAlignment="1" applyProtection="1">
      <alignment horizontal="center" vertical="center"/>
      <protection locked="0"/>
    </xf>
    <xf numFmtId="9" fontId="6" fillId="0" borderId="53" xfId="6" applyNumberFormat="1" applyFont="1" applyBorder="1" applyAlignment="1" applyProtection="1">
      <alignment vertical="center"/>
      <protection locked="0"/>
    </xf>
    <xf numFmtId="0" fontId="6" fillId="10" borderId="0" xfId="6" applyFont="1" applyFill="1" applyAlignment="1">
      <alignment vertical="center" wrapText="1"/>
    </xf>
    <xf numFmtId="173" fontId="6" fillId="0" borderId="53" xfId="6" applyNumberFormat="1" applyFont="1" applyBorder="1" applyAlignment="1" applyProtection="1">
      <alignment horizontal="center" vertical="center"/>
      <protection locked="0"/>
    </xf>
    <xf numFmtId="0" fontId="38" fillId="10" borderId="109" xfId="0" applyFont="1" applyFill="1" applyBorder="1" applyAlignment="1">
      <alignment horizontal="center"/>
    </xf>
    <xf numFmtId="0" fontId="34" fillId="0" borderId="109" xfId="0" applyFont="1" applyBorder="1" applyAlignment="1" applyProtection="1">
      <alignment horizontal="left"/>
      <protection locked="0"/>
    </xf>
    <xf numFmtId="0" fontId="34" fillId="0" borderId="109" xfId="0" applyFont="1" applyBorder="1" applyProtection="1">
      <protection locked="0"/>
    </xf>
    <xf numFmtId="0" fontId="89" fillId="23" borderId="111" xfId="0" applyFont="1" applyFill="1" applyBorder="1" applyAlignment="1">
      <alignment horizontal="left" vertical="center" indent="2"/>
    </xf>
    <xf numFmtId="0" fontId="0" fillId="0" borderId="111" xfId="0" applyBorder="1"/>
    <xf numFmtId="0" fontId="16" fillId="21" borderId="111" xfId="0" applyFont="1" applyFill="1" applyBorder="1"/>
    <xf numFmtId="0" fontId="14" fillId="0" borderId="111" xfId="0" applyFont="1" applyBorder="1"/>
    <xf numFmtId="9" fontId="0" fillId="0" borderId="111" xfId="0" applyNumberFormat="1" applyBorder="1"/>
    <xf numFmtId="177" fontId="0" fillId="0" borderId="111" xfId="2" applyNumberFormat="1" applyFont="1" applyBorder="1"/>
    <xf numFmtId="9" fontId="19" fillId="0" borderId="111" xfId="4" applyNumberFormat="1" applyBorder="1" applyAlignment="1" applyProtection="1">
      <alignment horizontal="right"/>
    </xf>
    <xf numFmtId="5" fontId="0" fillId="0" borderId="111" xfId="0" applyNumberFormat="1" applyBorder="1"/>
    <xf numFmtId="169" fontId="0" fillId="0" borderId="111" xfId="1" applyNumberFormat="1" applyFont="1" applyBorder="1"/>
    <xf numFmtId="14" fontId="0" fillId="0" borderId="111" xfId="0" applyNumberFormat="1" applyBorder="1"/>
    <xf numFmtId="0" fontId="19" fillId="0" borderId="111" xfId="4" quotePrefix="1" applyBorder="1" applyAlignment="1" applyProtection="1">
      <alignment horizontal="right"/>
    </xf>
    <xf numFmtId="1" fontId="0" fillId="0" borderId="111" xfId="0" applyNumberFormat="1" applyBorder="1"/>
    <xf numFmtId="3" fontId="0" fillId="0" borderId="111" xfId="0" applyNumberFormat="1" applyBorder="1"/>
    <xf numFmtId="2" fontId="0" fillId="0" borderId="111" xfId="0" applyNumberFormat="1" applyBorder="1"/>
    <xf numFmtId="168" fontId="0" fillId="0" borderId="111" xfId="0" applyNumberFormat="1" applyBorder="1"/>
    <xf numFmtId="4" fontId="0" fillId="21" borderId="111" xfId="0" applyNumberFormat="1" applyFill="1" applyBorder="1"/>
    <xf numFmtId="7" fontId="0" fillId="0" borderId="111" xfId="0" applyNumberFormat="1" applyBorder="1"/>
    <xf numFmtId="169" fontId="0" fillId="0" borderId="111" xfId="0" applyNumberFormat="1" applyBorder="1"/>
    <xf numFmtId="0" fontId="86" fillId="0" borderId="111" xfId="4" applyFont="1" applyBorder="1" applyAlignment="1" applyProtection="1">
      <alignment horizontal="center"/>
    </xf>
    <xf numFmtId="0" fontId="19" fillId="0" borderId="111" xfId="4" applyBorder="1" applyAlignment="1" applyProtection="1">
      <alignment horizontal="right"/>
    </xf>
    <xf numFmtId="173" fontId="0" fillId="0" borderId="111" xfId="0" applyNumberFormat="1" applyBorder="1"/>
    <xf numFmtId="0" fontId="0" fillId="0" borderId="111" xfId="0" applyBorder="1" applyAlignment="1">
      <alignment horizontal="left"/>
    </xf>
    <xf numFmtId="173" fontId="0" fillId="0" borderId="111" xfId="2" applyNumberFormat="1" applyFont="1" applyBorder="1"/>
    <xf numFmtId="0" fontId="0" fillId="0" borderId="111" xfId="0" applyBorder="1" applyAlignment="1">
      <alignment horizontal="center"/>
    </xf>
    <xf numFmtId="0" fontId="0" fillId="3" borderId="111" xfId="0" applyFill="1" applyBorder="1" applyAlignment="1">
      <alignment horizontal="center"/>
    </xf>
    <xf numFmtId="8" fontId="0" fillId="3" borderId="111" xfId="3" applyNumberFormat="1" applyFont="1" applyFill="1" applyBorder="1"/>
    <xf numFmtId="37" fontId="0" fillId="0" borderId="111" xfId="3" applyNumberFormat="1" applyFont="1" applyFill="1" applyBorder="1" applyAlignment="1">
      <alignment horizontal="center"/>
    </xf>
    <xf numFmtId="44" fontId="0" fillId="0" borderId="111" xfId="0" applyNumberFormat="1" applyBorder="1"/>
    <xf numFmtId="44" fontId="0" fillId="0" borderId="111" xfId="3" applyFont="1" applyBorder="1"/>
    <xf numFmtId="0" fontId="14" fillId="3" borderId="111" xfId="0" applyFont="1" applyFill="1" applyBorder="1" applyAlignment="1">
      <alignment horizontal="center"/>
    </xf>
    <xf numFmtId="44" fontId="0" fillId="3" borderId="111" xfId="3" applyFont="1" applyFill="1" applyBorder="1" applyAlignment="1">
      <alignment horizontal="center"/>
    </xf>
    <xf numFmtId="170" fontId="0" fillId="0" borderId="111" xfId="0" applyNumberFormat="1" applyBorder="1" applyAlignment="1">
      <alignment horizontal="center"/>
    </xf>
    <xf numFmtId="171" fontId="0" fillId="0" borderId="111" xfId="0" applyNumberFormat="1" applyBorder="1" applyAlignment="1">
      <alignment horizontal="center"/>
    </xf>
    <xf numFmtId="0" fontId="14" fillId="0" borderId="111" xfId="0" applyFont="1" applyBorder="1" applyAlignment="1">
      <alignment horizontal="center"/>
    </xf>
    <xf numFmtId="171" fontId="0" fillId="0" borderId="111" xfId="0" applyNumberFormat="1" applyBorder="1"/>
    <xf numFmtId="44" fontId="0" fillId="3" borderId="111" xfId="3" applyFont="1" applyFill="1" applyBorder="1"/>
    <xf numFmtId="0" fontId="55" fillId="10" borderId="54" xfId="15" applyFont="1" applyFill="1" applyBorder="1" applyAlignment="1">
      <alignment horizontal="left" vertical="center" wrapText="1"/>
    </xf>
    <xf numFmtId="0" fontId="28" fillId="0" borderId="0" xfId="0" applyFont="1"/>
    <xf numFmtId="0" fontId="21" fillId="0" borderId="0" xfId="0" applyFont="1"/>
    <xf numFmtId="0" fontId="0" fillId="0" borderId="0" xfId="0" applyAlignment="1">
      <alignment wrapText="1"/>
    </xf>
    <xf numFmtId="0" fontId="22" fillId="7" borderId="19" xfId="0" applyFont="1" applyFill="1" applyBorder="1"/>
    <xf numFmtId="0" fontId="22" fillId="7" borderId="1" xfId="0" applyFont="1" applyFill="1" applyBorder="1" applyAlignment="1">
      <alignment horizontal="center"/>
    </xf>
    <xf numFmtId="14" fontId="22" fillId="7" borderId="1" xfId="0" applyNumberFormat="1" applyFont="1" applyFill="1" applyBorder="1" applyAlignment="1">
      <alignment horizontal="center"/>
    </xf>
    <xf numFmtId="166" fontId="22" fillId="7" borderId="1" xfId="0" applyNumberFormat="1" applyFont="1" applyFill="1" applyBorder="1" applyAlignment="1">
      <alignment horizontal="center"/>
    </xf>
    <xf numFmtId="166" fontId="79" fillId="7" borderId="1" xfId="0" applyNumberFormat="1" applyFont="1" applyFill="1" applyBorder="1" applyAlignment="1">
      <alignment horizontal="center"/>
    </xf>
    <xf numFmtId="0" fontId="14" fillId="0" borderId="2" xfId="0" applyFont="1" applyBorder="1"/>
    <xf numFmtId="0" fontId="14" fillId="5" borderId="111" xfId="0" applyFont="1" applyFill="1" applyBorder="1"/>
    <xf numFmtId="8" fontId="14" fillId="5" borderId="111" xfId="0" applyNumberFormat="1" applyFont="1" applyFill="1" applyBorder="1" applyAlignment="1">
      <alignment horizontal="center"/>
    </xf>
    <xf numFmtId="0" fontId="0" fillId="2" borderId="3" xfId="0" applyFill="1" applyBorder="1"/>
    <xf numFmtId="10" fontId="14" fillId="2" borderId="3" xfId="5" applyNumberFormat="1" applyFont="1" applyFill="1" applyBorder="1" applyAlignment="1" applyProtection="1">
      <alignment horizontal="center"/>
    </xf>
    <xf numFmtId="6" fontId="14" fillId="5" borderId="111" xfId="0" applyNumberFormat="1" applyFont="1" applyFill="1" applyBorder="1" applyAlignment="1">
      <alignment horizontal="center"/>
    </xf>
    <xf numFmtId="9" fontId="14" fillId="0" borderId="111" xfId="5" applyFont="1" applyBorder="1" applyAlignment="1" applyProtection="1">
      <alignment horizontal="center"/>
    </xf>
    <xf numFmtId="43" fontId="17" fillId="0" borderId="0" xfId="1" applyFont="1" applyProtection="1"/>
    <xf numFmtId="0" fontId="14" fillId="2" borderId="3" xfId="0" applyFont="1" applyFill="1" applyBorder="1" applyAlignment="1">
      <alignment horizontal="center"/>
    </xf>
    <xf numFmtId="8" fontId="14" fillId="0" borderId="111" xfId="0" applyNumberFormat="1" applyFont="1" applyBorder="1" applyAlignment="1">
      <alignment horizontal="center"/>
    </xf>
    <xf numFmtId="0" fontId="0" fillId="0" borderId="111" xfId="0" applyBorder="1" applyAlignment="1">
      <alignment horizontal="left" wrapText="1"/>
    </xf>
    <xf numFmtId="0" fontId="0" fillId="2" borderId="3" xfId="0" applyFill="1" applyBorder="1" applyAlignment="1">
      <alignment horizontal="left"/>
    </xf>
    <xf numFmtId="165" fontId="14" fillId="2" borderId="3" xfId="0" applyNumberFormat="1" applyFont="1" applyFill="1" applyBorder="1" applyAlignment="1">
      <alignment horizontal="center"/>
    </xf>
    <xf numFmtId="0" fontId="0" fillId="5" borderId="111" xfId="0" applyFill="1" applyBorder="1"/>
    <xf numFmtId="167" fontId="14" fillId="5" borderId="111" xfId="0" applyNumberFormat="1" applyFont="1" applyFill="1" applyBorder="1" applyAlignment="1">
      <alignment horizontal="center" vertical="center"/>
    </xf>
    <xf numFmtId="167" fontId="14" fillId="0" borderId="111" xfId="0" applyNumberFormat="1" applyFont="1" applyBorder="1" applyAlignment="1">
      <alignment horizontal="center" vertical="center"/>
    </xf>
    <xf numFmtId="8" fontId="0" fillId="0" borderId="0" xfId="0" applyNumberFormat="1"/>
    <xf numFmtId="5" fontId="0" fillId="0" borderId="111" xfId="2" applyNumberFormat="1" applyFont="1" applyBorder="1" applyAlignment="1" applyProtection="1">
      <alignment horizontal="center"/>
    </xf>
    <xf numFmtId="37" fontId="0" fillId="0" borderId="0" xfId="0" applyNumberFormat="1"/>
    <xf numFmtId="10" fontId="14" fillId="0" borderId="111" xfId="0" applyNumberFormat="1" applyFont="1" applyBorder="1" applyAlignment="1">
      <alignment horizontal="center"/>
    </xf>
    <xf numFmtId="10" fontId="16" fillId="0" borderId="0" xfId="5" applyNumberFormat="1" applyFont="1" applyFill="1" applyBorder="1" applyProtection="1"/>
    <xf numFmtId="2" fontId="14" fillId="5" borderId="111" xfId="0" applyNumberFormat="1" applyFont="1" applyFill="1" applyBorder="1" applyAlignment="1">
      <alignment horizontal="center"/>
    </xf>
    <xf numFmtId="167" fontId="0" fillId="0" borderId="111" xfId="0" applyNumberFormat="1" applyBorder="1" applyAlignment="1">
      <alignment horizontal="center"/>
    </xf>
    <xf numFmtId="8" fontId="16" fillId="0" borderId="0" xfId="0" applyNumberFormat="1" applyFont="1"/>
    <xf numFmtId="164" fontId="0" fillId="0" borderId="0" xfId="0" applyNumberFormat="1"/>
    <xf numFmtId="5" fontId="0" fillId="0" borderId="111" xfId="2" applyNumberFormat="1" applyFont="1" applyFill="1" applyBorder="1" applyAlignment="1" applyProtection="1">
      <alignment horizontal="center"/>
    </xf>
    <xf numFmtId="44" fontId="0" fillId="0" borderId="0" xfId="2" applyFont="1" applyFill="1" applyBorder="1" applyProtection="1"/>
    <xf numFmtId="10" fontId="27" fillId="0" borderId="0" xfId="5" applyNumberFormat="1" applyFont="1" applyFill="1" applyBorder="1" applyProtection="1"/>
    <xf numFmtId="9" fontId="14" fillId="5" borderId="111" xfId="0" applyNumberFormat="1" applyFont="1" applyFill="1" applyBorder="1" applyAlignment="1">
      <alignment horizontal="center"/>
    </xf>
    <xf numFmtId="0" fontId="16" fillId="0" borderId="0" xfId="0" quotePrefix="1" applyFont="1" applyAlignment="1">
      <alignment horizontal="left"/>
    </xf>
    <xf numFmtId="10" fontId="0" fillId="2" borderId="3" xfId="0" applyNumberFormat="1" applyFill="1" applyBorder="1" applyAlignment="1">
      <alignment horizontal="center"/>
    </xf>
    <xf numFmtId="9" fontId="14" fillId="5" borderId="111" xfId="5" applyFont="1" applyFill="1" applyBorder="1" applyAlignment="1" applyProtection="1">
      <alignment horizontal="center"/>
    </xf>
    <xf numFmtId="167" fontId="14" fillId="0" borderId="111" xfId="0" applyNumberFormat="1" applyFont="1" applyBorder="1" applyAlignment="1">
      <alignment horizontal="center"/>
    </xf>
    <xf numFmtId="0" fontId="14" fillId="17" borderId="3" xfId="0" applyFont="1" applyFill="1" applyBorder="1" applyAlignment="1">
      <alignment horizontal="left"/>
    </xf>
    <xf numFmtId="0" fontId="0" fillId="17" borderId="3" xfId="0" applyFill="1" applyBorder="1" applyAlignment="1">
      <alignment horizontal="left"/>
    </xf>
    <xf numFmtId="10" fontId="14" fillId="17" borderId="3" xfId="0" quotePrefix="1" applyNumberFormat="1" applyFont="1" applyFill="1" applyBorder="1" applyAlignment="1">
      <alignment horizontal="center"/>
    </xf>
    <xf numFmtId="10" fontId="0" fillId="17" borderId="3" xfId="0" applyNumberFormat="1" applyFill="1" applyBorder="1" applyAlignment="1">
      <alignment horizontal="center"/>
    </xf>
    <xf numFmtId="167" fontId="14" fillId="17" borderId="3" xfId="0" applyNumberFormat="1" applyFont="1" applyFill="1" applyBorder="1" applyAlignment="1">
      <alignment horizontal="center"/>
    </xf>
    <xf numFmtId="0" fontId="14" fillId="17" borderId="0" xfId="0" applyFont="1" applyFill="1" applyAlignment="1">
      <alignment horizontal="left"/>
    </xf>
    <xf numFmtId="0" fontId="0" fillId="17" borderId="0" xfId="0" applyFill="1" applyAlignment="1">
      <alignment horizontal="left"/>
    </xf>
    <xf numFmtId="167" fontId="14" fillId="17" borderId="0" xfId="0" applyNumberFormat="1" applyFont="1" applyFill="1" applyAlignment="1">
      <alignment horizontal="center"/>
    </xf>
    <xf numFmtId="6" fontId="16" fillId="0" borderId="0" xfId="5" quotePrefix="1" applyNumberFormat="1" applyFont="1" applyFill="1" applyBorder="1" applyAlignment="1" applyProtection="1">
      <alignment horizontal="left"/>
    </xf>
    <xf numFmtId="0" fontId="16" fillId="0" borderId="111" xfId="0" applyFont="1" applyBorder="1" applyAlignment="1">
      <alignment horizontal="left"/>
    </xf>
    <xf numFmtId="167" fontId="16" fillId="0" borderId="111" xfId="0" applyNumberFormat="1" applyFont="1" applyBorder="1" applyAlignment="1">
      <alignment horizontal="center"/>
    </xf>
    <xf numFmtId="7" fontId="0" fillId="2" borderId="3" xfId="0" applyNumberFormat="1" applyFill="1" applyBorder="1" applyAlignment="1">
      <alignment horizontal="center"/>
    </xf>
    <xf numFmtId="7" fontId="14" fillId="2" borderId="3" xfId="0" applyNumberFormat="1" applyFont="1" applyFill="1" applyBorder="1" applyAlignment="1">
      <alignment horizontal="center"/>
    </xf>
    <xf numFmtId="0" fontId="14" fillId="5" borderId="111" xfId="0" quotePrefix="1" applyFont="1" applyFill="1" applyBorder="1" applyAlignment="1">
      <alignment horizontal="left"/>
    </xf>
    <xf numFmtId="7" fontId="14" fillId="5" borderId="111" xfId="0" applyNumberFormat="1" applyFont="1" applyFill="1" applyBorder="1" applyAlignment="1">
      <alignment horizontal="center"/>
    </xf>
    <xf numFmtId="44" fontId="16" fillId="0" borderId="0" xfId="2" applyFont="1" applyFill="1" applyBorder="1" applyProtection="1"/>
    <xf numFmtId="9" fontId="0" fillId="0" borderId="111" xfId="0" applyNumberFormat="1" applyBorder="1" applyAlignment="1">
      <alignment horizontal="center"/>
    </xf>
    <xf numFmtId="43" fontId="16" fillId="0" borderId="0" xfId="1" applyFont="1" applyFill="1" applyBorder="1" applyProtection="1"/>
    <xf numFmtId="1" fontId="14" fillId="5" borderId="111" xfId="0" applyNumberFormat="1" applyFont="1" applyFill="1" applyBorder="1" applyAlignment="1">
      <alignment horizontal="center"/>
    </xf>
    <xf numFmtId="0" fontId="21" fillId="0" borderId="111" xfId="0" applyFont="1" applyBorder="1"/>
    <xf numFmtId="1" fontId="14" fillId="0" borderId="111" xfId="0" applyNumberFormat="1" applyFont="1" applyBorder="1" applyAlignment="1">
      <alignment horizontal="center"/>
    </xf>
    <xf numFmtId="3" fontId="14" fillId="0" borderId="111" xfId="0" applyNumberFormat="1" applyFont="1" applyBorder="1" applyAlignment="1">
      <alignment horizontal="center"/>
    </xf>
    <xf numFmtId="4" fontId="14" fillId="0" borderId="111" xfId="0" applyNumberFormat="1" applyFont="1" applyBorder="1" applyAlignment="1">
      <alignment horizontal="center"/>
    </xf>
    <xf numFmtId="173" fontId="14" fillId="0" borderId="111" xfId="0" applyNumberFormat="1" applyFont="1" applyBorder="1" applyAlignment="1">
      <alignment horizontal="center"/>
    </xf>
    <xf numFmtId="0" fontId="17" fillId="0" borderId="111" xfId="0" applyFont="1" applyBorder="1" applyAlignment="1">
      <alignment horizontal="left"/>
    </xf>
    <xf numFmtId="5" fontId="14" fillId="0" borderId="111" xfId="0" applyNumberFormat="1" applyFont="1" applyBorder="1" applyAlignment="1">
      <alignment horizontal="center"/>
    </xf>
    <xf numFmtId="0" fontId="16" fillId="0" borderId="0" xfId="0" applyFont="1" applyAlignment="1">
      <alignment horizontal="left"/>
    </xf>
    <xf numFmtId="0" fontId="14" fillId="5" borderId="111" xfId="0" applyFont="1" applyFill="1" applyBorder="1" applyAlignment="1">
      <alignment horizontal="center"/>
    </xf>
    <xf numFmtId="7" fontId="14" fillId="0" borderId="111" xfId="0" applyNumberFormat="1" applyFont="1" applyBorder="1" applyAlignment="1">
      <alignment horizontal="center"/>
    </xf>
    <xf numFmtId="166" fontId="14" fillId="5" borderId="111" xfId="0" applyNumberFormat="1" applyFont="1" applyFill="1" applyBorder="1" applyAlignment="1">
      <alignment horizontal="center"/>
    </xf>
    <xf numFmtId="0" fontId="0" fillId="5" borderId="111" xfId="0" quotePrefix="1" applyFill="1" applyBorder="1" applyAlignment="1">
      <alignment horizontal="left"/>
    </xf>
    <xf numFmtId="1" fontId="0" fillId="0" borderId="0" xfId="0" applyNumberFormat="1" applyAlignment="1">
      <alignment horizontal="center"/>
    </xf>
    <xf numFmtId="172" fontId="0" fillId="0" borderId="0" xfId="0" applyNumberFormat="1"/>
    <xf numFmtId="10" fontId="16" fillId="0" borderId="0" xfId="5" quotePrefix="1" applyNumberFormat="1" applyFont="1" applyFill="1" applyBorder="1" applyAlignment="1" applyProtection="1">
      <alignment horizontal="left"/>
    </xf>
    <xf numFmtId="4" fontId="0" fillId="0" borderId="111" xfId="0" applyNumberFormat="1" applyBorder="1" applyAlignment="1">
      <alignment horizontal="center"/>
    </xf>
    <xf numFmtId="43" fontId="14" fillId="0" borderId="0" xfId="1" applyFont="1" applyFill="1" applyBorder="1" applyProtection="1"/>
    <xf numFmtId="3" fontId="0" fillId="0" borderId="111" xfId="0" applyNumberFormat="1" applyBorder="1" applyAlignment="1">
      <alignment horizontal="center"/>
    </xf>
    <xf numFmtId="0" fontId="14" fillId="0" borderId="3" xfId="0" applyFont="1" applyBorder="1" applyAlignment="1">
      <alignment horizontal="left"/>
    </xf>
    <xf numFmtId="39" fontId="14" fillId="0" borderId="111" xfId="0" applyNumberFormat="1" applyFont="1" applyBorder="1" applyAlignment="1">
      <alignment horizontal="center"/>
    </xf>
    <xf numFmtId="0" fontId="77" fillId="0" borderId="0" xfId="0" applyFont="1"/>
    <xf numFmtId="0" fontId="0" fillId="0" borderId="3" xfId="0" applyBorder="1" applyAlignment="1">
      <alignment horizontal="left"/>
    </xf>
    <xf numFmtId="165" fontId="0" fillId="0" borderId="0" xfId="0" applyNumberFormat="1"/>
    <xf numFmtId="0" fontId="78" fillId="0" borderId="3" xfId="0" applyFont="1" applyBorder="1" applyAlignment="1">
      <alignment horizontal="left"/>
    </xf>
    <xf numFmtId="10" fontId="14" fillId="0" borderId="111" xfId="5" applyNumberFormat="1" applyFont="1" applyFill="1" applyBorder="1" applyAlignment="1" applyProtection="1">
      <alignment horizontal="center"/>
    </xf>
    <xf numFmtId="37" fontId="14" fillId="0" borderId="111" xfId="0" applyNumberFormat="1" applyFont="1" applyBorder="1" applyAlignment="1">
      <alignment horizontal="center"/>
    </xf>
    <xf numFmtId="176" fontId="14" fillId="0" borderId="111" xfId="0" applyNumberFormat="1" applyFont="1" applyBorder="1" applyAlignment="1">
      <alignment horizontal="center"/>
    </xf>
    <xf numFmtId="5" fontId="14" fillId="9" borderId="111" xfId="0" applyNumberFormat="1" applyFont="1" applyFill="1" applyBorder="1" applyAlignment="1">
      <alignment horizontal="center"/>
    </xf>
    <xf numFmtId="0" fontId="14" fillId="5" borderId="111" xfId="0" applyFont="1" applyFill="1" applyBorder="1" applyAlignment="1">
      <alignment horizontal="left"/>
    </xf>
    <xf numFmtId="0" fontId="16" fillId="0" borderId="111" xfId="0" applyFont="1" applyBorder="1"/>
    <xf numFmtId="167" fontId="16" fillId="0" borderId="0" xfId="0" applyNumberFormat="1" applyFont="1" applyAlignment="1">
      <alignment horizontal="center"/>
    </xf>
    <xf numFmtId="169" fontId="16" fillId="0" borderId="111" xfId="1" applyNumberFormat="1" applyFont="1" applyBorder="1" applyAlignment="1" applyProtection="1">
      <alignment horizontal="center" vertical="top"/>
    </xf>
    <xf numFmtId="43" fontId="14" fillId="0" borderId="111" xfId="1" applyFont="1" applyFill="1" applyBorder="1" applyProtection="1"/>
    <xf numFmtId="43" fontId="16" fillId="0" borderId="111" xfId="1" applyFont="1" applyFill="1" applyBorder="1" applyProtection="1"/>
    <xf numFmtId="169" fontId="16" fillId="0" borderId="0" xfId="1" applyNumberFormat="1" applyFont="1" applyBorder="1" applyAlignment="1" applyProtection="1">
      <alignment horizontal="center" vertical="top"/>
    </xf>
    <xf numFmtId="167" fontId="16" fillId="5" borderId="111" xfId="0" applyNumberFormat="1" applyFont="1" applyFill="1" applyBorder="1" applyAlignment="1">
      <alignment horizontal="center"/>
    </xf>
    <xf numFmtId="0" fontId="22" fillId="4" borderId="4" xfId="0" applyFont="1" applyFill="1" applyBorder="1" applyAlignment="1">
      <alignment horizontal="right"/>
    </xf>
    <xf numFmtId="5" fontId="22" fillId="4" borderId="4" xfId="0" applyNumberFormat="1" applyFont="1" applyFill="1" applyBorder="1"/>
    <xf numFmtId="1" fontId="16" fillId="0" borderId="0" xfId="0" applyNumberFormat="1" applyFont="1" applyAlignment="1">
      <alignment horizontal="center"/>
    </xf>
    <xf numFmtId="0" fontId="27" fillId="0" borderId="0" xfId="0" applyFont="1"/>
    <xf numFmtId="0" fontId="22" fillId="4" borderId="0" xfId="0" applyFont="1" applyFill="1" applyAlignment="1">
      <alignment horizontal="right"/>
    </xf>
    <xf numFmtId="5" fontId="22" fillId="4" borderId="0" xfId="0" applyNumberFormat="1" applyFont="1" applyFill="1"/>
    <xf numFmtId="0" fontId="22" fillId="4" borderId="5" xfId="0" applyFont="1" applyFill="1" applyBorder="1" applyAlignment="1">
      <alignment horizontal="right"/>
    </xf>
    <xf numFmtId="5" fontId="22" fillId="4" borderId="5" xfId="0" applyNumberFormat="1" applyFont="1" applyFill="1" applyBorder="1"/>
    <xf numFmtId="0" fontId="46" fillId="0" borderId="0" xfId="0" applyFont="1"/>
    <xf numFmtId="0" fontId="25" fillId="4" borderId="0" xfId="0" applyFont="1" applyFill="1" applyAlignment="1">
      <alignment horizontal="right"/>
    </xf>
    <xf numFmtId="5" fontId="25" fillId="4" borderId="4" xfId="0" applyNumberFormat="1" applyFont="1" applyFill="1" applyBorder="1"/>
    <xf numFmtId="0" fontId="16" fillId="0" borderId="79" xfId="0" applyFont="1" applyBorder="1" applyAlignment="1">
      <alignment horizontal="left"/>
    </xf>
    <xf numFmtId="37" fontId="16" fillId="0" borderId="68" xfId="0" applyNumberFormat="1" applyFont="1" applyBorder="1" applyAlignment="1">
      <alignment horizontal="center"/>
    </xf>
    <xf numFmtId="37" fontId="14" fillId="0" borderId="0" xfId="0" applyNumberFormat="1" applyFont="1" applyAlignment="1">
      <alignment horizontal="center"/>
    </xf>
    <xf numFmtId="6" fontId="14" fillId="0" borderId="0" xfId="0" applyNumberFormat="1" applyFont="1"/>
    <xf numFmtId="168" fontId="0" fillId="2" borderId="3" xfId="5" applyNumberFormat="1" applyFont="1" applyFill="1" applyBorder="1" applyAlignment="1" applyProtection="1">
      <alignment horizontal="center"/>
    </xf>
    <xf numFmtId="6" fontId="14" fillId="0" borderId="0" xfId="0" applyNumberFormat="1" applyFont="1" applyAlignment="1">
      <alignment horizontal="left" indent="1"/>
    </xf>
    <xf numFmtId="168" fontId="14" fillId="0" borderId="0" xfId="0" applyNumberFormat="1" applyFont="1" applyAlignment="1">
      <alignment horizontal="center"/>
    </xf>
    <xf numFmtId="6" fontId="17" fillId="0" borderId="4" xfId="0" applyNumberFormat="1" applyFont="1" applyBorder="1" applyAlignment="1">
      <alignment horizontal="left" indent="1"/>
    </xf>
    <xf numFmtId="0" fontId="17" fillId="0" borderId="4" xfId="0" applyFont="1" applyBorder="1" applyAlignment="1">
      <alignment horizontal="center"/>
    </xf>
    <xf numFmtId="167" fontId="16" fillId="2" borderId="3" xfId="0" applyNumberFormat="1" applyFont="1" applyFill="1" applyBorder="1" applyAlignment="1">
      <alignment horizontal="center"/>
    </xf>
    <xf numFmtId="6" fontId="17" fillId="0" borderId="0" xfId="0" applyNumberFormat="1" applyFont="1" applyAlignment="1">
      <alignment horizontal="left" indent="1"/>
    </xf>
    <xf numFmtId="0" fontId="17" fillId="0" borderId="0" xfId="0" applyFont="1" applyAlignment="1">
      <alignment horizontal="center"/>
    </xf>
    <xf numFmtId="167" fontId="0" fillId="2" borderId="3" xfId="0" applyNumberFormat="1" applyFill="1" applyBorder="1"/>
    <xf numFmtId="3" fontId="14" fillId="0" borderId="0" xfId="0" applyNumberFormat="1" applyFont="1" applyAlignment="1">
      <alignment horizontal="center"/>
    </xf>
    <xf numFmtId="2" fontId="14" fillId="0" borderId="0" xfId="0" applyNumberFormat="1" applyFont="1" applyAlignment="1">
      <alignment horizontal="center"/>
    </xf>
    <xf numFmtId="167" fontId="14" fillId="0" borderId="0" xfId="0" applyNumberFormat="1" applyFont="1" applyAlignment="1">
      <alignment horizontal="center"/>
    </xf>
    <xf numFmtId="3" fontId="17" fillId="0" borderId="4" xfId="0" applyNumberFormat="1" applyFont="1" applyBorder="1" applyAlignment="1">
      <alignment horizontal="center"/>
    </xf>
    <xf numFmtId="0" fontId="6" fillId="0" borderId="0" xfId="22" quotePrefix="1" applyFont="1" applyAlignment="1">
      <alignment horizontal="left"/>
    </xf>
    <xf numFmtId="0" fontId="11" fillId="0" borderId="0" xfId="22"/>
    <xf numFmtId="0" fontId="0" fillId="0" borderId="0" xfId="0" applyAlignment="1">
      <alignment horizontal="left" indent="1"/>
    </xf>
    <xf numFmtId="7" fontId="14" fillId="0" borderId="0" xfId="0" applyNumberFormat="1" applyFont="1" applyAlignment="1">
      <alignment horizontal="center"/>
    </xf>
    <xf numFmtId="167" fontId="0" fillId="2" borderId="0" xfId="0" applyNumberFormat="1" applyFill="1"/>
    <xf numFmtId="0" fontId="14" fillId="2" borderId="0" xfId="0" applyFont="1" applyFill="1" applyAlignment="1">
      <alignment horizontal="center"/>
    </xf>
    <xf numFmtId="7" fontId="14" fillId="0" borderId="5" xfId="0" applyNumberFormat="1" applyFont="1" applyBorder="1" applyAlignment="1">
      <alignment horizontal="center"/>
    </xf>
    <xf numFmtId="1" fontId="17" fillId="0" borderId="4" xfId="0" applyNumberFormat="1" applyFont="1" applyBorder="1" applyAlignment="1">
      <alignment horizontal="center"/>
    </xf>
    <xf numFmtId="1" fontId="17" fillId="0" borderId="0" xfId="0" applyNumberFormat="1" applyFont="1" applyAlignment="1">
      <alignment horizontal="center"/>
    </xf>
    <xf numFmtId="0" fontId="0" fillId="2" borderId="12" xfId="0" applyFill="1" applyBorder="1"/>
    <xf numFmtId="0" fontId="0" fillId="2" borderId="13" xfId="0" applyFill="1" applyBorder="1"/>
    <xf numFmtId="0" fontId="0" fillId="17" borderId="3" xfId="0" applyFill="1" applyBorder="1" applyAlignment="1">
      <alignment horizontal="center"/>
    </xf>
    <xf numFmtId="2" fontId="0" fillId="17" borderId="3" xfId="0" applyNumberFormat="1" applyFill="1" applyBorder="1" applyAlignment="1">
      <alignment horizontal="center"/>
    </xf>
    <xf numFmtId="0" fontId="0" fillId="2" borderId="21" xfId="0" applyFill="1" applyBorder="1"/>
    <xf numFmtId="2" fontId="0" fillId="2" borderId="3" xfId="0" applyNumberFormat="1" applyFill="1" applyBorder="1" applyAlignment="1">
      <alignment horizontal="center"/>
    </xf>
    <xf numFmtId="1" fontId="14" fillId="0" borderId="0" xfId="0" applyNumberFormat="1" applyFont="1" applyAlignment="1">
      <alignment horizontal="center"/>
    </xf>
    <xf numFmtId="0" fontId="25" fillId="4" borderId="0" xfId="0" applyFont="1" applyFill="1" applyAlignment="1">
      <alignment horizontal="center"/>
    </xf>
    <xf numFmtId="37" fontId="25" fillId="4" borderId="0" xfId="0" applyNumberFormat="1" applyFont="1" applyFill="1" applyAlignment="1">
      <alignment horizontal="center"/>
    </xf>
    <xf numFmtId="0" fontId="47" fillId="0" borderId="0" xfId="0" applyFont="1"/>
    <xf numFmtId="0" fontId="36" fillId="0" borderId="0" xfId="0" applyFont="1" applyAlignment="1">
      <alignment horizontal="centerContinuous"/>
    </xf>
    <xf numFmtId="0" fontId="64" fillId="0" borderId="0" xfId="4" applyFont="1" applyAlignment="1" applyProtection="1">
      <alignment horizontal="centerContinuous" wrapText="1"/>
    </xf>
    <xf numFmtId="0" fontId="31" fillId="0" borderId="0" xfId="0" applyFont="1"/>
    <xf numFmtId="0" fontId="63" fillId="0" borderId="0" xfId="0" applyFont="1"/>
    <xf numFmtId="0" fontId="14" fillId="0" borderId="0" xfId="0" applyFont="1" applyAlignment="1">
      <alignment horizontal="center" vertical="center"/>
    </xf>
    <xf numFmtId="0" fontId="30" fillId="0" borderId="0" xfId="0" applyFont="1"/>
    <xf numFmtId="0" fontId="63" fillId="0" borderId="0" xfId="0" applyFont="1" applyAlignment="1">
      <alignment horizontal="center" vertical="center" wrapText="1"/>
    </xf>
    <xf numFmtId="0" fontId="30" fillId="0" borderId="75" xfId="0" applyFont="1" applyBorder="1"/>
    <xf numFmtId="0" fontId="30" fillId="0" borderId="0" xfId="0" applyFont="1" applyAlignment="1">
      <alignment vertical="center"/>
    </xf>
    <xf numFmtId="0" fontId="65" fillId="0" borderId="0" xfId="0" applyFont="1"/>
    <xf numFmtId="0" fontId="66" fillId="0" borderId="0" xfId="0" applyFont="1"/>
    <xf numFmtId="174" fontId="16" fillId="0" borderId="0" xfId="1" applyNumberFormat="1" applyFont="1" applyFill="1" applyBorder="1" applyProtection="1"/>
    <xf numFmtId="0" fontId="66" fillId="0" borderId="0" xfId="0" applyFont="1" applyAlignment="1">
      <alignment horizontal="left"/>
    </xf>
    <xf numFmtId="0" fontId="66" fillId="0" borderId="0" xfId="0" applyFont="1" applyAlignment="1">
      <alignment horizontal="center"/>
    </xf>
    <xf numFmtId="0" fontId="65" fillId="0" borderId="0" xfId="0" applyFont="1" applyAlignment="1">
      <alignment horizontal="left"/>
    </xf>
    <xf numFmtId="0" fontId="65" fillId="0" borderId="0" xfId="0" applyFont="1" applyAlignment="1">
      <alignment horizontal="center"/>
    </xf>
    <xf numFmtId="0" fontId="30" fillId="0" borderId="0" xfId="0" applyFont="1" applyAlignment="1">
      <alignment horizontal="left"/>
    </xf>
    <xf numFmtId="10" fontId="20" fillId="0" borderId="0" xfId="5" applyNumberFormat="1" applyFont="1"/>
    <xf numFmtId="10" fontId="16" fillId="2" borderId="16" xfId="5" applyNumberFormat="1" applyFont="1" applyFill="1" applyBorder="1" applyAlignment="1">
      <alignment horizontal="center" vertical="top" wrapText="1"/>
    </xf>
    <xf numFmtId="10" fontId="16" fillId="0" borderId="0" xfId="5" applyNumberFormat="1" applyFont="1" applyAlignment="1">
      <alignment horizontal="center" vertical="top" wrapText="1"/>
    </xf>
    <xf numFmtId="10" fontId="14" fillId="0" borderId="0" xfId="5" applyNumberFormat="1" applyFont="1" applyAlignment="1">
      <alignment horizontal="center"/>
    </xf>
    <xf numFmtId="0" fontId="4" fillId="0" borderId="43" xfId="6" applyFont="1" applyBorder="1" applyAlignment="1" applyProtection="1">
      <alignment horizontal="center" vertical="center"/>
      <protection locked="0"/>
    </xf>
    <xf numFmtId="0" fontId="6" fillId="16" borderId="53" xfId="6" applyFont="1" applyFill="1" applyBorder="1" applyAlignment="1" applyProtection="1">
      <alignment horizontal="center" vertical="center" wrapText="1"/>
      <protection locked="0"/>
    </xf>
    <xf numFmtId="168" fontId="18" fillId="0" borderId="0" xfId="5" applyNumberFormat="1" applyFont="1"/>
    <xf numFmtId="0" fontId="6" fillId="10" borderId="89" xfId="6" applyFont="1" applyFill="1" applyBorder="1" applyAlignment="1">
      <alignment vertical="center" wrapText="1"/>
    </xf>
    <xf numFmtId="0" fontId="93" fillId="0" borderId="0" xfId="0" applyFont="1"/>
    <xf numFmtId="0" fontId="94" fillId="0" borderId="101" xfId="0" applyFont="1" applyBorder="1"/>
    <xf numFmtId="0" fontId="93" fillId="0" borderId="101" xfId="0" applyFont="1" applyBorder="1"/>
    <xf numFmtId="0" fontId="95" fillId="0" borderId="0" xfId="6" applyFont="1"/>
    <xf numFmtId="0" fontId="96" fillId="0" borderId="0" xfId="0" applyFont="1"/>
    <xf numFmtId="0" fontId="96" fillId="0" borderId="101" xfId="0" applyFont="1" applyBorder="1"/>
    <xf numFmtId="0" fontId="97" fillId="0" borderId="0" xfId="0" applyFont="1"/>
    <xf numFmtId="167" fontId="98" fillId="2" borderId="3" xfId="0" applyNumberFormat="1" applyFont="1" applyFill="1" applyBorder="1"/>
    <xf numFmtId="0" fontId="99" fillId="0" borderId="0" xfId="0" applyFont="1"/>
    <xf numFmtId="0" fontId="99" fillId="0" borderId="75" xfId="0" applyFont="1" applyBorder="1"/>
    <xf numFmtId="0" fontId="99" fillId="0" borderId="0" xfId="0" applyFont="1" applyAlignment="1">
      <alignment horizontal="left"/>
    </xf>
    <xf numFmtId="0" fontId="100" fillId="0" borderId="0" xfId="0" applyFont="1"/>
    <xf numFmtId="0" fontId="100" fillId="0" borderId="0" xfId="0" applyFont="1" applyAlignment="1">
      <alignment horizontal="left"/>
    </xf>
    <xf numFmtId="0" fontId="101" fillId="0" borderId="75" xfId="0" applyFont="1" applyBorder="1" applyAlignment="1">
      <alignment horizontal="center"/>
    </xf>
    <xf numFmtId="0" fontId="102" fillId="0" borderId="0" xfId="0" applyFont="1"/>
    <xf numFmtId="0" fontId="102" fillId="0" borderId="80" xfId="0" applyFont="1" applyBorder="1" applyAlignment="1">
      <alignment horizontal="left"/>
    </xf>
    <xf numFmtId="0" fontId="102" fillId="0" borderId="80" xfId="0" applyFont="1" applyBorder="1" applyAlignment="1">
      <alignment horizontal="center"/>
    </xf>
    <xf numFmtId="3" fontId="102" fillId="0" borderId="80" xfId="0" applyNumberFormat="1" applyFont="1" applyBorder="1" applyAlignment="1">
      <alignment horizontal="center"/>
    </xf>
    <xf numFmtId="175" fontId="102" fillId="0" borderId="80" xfId="0" applyNumberFormat="1" applyFont="1" applyBorder="1" applyAlignment="1">
      <alignment horizontal="center"/>
    </xf>
    <xf numFmtId="0" fontId="103" fillId="0" borderId="80" xfId="0" applyFont="1" applyBorder="1" applyAlignment="1">
      <alignment horizontal="left"/>
    </xf>
    <xf numFmtId="0" fontId="103" fillId="0" borderId="80" xfId="0" applyFont="1" applyBorder="1" applyAlignment="1">
      <alignment horizontal="center" wrapText="1"/>
    </xf>
    <xf numFmtId="0" fontId="104" fillId="0" borderId="0" xfId="0" applyFont="1"/>
    <xf numFmtId="0" fontId="105" fillId="11" borderId="26" xfId="0" applyFont="1" applyFill="1" applyBorder="1" applyAlignment="1">
      <alignment wrapText="1"/>
    </xf>
    <xf numFmtId="0" fontId="108" fillId="11" borderId="60" xfId="0" applyFont="1" applyFill="1" applyBorder="1" applyAlignment="1">
      <alignment vertical="center"/>
    </xf>
    <xf numFmtId="0" fontId="62" fillId="0" borderId="10" xfId="0" quotePrefix="1" applyFont="1" applyBorder="1" applyAlignment="1">
      <alignment horizontal="left"/>
    </xf>
    <xf numFmtId="0" fontId="3" fillId="10" borderId="91" xfId="6" applyFont="1" applyFill="1" applyBorder="1" applyAlignment="1">
      <alignment vertical="center" wrapText="1"/>
    </xf>
    <xf numFmtId="0" fontId="62" fillId="0" borderId="10" xfId="0" quotePrefix="1" applyFont="1" applyBorder="1" applyAlignment="1">
      <alignment horizontal="left" indent="6"/>
    </xf>
    <xf numFmtId="0" fontId="62" fillId="0" borderId="10" xfId="0" quotePrefix="1" applyFont="1" applyBorder="1" applyAlignment="1">
      <alignment horizontal="left" indent="7"/>
    </xf>
    <xf numFmtId="0" fontId="62" fillId="0" borderId="10" xfId="0" applyFont="1" applyBorder="1" applyAlignment="1">
      <alignment horizontal="left" indent="6"/>
    </xf>
    <xf numFmtId="1" fontId="35" fillId="0" borderId="0" xfId="0" applyNumberFormat="1" applyFont="1" applyAlignment="1">
      <alignment horizontal="left" wrapText="1" indent="6"/>
    </xf>
    <xf numFmtId="0" fontId="34" fillId="0" borderId="0" xfId="0" applyFont="1" applyAlignment="1">
      <alignment horizontal="left" wrapText="1" indent="6"/>
    </xf>
    <xf numFmtId="0" fontId="34" fillId="0" borderId="0" xfId="0" applyFont="1" applyAlignment="1">
      <alignment horizontal="left" indent="6"/>
    </xf>
    <xf numFmtId="0" fontId="62" fillId="0" borderId="10" xfId="0" quotePrefix="1" applyFont="1" applyBorder="1" applyAlignment="1">
      <alignment horizontal="left" indent="8"/>
    </xf>
    <xf numFmtId="0" fontId="2" fillId="16" borderId="53" xfId="6" applyFont="1" applyFill="1" applyBorder="1" applyAlignment="1" applyProtection="1">
      <alignment horizontal="center" vertical="center" wrapText="1"/>
      <protection locked="0"/>
    </xf>
    <xf numFmtId="0" fontId="50" fillId="0" borderId="0" xfId="6" applyFont="1" applyAlignment="1">
      <alignment horizontal="center"/>
    </xf>
    <xf numFmtId="44" fontId="91" fillId="9" borderId="0" xfId="24" applyFont="1" applyFill="1" applyAlignment="1">
      <alignment horizontal="center"/>
    </xf>
    <xf numFmtId="44" fontId="92" fillId="9" borderId="0" xfId="24" applyFont="1" applyFill="1" applyAlignment="1">
      <alignment horizontal="center"/>
    </xf>
    <xf numFmtId="0" fontId="64" fillId="0" borderId="0" xfId="4" applyFont="1" applyAlignment="1" applyProtection="1">
      <alignment horizontal="left"/>
    </xf>
    <xf numFmtId="0" fontId="37" fillId="0" borderId="0" xfId="0" applyFont="1" applyAlignment="1">
      <alignment horizontal="left"/>
    </xf>
    <xf numFmtId="0" fontId="69" fillId="17" borderId="11" xfId="0" applyFont="1" applyFill="1" applyBorder="1" applyAlignment="1">
      <alignment horizontal="left" vertical="center" wrapText="1"/>
    </xf>
    <xf numFmtId="0" fontId="69" fillId="17" borderId="58" xfId="0" applyFont="1" applyFill="1" applyBorder="1" applyAlignment="1">
      <alignment horizontal="left" vertical="center" wrapText="1"/>
    </xf>
    <xf numFmtId="0" fontId="69" fillId="17" borderId="15" xfId="0" applyFont="1" applyFill="1" applyBorder="1" applyAlignment="1">
      <alignment horizontal="left" vertical="center" wrapText="1"/>
    </xf>
    <xf numFmtId="0" fontId="39" fillId="12" borderId="34" xfId="0" applyFont="1" applyFill="1" applyBorder="1" applyAlignment="1">
      <alignment horizontal="left"/>
    </xf>
    <xf numFmtId="0" fontId="39" fillId="12" borderId="27" xfId="0" applyFont="1" applyFill="1" applyBorder="1" applyAlignment="1">
      <alignment horizontal="left"/>
    </xf>
    <xf numFmtId="0" fontId="39" fillId="12" borderId="35" xfId="0" applyFont="1" applyFill="1" applyBorder="1" applyAlignment="1">
      <alignment horizontal="left"/>
    </xf>
    <xf numFmtId="0" fontId="39" fillId="12" borderId="38" xfId="0" applyFont="1" applyFill="1" applyBorder="1" applyAlignment="1">
      <alignment horizontal="left"/>
    </xf>
    <xf numFmtId="0" fontId="39" fillId="12" borderId="5" xfId="0" applyFont="1" applyFill="1" applyBorder="1" applyAlignment="1">
      <alignment horizontal="left"/>
    </xf>
    <xf numFmtId="0" fontId="64" fillId="0" borderId="0" xfId="4" quotePrefix="1" applyFont="1" applyAlignment="1" applyProtection="1"/>
    <xf numFmtId="0" fontId="37" fillId="0" borderId="0" xfId="0" applyFont="1"/>
    <xf numFmtId="0" fontId="64" fillId="0" borderId="0" xfId="4" quotePrefix="1" applyFont="1" applyBorder="1" applyAlignment="1" applyProtection="1">
      <alignment horizontal="left" vertical="center"/>
    </xf>
    <xf numFmtId="0" fontId="64" fillId="0" borderId="17" xfId="4" quotePrefix="1" applyFont="1" applyBorder="1" applyAlignment="1" applyProtection="1">
      <alignment horizontal="left" vertical="center"/>
    </xf>
    <xf numFmtId="0" fontId="71" fillId="14" borderId="11" xfId="0" applyFont="1" applyFill="1" applyBorder="1" applyAlignment="1">
      <alignment horizontal="left" vertical="top" wrapText="1"/>
    </xf>
    <xf numFmtId="0" fontId="71" fillId="14" borderId="58" xfId="0" applyFont="1" applyFill="1" applyBorder="1" applyAlignment="1">
      <alignment horizontal="left" vertical="top" wrapText="1"/>
    </xf>
    <xf numFmtId="0" fontId="71" fillId="14" borderId="15" xfId="0" applyFont="1" applyFill="1" applyBorder="1" applyAlignment="1">
      <alignment horizontal="left" vertical="top" wrapText="1"/>
    </xf>
    <xf numFmtId="0" fontId="54" fillId="10" borderId="35" xfId="0" applyFont="1" applyFill="1" applyBorder="1" applyAlignment="1">
      <alignment horizontal="center" vertical="center"/>
    </xf>
    <xf numFmtId="0" fontId="54" fillId="10" borderId="30" xfId="0" applyFont="1" applyFill="1" applyBorder="1" applyAlignment="1">
      <alignment horizontal="center" vertical="center"/>
    </xf>
    <xf numFmtId="0" fontId="6" fillId="10" borderId="91" xfId="6" applyFont="1" applyFill="1" applyBorder="1" applyAlignment="1">
      <alignment vertical="center" wrapText="1"/>
    </xf>
    <xf numFmtId="0" fontId="6" fillId="10" borderId="89" xfId="6" applyFont="1" applyFill="1" applyBorder="1" applyAlignment="1">
      <alignment vertical="center" wrapText="1"/>
    </xf>
    <xf numFmtId="0" fontId="87" fillId="22" borderId="91" xfId="0" applyFont="1" applyFill="1" applyBorder="1" applyAlignment="1">
      <alignment vertical="center" wrapText="1"/>
    </xf>
    <xf numFmtId="0" fontId="87" fillId="22" borderId="89" xfId="0" applyFont="1" applyFill="1" applyBorder="1" applyAlignment="1">
      <alignment vertical="center" wrapText="1"/>
    </xf>
    <xf numFmtId="0" fontId="54" fillId="0" borderId="87" xfId="15" applyFont="1" applyBorder="1" applyAlignment="1" applyProtection="1">
      <alignment horizontal="left" vertical="top" wrapText="1"/>
      <protection locked="0"/>
    </xf>
    <xf numFmtId="0" fontId="54" fillId="0" borderId="88" xfId="15" applyFont="1" applyBorder="1" applyAlignment="1" applyProtection="1">
      <alignment horizontal="left" vertical="top" wrapText="1"/>
      <protection locked="0"/>
    </xf>
    <xf numFmtId="0" fontId="55" fillId="0" borderId="55" xfId="1" applyNumberFormat="1" applyFont="1" applyFill="1" applyBorder="1" applyAlignment="1" applyProtection="1">
      <alignment horizontal="left" vertical="center" wrapText="1"/>
      <protection locked="0"/>
    </xf>
    <xf numFmtId="0" fontId="55" fillId="0" borderId="56" xfId="1" applyNumberFormat="1" applyFont="1" applyFill="1" applyBorder="1" applyAlignment="1" applyProtection="1">
      <alignment horizontal="left" vertical="center" wrapText="1"/>
      <protection locked="0"/>
    </xf>
    <xf numFmtId="0" fontId="55" fillId="0" borderId="9" xfId="1" applyNumberFormat="1" applyFont="1" applyFill="1" applyBorder="1" applyAlignment="1" applyProtection="1">
      <alignment horizontal="left" vertical="top" wrapText="1"/>
      <protection locked="0"/>
    </xf>
    <xf numFmtId="0" fontId="55" fillId="0" borderId="18" xfId="1" applyNumberFormat="1" applyFont="1" applyFill="1" applyBorder="1" applyAlignment="1" applyProtection="1">
      <alignment horizontal="left" vertical="top" wrapText="1"/>
      <protection locked="0"/>
    </xf>
    <xf numFmtId="0" fontId="87" fillId="22" borderId="38" xfId="0" applyFont="1" applyFill="1" applyBorder="1" applyAlignment="1">
      <alignment vertical="center" wrapText="1"/>
    </xf>
    <xf numFmtId="0" fontId="87" fillId="22" borderId="5" xfId="0" applyFont="1" applyFill="1" applyBorder="1" applyAlignment="1">
      <alignment vertical="center" wrapText="1"/>
    </xf>
    <xf numFmtId="0" fontId="55" fillId="0" borderId="9" xfId="15" applyFont="1" applyBorder="1" applyAlignment="1" applyProtection="1">
      <alignment horizontal="left" vertical="center" wrapText="1"/>
      <protection locked="0"/>
    </xf>
    <xf numFmtId="0" fontId="55" fillId="0" borderId="18" xfId="15" applyFont="1" applyBorder="1" applyAlignment="1" applyProtection="1">
      <alignment horizontal="left" vertical="center" wrapText="1"/>
      <protection locked="0"/>
    </xf>
    <xf numFmtId="0" fontId="54" fillId="10" borderId="104" xfId="6" applyFont="1" applyFill="1" applyBorder="1" applyAlignment="1">
      <alignment horizontal="left" vertical="center" wrapText="1"/>
    </xf>
    <xf numFmtId="0" fontId="54" fillId="10" borderId="52" xfId="6" applyFont="1" applyFill="1" applyBorder="1" applyAlignment="1">
      <alignment horizontal="left" vertical="center" wrapText="1"/>
    </xf>
    <xf numFmtId="0" fontId="55" fillId="0" borderId="55" xfId="6" applyFont="1" applyBorder="1" applyAlignment="1" applyProtection="1">
      <alignment horizontal="left" vertical="center" wrapText="1"/>
      <protection locked="0"/>
    </xf>
    <xf numFmtId="0" fontId="55" fillId="0" borderId="56" xfId="6" applyFont="1" applyBorder="1" applyAlignment="1" applyProtection="1">
      <alignment horizontal="left" vertical="center" wrapText="1"/>
      <protection locked="0"/>
    </xf>
    <xf numFmtId="0" fontId="54" fillId="10" borderId="51" xfId="6" applyFont="1" applyFill="1" applyBorder="1" applyAlignment="1">
      <alignment horizontal="left" vertical="center" wrapText="1"/>
    </xf>
    <xf numFmtId="0" fontId="54" fillId="10" borderId="16" xfId="6" applyFont="1" applyFill="1" applyBorder="1" applyAlignment="1">
      <alignment horizontal="left" vertical="center" wrapText="1"/>
    </xf>
    <xf numFmtId="0" fontId="54" fillId="10" borderId="15" xfId="6" applyFont="1" applyFill="1" applyBorder="1" applyAlignment="1">
      <alignment horizontal="left" vertical="center" wrapText="1"/>
    </xf>
    <xf numFmtId="0" fontId="64" fillId="0" borderId="0" xfId="4" applyFont="1" applyFill="1" applyAlignment="1" applyProtection="1">
      <alignment horizontal="center" wrapText="1"/>
    </xf>
    <xf numFmtId="0" fontId="36" fillId="0" borderId="0" xfId="0" applyFont="1" applyAlignment="1">
      <alignment horizontal="center" wrapText="1"/>
    </xf>
    <xf numFmtId="0" fontId="55" fillId="0" borderId="87" xfId="1" applyNumberFormat="1" applyFont="1" applyFill="1" applyBorder="1" applyAlignment="1" applyProtection="1">
      <alignment horizontal="left" vertical="top" wrapText="1"/>
      <protection locked="0"/>
    </xf>
    <xf numFmtId="0" fontId="55" fillId="0" borderId="88" xfId="1" applyNumberFormat="1" applyFont="1" applyFill="1" applyBorder="1" applyAlignment="1" applyProtection="1">
      <alignment horizontal="left" vertical="top" wrapText="1"/>
      <protection locked="0"/>
    </xf>
    <xf numFmtId="0" fontId="54" fillId="10" borderId="91" xfId="15" applyFont="1" applyFill="1" applyBorder="1" applyAlignment="1">
      <alignment horizontal="left" vertical="center" wrapText="1"/>
    </xf>
    <xf numFmtId="0" fontId="54" fillId="10" borderId="89" xfId="15" applyFont="1" applyFill="1" applyBorder="1" applyAlignment="1">
      <alignment horizontal="left" vertical="center" wrapText="1"/>
    </xf>
    <xf numFmtId="0" fontId="55" fillId="14" borderId="11" xfId="0" applyFont="1" applyFill="1" applyBorder="1" applyAlignment="1">
      <alignment vertical="center" wrapText="1"/>
    </xf>
    <xf numFmtId="0" fontId="55" fillId="14" borderId="58" xfId="0" applyFont="1" applyFill="1" applyBorder="1" applyAlignment="1">
      <alignment vertical="center" wrapText="1"/>
    </xf>
    <xf numFmtId="0" fontId="55" fillId="14" borderId="15" xfId="0" applyFont="1" applyFill="1" applyBorder="1" applyAlignment="1">
      <alignment vertical="center" wrapText="1"/>
    </xf>
    <xf numFmtId="0" fontId="106" fillId="10" borderId="41" xfId="15" applyFont="1" applyFill="1" applyBorder="1" applyAlignment="1">
      <alignment horizontal="left" vertical="center" wrapText="1"/>
    </xf>
    <xf numFmtId="0" fontId="106" fillId="10" borderId="42" xfId="15" applyFont="1" applyFill="1" applyBorder="1" applyAlignment="1">
      <alignment horizontal="left" vertical="center" wrapText="1"/>
    </xf>
    <xf numFmtId="0" fontId="55" fillId="0" borderId="55" xfId="1" applyNumberFormat="1" applyFont="1" applyFill="1" applyBorder="1" applyAlignment="1" applyProtection="1">
      <alignment horizontal="left" vertical="top" wrapText="1"/>
      <protection locked="0"/>
    </xf>
    <xf numFmtId="0" fontId="55" fillId="0" borderId="56" xfId="1" applyNumberFormat="1" applyFont="1" applyFill="1" applyBorder="1" applyAlignment="1" applyProtection="1">
      <alignment horizontal="left" vertical="top" wrapText="1"/>
      <protection locked="0"/>
    </xf>
    <xf numFmtId="0" fontId="54" fillId="10" borderId="34" xfId="15" applyFont="1" applyFill="1" applyBorder="1" applyAlignment="1">
      <alignment horizontal="left" vertical="center" wrapText="1"/>
    </xf>
    <xf numFmtId="0" fontId="54" fillId="10" borderId="24" xfId="15" applyFont="1" applyFill="1" applyBorder="1" applyAlignment="1">
      <alignment horizontal="left" vertical="center" wrapText="1"/>
    </xf>
    <xf numFmtId="0" fontId="54" fillId="10" borderId="105" xfId="15" applyFont="1" applyFill="1" applyBorder="1" applyAlignment="1">
      <alignment horizontal="left" vertical="center" wrapText="1"/>
    </xf>
    <xf numFmtId="0" fontId="54" fillId="10" borderId="106" xfId="15" applyFont="1" applyFill="1" applyBorder="1" applyAlignment="1">
      <alignment horizontal="left" vertical="center" wrapText="1"/>
    </xf>
    <xf numFmtId="0" fontId="54" fillId="10" borderId="62" xfId="15" applyFont="1" applyFill="1" applyBorder="1" applyAlignment="1">
      <alignment horizontal="left" vertical="center" wrapText="1"/>
    </xf>
    <xf numFmtId="0" fontId="54" fillId="10" borderId="49" xfId="15" applyFont="1" applyFill="1" applyBorder="1" applyAlignment="1">
      <alignment horizontal="left" vertical="center" wrapText="1"/>
    </xf>
    <xf numFmtId="0" fontId="54" fillId="10" borderId="51" xfId="15" applyFont="1" applyFill="1" applyBorder="1" applyAlignment="1">
      <alignment horizontal="left" vertical="center" wrapText="1"/>
    </xf>
    <xf numFmtId="0" fontId="54" fillId="10" borderId="52" xfId="15" applyFont="1" applyFill="1" applyBorder="1" applyAlignment="1">
      <alignment horizontal="left" vertical="center" wrapText="1"/>
    </xf>
    <xf numFmtId="0" fontId="54" fillId="10" borderId="83" xfId="0" applyFont="1" applyFill="1" applyBorder="1" applyAlignment="1">
      <alignment horizontal="center" vertical="center" wrapText="1"/>
    </xf>
    <xf numFmtId="0" fontId="54" fillId="10" borderId="66" xfId="0" applyFont="1" applyFill="1" applyBorder="1" applyAlignment="1">
      <alignment horizontal="center" vertical="center" wrapText="1"/>
    </xf>
    <xf numFmtId="0" fontId="55" fillId="0" borderId="77" xfId="6" applyFont="1" applyBorder="1" applyAlignment="1" applyProtection="1">
      <alignment horizontal="left" vertical="center" wrapText="1"/>
      <protection locked="0"/>
    </xf>
    <xf numFmtId="0" fontId="55" fillId="0" borderId="78" xfId="6" applyFont="1" applyBorder="1" applyAlignment="1" applyProtection="1">
      <alignment horizontal="left" vertical="center" wrapText="1"/>
      <protection locked="0"/>
    </xf>
    <xf numFmtId="0" fontId="55" fillId="0" borderId="57" xfId="6" applyFont="1" applyBorder="1" applyAlignment="1" applyProtection="1">
      <alignment horizontal="left" vertical="center" wrapText="1"/>
      <protection locked="0"/>
    </xf>
    <xf numFmtId="0" fontId="42" fillId="10" borderId="52" xfId="6" applyFont="1" applyFill="1" applyBorder="1" applyAlignment="1">
      <alignment horizontal="left" vertical="center" wrapText="1"/>
    </xf>
    <xf numFmtId="0" fontId="55" fillId="10" borderId="16" xfId="6" applyFont="1" applyFill="1" applyBorder="1" applyAlignment="1">
      <alignment horizontal="left" vertical="center" wrapText="1"/>
    </xf>
    <xf numFmtId="0" fontId="55" fillId="10" borderId="15" xfId="6" applyFont="1" applyFill="1" applyBorder="1" applyAlignment="1">
      <alignment horizontal="left" vertical="center" wrapText="1"/>
    </xf>
    <xf numFmtId="0" fontId="64" fillId="0" borderId="0" xfId="4" applyFont="1" applyAlignment="1" applyProtection="1">
      <alignment horizontal="center" wrapText="1"/>
    </xf>
    <xf numFmtId="0" fontId="5" fillId="14" borderId="74" xfId="6" applyFont="1" applyFill="1" applyBorder="1" applyAlignment="1">
      <alignment horizontal="left" vertical="center" wrapText="1"/>
    </xf>
    <xf numFmtId="0" fontId="5" fillId="14" borderId="39" xfId="6" applyFont="1" applyFill="1" applyBorder="1" applyAlignment="1">
      <alignment horizontal="left" vertical="center" wrapText="1"/>
    </xf>
    <xf numFmtId="0" fontId="5" fillId="14" borderId="48" xfId="6" applyFont="1" applyFill="1" applyBorder="1" applyAlignment="1">
      <alignment horizontal="left" vertical="center" wrapText="1"/>
    </xf>
    <xf numFmtId="0" fontId="55" fillId="0" borderId="9" xfId="6" applyFont="1" applyBorder="1" applyAlignment="1" applyProtection="1">
      <alignment horizontal="left" vertical="center" wrapText="1"/>
      <protection locked="0"/>
    </xf>
    <xf numFmtId="0" fontId="55" fillId="0" borderId="18" xfId="6" applyFont="1" applyBorder="1" applyAlignment="1" applyProtection="1">
      <alignment horizontal="left" vertical="center" wrapText="1"/>
      <protection locked="0"/>
    </xf>
    <xf numFmtId="0" fontId="42" fillId="10" borderId="51" xfId="6" applyFont="1" applyFill="1" applyBorder="1" applyAlignment="1">
      <alignment horizontal="left" vertical="center" wrapText="1"/>
    </xf>
    <xf numFmtId="0" fontId="42" fillId="10" borderId="15" xfId="6" applyFont="1" applyFill="1" applyBorder="1" applyAlignment="1">
      <alignment horizontal="left" vertical="center" wrapText="1"/>
    </xf>
    <xf numFmtId="0" fontId="55" fillId="0" borderId="9" xfId="12" applyFont="1" applyBorder="1" applyAlignment="1" applyProtection="1">
      <alignment horizontal="left" vertical="top" wrapText="1"/>
      <protection locked="0"/>
    </xf>
    <xf numFmtId="0" fontId="55" fillId="0" borderId="18" xfId="12" applyFont="1" applyBorder="1" applyAlignment="1" applyProtection="1">
      <alignment horizontal="left" vertical="top" wrapText="1"/>
      <protection locked="0"/>
    </xf>
    <xf numFmtId="0" fontId="55" fillId="10" borderId="91" xfId="15" applyFont="1" applyFill="1" applyBorder="1" applyAlignment="1">
      <alignment horizontal="left" vertical="center" wrapText="1"/>
    </xf>
    <xf numFmtId="0" fontId="55" fillId="10" borderId="89" xfId="15" applyFont="1" applyFill="1" applyBorder="1" applyAlignment="1">
      <alignment horizontal="left" vertical="center" wrapText="1"/>
    </xf>
    <xf numFmtId="0" fontId="55" fillId="0" borderId="10" xfId="15" applyFont="1" applyBorder="1" applyAlignment="1" applyProtection="1">
      <alignment horizontal="left" vertical="top" wrapText="1"/>
      <protection locked="0"/>
    </xf>
    <xf numFmtId="0" fontId="55" fillId="0" borderId="18" xfId="15" applyFont="1" applyBorder="1" applyAlignment="1" applyProtection="1">
      <alignment horizontal="left" vertical="top" wrapText="1"/>
      <protection locked="0"/>
    </xf>
    <xf numFmtId="0" fontId="55" fillId="10" borderId="51" xfId="6" quotePrefix="1" applyFont="1" applyFill="1" applyBorder="1" applyAlignment="1">
      <alignment horizontal="left" vertical="center" wrapText="1"/>
    </xf>
    <xf numFmtId="0" fontId="55" fillId="10" borderId="52" xfId="6" applyFont="1" applyFill="1" applyBorder="1" applyAlignment="1">
      <alignment horizontal="left" vertical="center" wrapText="1"/>
    </xf>
    <xf numFmtId="0" fontId="49" fillId="10" borderId="32" xfId="6" applyFont="1" applyFill="1" applyBorder="1" applyAlignment="1">
      <alignment horizontal="center" vertical="center"/>
    </xf>
    <xf numFmtId="0" fontId="49" fillId="10" borderId="76" xfId="6" applyFont="1" applyFill="1" applyBorder="1" applyAlignment="1">
      <alignment horizontal="center" vertical="center"/>
    </xf>
    <xf numFmtId="0" fontId="49" fillId="10" borderId="83" xfId="6" applyFont="1" applyFill="1" applyBorder="1" applyAlignment="1">
      <alignment horizontal="center" vertical="center"/>
    </xf>
    <xf numFmtId="0" fontId="49" fillId="10" borderId="66" xfId="6" applyFont="1" applyFill="1" applyBorder="1" applyAlignment="1">
      <alignment horizontal="center" vertical="center"/>
    </xf>
    <xf numFmtId="0" fontId="54" fillId="10" borderId="41" xfId="15" applyFont="1" applyFill="1" applyBorder="1" applyAlignment="1">
      <alignment horizontal="left" vertical="center" wrapText="1"/>
    </xf>
    <xf numFmtId="0" fontId="54" fillId="10" borderId="42" xfId="15" applyFont="1" applyFill="1" applyBorder="1" applyAlignment="1">
      <alignment horizontal="left" vertical="center" wrapText="1"/>
    </xf>
    <xf numFmtId="0" fontId="55" fillId="0" borderId="55" xfId="12" applyFont="1" applyBorder="1" applyAlignment="1" applyProtection="1">
      <alignment horizontal="left" vertical="top" wrapText="1"/>
      <protection locked="0"/>
    </xf>
    <xf numFmtId="0" fontId="55" fillId="0" borderId="56" xfId="12" applyFont="1" applyBorder="1" applyAlignment="1" applyProtection="1">
      <alignment horizontal="left" vertical="top" wrapText="1"/>
      <protection locked="0"/>
    </xf>
    <xf numFmtId="0" fontId="6" fillId="10" borderId="16" xfId="6" applyFont="1" applyFill="1" applyBorder="1" applyAlignment="1">
      <alignment vertical="center" wrapText="1"/>
    </xf>
    <xf numFmtId="0" fontId="6" fillId="10" borderId="15" xfId="6" applyFont="1" applyFill="1" applyBorder="1" applyAlignment="1">
      <alignment vertical="center" wrapText="1"/>
    </xf>
    <xf numFmtId="0" fontId="55" fillId="0" borderId="55" xfId="15" applyFont="1" applyBorder="1" applyAlignment="1" applyProtection="1">
      <alignment horizontal="left" vertical="center" wrapText="1"/>
      <protection locked="0"/>
    </xf>
    <xf numFmtId="0" fontId="55" fillId="0" borderId="56" xfId="15" applyFont="1" applyBorder="1" applyAlignment="1" applyProtection="1">
      <alignment horizontal="left" vertical="center" wrapText="1"/>
      <protection locked="0"/>
    </xf>
    <xf numFmtId="0" fontId="36" fillId="10" borderId="62" xfId="0" applyFont="1" applyFill="1" applyBorder="1" applyAlignment="1">
      <alignment horizontal="left" wrapText="1"/>
    </xf>
    <xf numFmtId="0" fontId="41" fillId="10" borderId="49" xfId="0" applyFont="1" applyFill="1" applyBorder="1" applyAlignment="1">
      <alignment horizontal="left" wrapText="1"/>
    </xf>
    <xf numFmtId="0" fontId="54" fillId="10" borderId="58" xfId="6" applyFont="1" applyFill="1" applyBorder="1" applyAlignment="1">
      <alignment horizontal="left" vertical="center" wrapText="1"/>
    </xf>
    <xf numFmtId="0" fontId="55" fillId="0" borderId="55" xfId="12" applyFont="1" applyBorder="1" applyAlignment="1" applyProtection="1">
      <alignment horizontal="left" vertical="center" wrapText="1"/>
      <protection locked="0"/>
    </xf>
    <xf numFmtId="0" fontId="55" fillId="0" borderId="56" xfId="12" applyFont="1" applyBorder="1" applyAlignment="1" applyProtection="1">
      <alignment horizontal="left" vertical="center" wrapText="1"/>
      <protection locked="0"/>
    </xf>
    <xf numFmtId="0" fontId="54" fillId="10" borderId="31" xfId="15" applyFont="1" applyFill="1" applyBorder="1" applyAlignment="1">
      <alignment horizontal="left" vertical="center" wrapText="1"/>
    </xf>
    <xf numFmtId="0" fontId="55" fillId="0" borderId="71" xfId="12" applyFont="1" applyBorder="1" applyAlignment="1" applyProtection="1">
      <alignment horizontal="left" vertical="center" wrapText="1"/>
      <protection locked="0"/>
    </xf>
    <xf numFmtId="0" fontId="55" fillId="0" borderId="70" xfId="12" applyFont="1" applyBorder="1" applyAlignment="1" applyProtection="1">
      <alignment horizontal="left" vertical="center" wrapText="1"/>
      <protection locked="0"/>
    </xf>
    <xf numFmtId="0" fontId="55" fillId="14" borderId="23" xfId="6" applyFont="1" applyFill="1" applyBorder="1" applyAlignment="1">
      <alignment horizontal="left" vertical="center" wrapText="1"/>
    </xf>
    <xf numFmtId="0" fontId="13" fillId="14" borderId="27" xfId="6" applyFill="1" applyBorder="1" applyAlignment="1">
      <alignment horizontal="left" vertical="center" wrapText="1"/>
    </xf>
    <xf numFmtId="0" fontId="13" fillId="14" borderId="24" xfId="6" applyFill="1" applyBorder="1" applyAlignment="1">
      <alignment horizontal="left" vertical="center" wrapText="1"/>
    </xf>
    <xf numFmtId="0" fontId="55" fillId="0" borderId="87" xfId="12" applyFont="1" applyBorder="1" applyAlignment="1" applyProtection="1">
      <alignment horizontal="left" vertical="top" wrapText="1"/>
      <protection locked="0"/>
    </xf>
    <xf numFmtId="0" fontId="55" fillId="0" borderId="88" xfId="12" applyFont="1" applyBorder="1" applyAlignment="1" applyProtection="1">
      <alignment horizontal="left" vertical="top" wrapText="1"/>
      <protection locked="0"/>
    </xf>
    <xf numFmtId="0" fontId="49" fillId="10" borderId="34" xfId="6" applyFont="1" applyFill="1" applyBorder="1" applyAlignment="1">
      <alignment horizontal="center" vertical="center"/>
    </xf>
    <xf numFmtId="0" fontId="49" fillId="10" borderId="29" xfId="6" applyFont="1" applyFill="1" applyBorder="1" applyAlignment="1">
      <alignment horizontal="center" vertical="center"/>
    </xf>
    <xf numFmtId="0" fontId="49" fillId="10" borderId="47" xfId="6" applyFont="1" applyFill="1" applyBorder="1" applyAlignment="1">
      <alignment horizontal="center" vertical="center"/>
    </xf>
    <xf numFmtId="0" fontId="6" fillId="10" borderId="34" xfId="6" applyFont="1" applyFill="1" applyBorder="1" applyAlignment="1">
      <alignment vertical="center" wrapText="1"/>
    </xf>
    <xf numFmtId="0" fontId="6" fillId="10" borderId="24" xfId="6" applyFont="1" applyFill="1" applyBorder="1" applyAlignment="1">
      <alignment vertical="center" wrapText="1"/>
    </xf>
    <xf numFmtId="0" fontId="54" fillId="10" borderId="94" xfId="15" applyFont="1" applyFill="1" applyBorder="1" applyAlignment="1">
      <alignment horizontal="left" vertical="center" wrapText="1"/>
    </xf>
    <xf numFmtId="0" fontId="54" fillId="10" borderId="95" xfId="15" applyFont="1" applyFill="1" applyBorder="1" applyAlignment="1">
      <alignment horizontal="left" vertical="center" wrapText="1"/>
    </xf>
    <xf numFmtId="0" fontId="55" fillId="0" borderId="9" xfId="12" applyFont="1" applyBorder="1" applyAlignment="1" applyProtection="1">
      <alignment horizontal="left" vertical="center" wrapText="1"/>
      <protection locked="0"/>
    </xf>
    <xf numFmtId="0" fontId="54" fillId="10" borderId="11" xfId="15" applyFont="1" applyFill="1" applyBorder="1" applyAlignment="1">
      <alignment horizontal="left" vertical="center" wrapText="1"/>
    </xf>
    <xf numFmtId="0" fontId="54" fillId="10" borderId="15" xfId="15" applyFont="1" applyFill="1" applyBorder="1" applyAlignment="1">
      <alignment horizontal="left" vertical="center" wrapText="1"/>
    </xf>
    <xf numFmtId="0" fontId="55" fillId="10" borderId="24" xfId="15" applyFont="1" applyFill="1" applyBorder="1" applyAlignment="1">
      <alignment horizontal="left" vertical="center" wrapText="1"/>
    </xf>
    <xf numFmtId="0" fontId="49" fillId="10" borderId="23" xfId="6" applyFont="1" applyFill="1" applyBorder="1" applyAlignment="1">
      <alignment horizontal="center" vertical="center"/>
    </xf>
    <xf numFmtId="0" fontId="49" fillId="10" borderId="9" xfId="6" applyFont="1" applyFill="1" applyBorder="1" applyAlignment="1">
      <alignment horizontal="center" vertical="center"/>
    </xf>
    <xf numFmtId="0" fontId="55" fillId="0" borderId="9" xfId="18" applyFont="1" applyBorder="1" applyAlignment="1" applyProtection="1">
      <alignment horizontal="left" vertical="top" wrapText="1"/>
      <protection locked="0"/>
    </xf>
    <xf numFmtId="0" fontId="55" fillId="0" borderId="18" xfId="18" applyFont="1" applyBorder="1" applyAlignment="1" applyProtection="1">
      <alignment horizontal="left" vertical="top" wrapText="1"/>
      <protection locked="0"/>
    </xf>
    <xf numFmtId="0" fontId="55" fillId="0" borderId="87" xfId="15" applyFont="1" applyBorder="1" applyAlignment="1" applyProtection="1">
      <alignment horizontal="left" vertical="center" wrapText="1"/>
      <protection locked="0"/>
    </xf>
    <xf numFmtId="0" fontId="55" fillId="0" borderId="88" xfId="15" applyFont="1" applyBorder="1" applyAlignment="1" applyProtection="1">
      <alignment horizontal="left" vertical="center" wrapText="1"/>
      <protection locked="0"/>
    </xf>
    <xf numFmtId="0" fontId="55" fillId="0" borderId="87" xfId="15" applyFont="1" applyBorder="1" applyAlignment="1" applyProtection="1">
      <alignment horizontal="left" vertical="top" wrapText="1"/>
      <protection locked="0"/>
    </xf>
    <xf numFmtId="0" fontId="55" fillId="0" borderId="88" xfId="15" applyFont="1" applyBorder="1" applyAlignment="1" applyProtection="1">
      <alignment horizontal="left" vertical="top" wrapText="1"/>
      <protection locked="0"/>
    </xf>
    <xf numFmtId="0" fontId="54" fillId="0" borderId="55" xfId="15" applyFont="1" applyBorder="1" applyAlignment="1" applyProtection="1">
      <alignment horizontal="left" vertical="center" wrapText="1"/>
      <protection locked="0"/>
    </xf>
    <xf numFmtId="0" fontId="54" fillId="0" borderId="56" xfId="15" applyFont="1" applyBorder="1" applyAlignment="1" applyProtection="1">
      <alignment horizontal="left" vertical="center" wrapText="1"/>
      <protection locked="0"/>
    </xf>
    <xf numFmtId="0" fontId="49" fillId="10" borderId="81" xfId="6" applyFont="1" applyFill="1" applyBorder="1" applyAlignment="1">
      <alignment horizontal="center" vertical="center"/>
    </xf>
    <xf numFmtId="0" fontId="6" fillId="10" borderId="27" xfId="6" applyFont="1" applyFill="1" applyBorder="1" applyAlignment="1">
      <alignment vertical="center" wrapText="1"/>
    </xf>
    <xf numFmtId="173" fontId="6" fillId="10" borderId="91" xfId="6" applyNumberFormat="1" applyFont="1" applyFill="1" applyBorder="1" applyAlignment="1">
      <alignment vertical="center" wrapText="1"/>
    </xf>
    <xf numFmtId="173" fontId="6" fillId="10" borderId="89" xfId="6" applyNumberFormat="1" applyFont="1" applyFill="1" applyBorder="1" applyAlignment="1">
      <alignment vertical="center" wrapText="1"/>
    </xf>
    <xf numFmtId="0" fontId="49" fillId="10" borderId="33" xfId="6" applyFont="1" applyFill="1" applyBorder="1" applyAlignment="1">
      <alignment horizontal="center" vertical="center"/>
    </xf>
    <xf numFmtId="0" fontId="49" fillId="10" borderId="40" xfId="6" applyFont="1" applyFill="1" applyBorder="1" applyAlignment="1">
      <alignment horizontal="center" vertical="center"/>
    </xf>
    <xf numFmtId="0" fontId="55" fillId="0" borderId="73" xfId="12" applyFont="1" applyBorder="1" applyAlignment="1" applyProtection="1">
      <alignment horizontal="left" vertical="center" wrapText="1"/>
      <protection locked="0"/>
    </xf>
    <xf numFmtId="0" fontId="55" fillId="0" borderId="49" xfId="12" applyFont="1" applyBorder="1" applyAlignment="1" applyProtection="1">
      <alignment horizontal="left" vertical="center" wrapText="1"/>
      <protection locked="0"/>
    </xf>
    <xf numFmtId="0" fontId="55" fillId="0" borderId="87" xfId="18" applyFont="1" applyBorder="1" applyAlignment="1" applyProtection="1">
      <alignment horizontal="left" vertical="top" wrapText="1"/>
      <protection locked="0"/>
    </xf>
    <xf numFmtId="0" fontId="55" fillId="0" borderId="88" xfId="18" applyFont="1" applyBorder="1" applyAlignment="1" applyProtection="1">
      <alignment horizontal="left" vertical="top" wrapText="1"/>
      <protection locked="0"/>
    </xf>
    <xf numFmtId="0" fontId="55" fillId="10" borderId="34" xfId="15" applyFont="1" applyFill="1" applyBorder="1" applyAlignment="1">
      <alignment horizontal="left" vertical="center" wrapText="1"/>
    </xf>
    <xf numFmtId="0" fontId="55" fillId="0" borderId="55" xfId="18" applyFont="1" applyBorder="1" applyAlignment="1" applyProtection="1">
      <alignment horizontal="left" vertical="top" wrapText="1"/>
      <protection locked="0"/>
    </xf>
    <xf numFmtId="0" fontId="55" fillId="0" borderId="56" xfId="18" applyFont="1" applyBorder="1" applyAlignment="1" applyProtection="1">
      <alignment horizontal="left" vertical="top" wrapText="1"/>
      <protection locked="0"/>
    </xf>
    <xf numFmtId="0" fontId="49" fillId="10" borderId="32" xfId="6" applyFont="1" applyFill="1" applyBorder="1" applyAlignment="1">
      <alignment horizontal="center" vertical="distributed"/>
    </xf>
    <xf numFmtId="0" fontId="49" fillId="10" borderId="44" xfId="6" applyFont="1" applyFill="1" applyBorder="1" applyAlignment="1">
      <alignment horizontal="center" vertical="distributed"/>
    </xf>
    <xf numFmtId="0" fontId="49" fillId="10" borderId="44" xfId="6" applyFont="1" applyFill="1" applyBorder="1" applyAlignment="1">
      <alignment horizontal="center" vertical="center"/>
    </xf>
    <xf numFmtId="0" fontId="6" fillId="0" borderId="9" xfId="6" applyFont="1" applyBorder="1" applyAlignment="1" applyProtection="1">
      <alignment horizontal="center" vertical="center" wrapText="1"/>
      <protection locked="0"/>
    </xf>
    <xf numFmtId="0" fontId="6" fillId="0" borderId="18" xfId="6" applyFont="1" applyBorder="1" applyAlignment="1" applyProtection="1">
      <alignment horizontal="center" vertical="center" wrapText="1"/>
      <protection locked="0"/>
    </xf>
    <xf numFmtId="0" fontId="6" fillId="0" borderId="100" xfId="6" applyFont="1" applyBorder="1" applyAlignment="1" applyProtection="1">
      <alignment horizontal="center" vertical="center" wrapText="1"/>
      <protection locked="0"/>
    </xf>
    <xf numFmtId="0" fontId="6" fillId="0" borderId="99" xfId="6" applyFont="1" applyBorder="1" applyAlignment="1" applyProtection="1">
      <alignment horizontal="center" vertical="center" wrapText="1"/>
      <protection locked="0"/>
    </xf>
    <xf numFmtId="0" fontId="42" fillId="0" borderId="55" xfId="6" applyFont="1" applyBorder="1" applyAlignment="1" applyProtection="1">
      <alignment horizontal="left" vertical="center" wrapText="1"/>
      <protection locked="0"/>
    </xf>
    <xf numFmtId="0" fontId="42" fillId="0" borderId="56" xfId="6" applyFont="1" applyBorder="1" applyAlignment="1" applyProtection="1">
      <alignment horizontal="left" vertical="center" wrapText="1"/>
      <protection locked="0"/>
    </xf>
    <xf numFmtId="0" fontId="64" fillId="0" borderId="0" xfId="4" applyFont="1" applyAlignment="1" applyProtection="1">
      <alignment horizontal="center"/>
    </xf>
    <xf numFmtId="0" fontId="49" fillId="10" borderId="110" xfId="6" applyFont="1" applyFill="1" applyBorder="1" applyAlignment="1">
      <alignment horizontal="center" vertical="distributed"/>
    </xf>
    <xf numFmtId="0" fontId="85" fillId="19" borderId="79" xfId="0" applyFont="1" applyFill="1" applyBorder="1" applyAlignment="1">
      <alignment horizontal="center"/>
    </xf>
    <xf numFmtId="0" fontId="85" fillId="19" borderId="85" xfId="0" applyFont="1" applyFill="1" applyBorder="1" applyAlignment="1">
      <alignment horizontal="center"/>
    </xf>
    <xf numFmtId="0" fontId="85" fillId="19" borderId="68" xfId="0" applyFont="1" applyFill="1" applyBorder="1" applyAlignment="1">
      <alignment horizontal="center"/>
    </xf>
    <xf numFmtId="0" fontId="16" fillId="20" borderId="111" xfId="0" applyFont="1" applyFill="1" applyBorder="1" applyAlignment="1">
      <alignment horizontal="center"/>
    </xf>
    <xf numFmtId="0" fontId="83" fillId="18" borderId="0" xfId="0" applyFont="1" applyFill="1" applyAlignment="1">
      <alignment horizontal="center"/>
    </xf>
    <xf numFmtId="0" fontId="84" fillId="18" borderId="0" xfId="0" applyFont="1" applyFill="1" applyAlignment="1">
      <alignment horizontal="center"/>
    </xf>
    <xf numFmtId="0" fontId="85" fillId="19" borderId="111" xfId="0" applyFont="1" applyFill="1" applyBorder="1" applyAlignment="1">
      <alignment horizontal="center"/>
    </xf>
    <xf numFmtId="0" fontId="85" fillId="19" borderId="81" xfId="0" applyFont="1" applyFill="1" applyBorder="1" applyAlignment="1">
      <alignment horizontal="center"/>
    </xf>
    <xf numFmtId="0" fontId="16" fillId="20" borderId="79" xfId="0" applyFont="1" applyFill="1" applyBorder="1" applyAlignment="1">
      <alignment horizontal="center"/>
    </xf>
    <xf numFmtId="0" fontId="16" fillId="20" borderId="68" xfId="0" applyFont="1" applyFill="1" applyBorder="1" applyAlignment="1">
      <alignment horizontal="center"/>
    </xf>
    <xf numFmtId="43" fontId="0" fillId="0" borderId="0" xfId="46" applyFont="1" applyAlignment="1">
      <alignment horizontal="left"/>
    </xf>
    <xf numFmtId="0" fontId="0" fillId="0" borderId="0" xfId="0" applyAlignment="1">
      <alignment horizontal="left" wrapText="1"/>
    </xf>
  </cellXfs>
  <cellStyles count="118">
    <cellStyle name="Comma" xfId="1" builtinId="3"/>
    <cellStyle name="Comma 2" xfId="7" xr:uid="{00000000-0005-0000-0000-000001000000}"/>
    <cellStyle name="Comma 3" xfId="8" xr:uid="{00000000-0005-0000-0000-000002000000}"/>
    <cellStyle name="Comma 3 2" xfId="19" xr:uid="{00000000-0005-0000-0000-000003000000}"/>
    <cellStyle name="Comma 3 3" xfId="27" xr:uid="{00000000-0005-0000-0000-000004000000}"/>
    <cellStyle name="Comma 4" xfId="46" xr:uid="{00000000-0005-0000-0000-000005000000}"/>
    <cellStyle name="Comma 4 2" xfId="68" xr:uid="{00000000-0005-0000-0000-000006000000}"/>
    <cellStyle name="Comma 5" xfId="73" xr:uid="{00000000-0005-0000-0000-000007000000}"/>
    <cellStyle name="Comma 5 2" xfId="113" xr:uid="{00000000-0005-0000-0000-000008000000}"/>
    <cellStyle name="Currency" xfId="2" builtinId="4"/>
    <cellStyle name="Currency 2" xfId="3" xr:uid="{00000000-0005-0000-0000-00000A000000}"/>
    <cellStyle name="Currency 2 2" xfId="9" xr:uid="{00000000-0005-0000-0000-00000B000000}"/>
    <cellStyle name="Currency 2 2 2" xfId="21" xr:uid="{00000000-0005-0000-0000-00000C000000}"/>
    <cellStyle name="Currency 2 2 3" xfId="28" xr:uid="{00000000-0005-0000-0000-00000D000000}"/>
    <cellStyle name="Currency 2 2 3 2" xfId="72" xr:uid="{00000000-0005-0000-0000-00000E000000}"/>
    <cellStyle name="Currency 2 3" xfId="17" xr:uid="{00000000-0005-0000-0000-00000F000000}"/>
    <cellStyle name="Currency 2 4" xfId="25" xr:uid="{00000000-0005-0000-0000-000010000000}"/>
    <cellStyle name="Currency 3" xfId="10" xr:uid="{00000000-0005-0000-0000-000011000000}"/>
    <cellStyle name="Currency 4" xfId="11" xr:uid="{00000000-0005-0000-0000-000012000000}"/>
    <cellStyle name="Currency 4 2" xfId="29" xr:uid="{00000000-0005-0000-0000-000013000000}"/>
    <cellStyle name="Currency 4 3" xfId="24" xr:uid="{00000000-0005-0000-0000-000014000000}"/>
    <cellStyle name="Currency 5" xfId="71" xr:uid="{00000000-0005-0000-0000-000015000000}"/>
    <cellStyle name="Currency 5 2" xfId="112" xr:uid="{00000000-0005-0000-0000-000016000000}"/>
    <cellStyle name="Followed Hyperlink" xfId="47" builtinId="9" hidden="1"/>
    <cellStyle name="Followed Hyperlink" xfId="48" builtinId="9" hidden="1"/>
    <cellStyle name="Followed Hyperlink" xfId="49" builtinId="9" hidden="1"/>
    <cellStyle name="Followed Hyperlink" xfId="69" builtinId="9" hidden="1"/>
    <cellStyle name="Followed Hyperlink" xfId="115" builtinId="9" hidden="1"/>
    <cellStyle name="Followed Hyperlink" xfId="116" builtinId="9" hidden="1"/>
    <cellStyle name="Followed Hyperlink" xfId="117" builtinId="9" hidden="1"/>
    <cellStyle name="Hyperlink" xfId="4" builtinId="8"/>
    <cellStyle name="Normal" xfId="0" builtinId="0"/>
    <cellStyle name="Normal 2" xfId="6" xr:uid="{00000000-0005-0000-0000-000020000000}"/>
    <cellStyle name="Normal 2 2" xfId="15" xr:uid="{00000000-0005-0000-0000-000021000000}"/>
    <cellStyle name="Normal 2 2 2" xfId="45" xr:uid="{00000000-0005-0000-0000-000022000000}"/>
    <cellStyle name="Normal 2 3" xfId="26" xr:uid="{00000000-0005-0000-0000-000023000000}"/>
    <cellStyle name="Normal 2 3 2" xfId="37" xr:uid="{00000000-0005-0000-0000-000024000000}"/>
    <cellStyle name="Normal 2 3 2 2" xfId="60" xr:uid="{00000000-0005-0000-0000-000025000000}"/>
    <cellStyle name="Normal 2 3 2 2 2" xfId="103" xr:uid="{00000000-0005-0000-0000-000026000000}"/>
    <cellStyle name="Normal 2 3 2 3" xfId="85" xr:uid="{00000000-0005-0000-0000-000027000000}"/>
    <cellStyle name="Normal 2 3 3" xfId="43" xr:uid="{00000000-0005-0000-0000-000028000000}"/>
    <cellStyle name="Normal 2 3 3 2" xfId="66" xr:uid="{00000000-0005-0000-0000-000029000000}"/>
    <cellStyle name="Normal 2 3 3 2 2" xfId="109" xr:uid="{00000000-0005-0000-0000-00002A000000}"/>
    <cellStyle name="Normal 2 3 3 3" xfId="91" xr:uid="{00000000-0005-0000-0000-00002B000000}"/>
    <cellStyle name="Normal 2 3 4" xfId="54" xr:uid="{00000000-0005-0000-0000-00002C000000}"/>
    <cellStyle name="Normal 2 3 4 2" xfId="97" xr:uid="{00000000-0005-0000-0000-00002D000000}"/>
    <cellStyle name="Normal 2 3 5" xfId="79" xr:uid="{00000000-0005-0000-0000-00002E000000}"/>
    <cellStyle name="Normal 2 4" xfId="23" xr:uid="{00000000-0005-0000-0000-00002F000000}"/>
    <cellStyle name="Normal 2 4 2" xfId="36" xr:uid="{00000000-0005-0000-0000-000030000000}"/>
    <cellStyle name="Normal 2 4 2 2" xfId="59" xr:uid="{00000000-0005-0000-0000-000031000000}"/>
    <cellStyle name="Normal 2 4 2 2 2" xfId="102" xr:uid="{00000000-0005-0000-0000-000032000000}"/>
    <cellStyle name="Normal 2 4 2 3" xfId="84" xr:uid="{00000000-0005-0000-0000-000033000000}"/>
    <cellStyle name="Normal 2 4 3" xfId="42" xr:uid="{00000000-0005-0000-0000-000034000000}"/>
    <cellStyle name="Normal 2 4 3 2" xfId="65" xr:uid="{00000000-0005-0000-0000-000035000000}"/>
    <cellStyle name="Normal 2 4 3 2 2" xfId="108" xr:uid="{00000000-0005-0000-0000-000036000000}"/>
    <cellStyle name="Normal 2 4 3 3" xfId="90" xr:uid="{00000000-0005-0000-0000-000037000000}"/>
    <cellStyle name="Normal 2 4 4" xfId="53" xr:uid="{00000000-0005-0000-0000-000038000000}"/>
    <cellStyle name="Normal 2 4 4 2" xfId="96" xr:uid="{00000000-0005-0000-0000-000039000000}"/>
    <cellStyle name="Normal 2 4 5" xfId="78" xr:uid="{00000000-0005-0000-0000-00003A000000}"/>
    <cellStyle name="Normal 2 5" xfId="33" xr:uid="{00000000-0005-0000-0000-00003B000000}"/>
    <cellStyle name="Normal 2 5 2" xfId="56" xr:uid="{00000000-0005-0000-0000-00003C000000}"/>
    <cellStyle name="Normal 2 5 2 2" xfId="99" xr:uid="{00000000-0005-0000-0000-00003D000000}"/>
    <cellStyle name="Normal 2 5 3" xfId="81" xr:uid="{00000000-0005-0000-0000-00003E000000}"/>
    <cellStyle name="Normal 2 6" xfId="39" xr:uid="{00000000-0005-0000-0000-00003F000000}"/>
    <cellStyle name="Normal 2 6 2" xfId="62" xr:uid="{00000000-0005-0000-0000-000040000000}"/>
    <cellStyle name="Normal 2 6 2 2" xfId="105" xr:uid="{00000000-0005-0000-0000-000041000000}"/>
    <cellStyle name="Normal 2 6 3" xfId="87" xr:uid="{00000000-0005-0000-0000-000042000000}"/>
    <cellStyle name="Normal 2 7" xfId="50" xr:uid="{00000000-0005-0000-0000-000043000000}"/>
    <cellStyle name="Normal 2 7 2" xfId="93" xr:uid="{00000000-0005-0000-0000-000044000000}"/>
    <cellStyle name="Normal 2 8" xfId="75" xr:uid="{00000000-0005-0000-0000-000045000000}"/>
    <cellStyle name="Normal 3" xfId="12" xr:uid="{00000000-0005-0000-0000-000046000000}"/>
    <cellStyle name="Normal 3 2" xfId="18" xr:uid="{00000000-0005-0000-0000-000047000000}"/>
    <cellStyle name="Normal 3 3" xfId="30" xr:uid="{00000000-0005-0000-0000-000048000000}"/>
    <cellStyle name="Normal 4" xfId="16" xr:uid="{00000000-0005-0000-0000-000049000000}"/>
    <cellStyle name="Normal 4 2" xfId="32" xr:uid="{00000000-0005-0000-0000-00004A000000}"/>
    <cellStyle name="Normal 4 2 2" xfId="38" xr:uid="{00000000-0005-0000-0000-00004B000000}"/>
    <cellStyle name="Normal 4 2 2 2" xfId="61" xr:uid="{00000000-0005-0000-0000-00004C000000}"/>
    <cellStyle name="Normal 4 2 2 2 2" xfId="104" xr:uid="{00000000-0005-0000-0000-00004D000000}"/>
    <cellStyle name="Normal 4 2 2 3" xfId="86" xr:uid="{00000000-0005-0000-0000-00004E000000}"/>
    <cellStyle name="Normal 4 2 3" xfId="44" xr:uid="{00000000-0005-0000-0000-00004F000000}"/>
    <cellStyle name="Normal 4 2 3 2" xfId="67" xr:uid="{00000000-0005-0000-0000-000050000000}"/>
    <cellStyle name="Normal 4 2 3 2 2" xfId="110" xr:uid="{00000000-0005-0000-0000-000051000000}"/>
    <cellStyle name="Normal 4 2 3 3" xfId="92" xr:uid="{00000000-0005-0000-0000-000052000000}"/>
    <cellStyle name="Normal 4 2 4" xfId="55" xr:uid="{00000000-0005-0000-0000-000053000000}"/>
    <cellStyle name="Normal 4 2 4 2" xfId="98" xr:uid="{00000000-0005-0000-0000-000054000000}"/>
    <cellStyle name="Normal 4 2 5" xfId="80" xr:uid="{00000000-0005-0000-0000-000055000000}"/>
    <cellStyle name="Normal 4 3" xfId="34" xr:uid="{00000000-0005-0000-0000-000056000000}"/>
    <cellStyle name="Normal 4 3 2" xfId="57" xr:uid="{00000000-0005-0000-0000-000057000000}"/>
    <cellStyle name="Normal 4 3 2 2" xfId="100" xr:uid="{00000000-0005-0000-0000-000058000000}"/>
    <cellStyle name="Normal 4 3 3" xfId="82" xr:uid="{00000000-0005-0000-0000-000059000000}"/>
    <cellStyle name="Normal 4 4" xfId="40" xr:uid="{00000000-0005-0000-0000-00005A000000}"/>
    <cellStyle name="Normal 4 4 2" xfId="63" xr:uid="{00000000-0005-0000-0000-00005B000000}"/>
    <cellStyle name="Normal 4 4 2 2" xfId="106" xr:uid="{00000000-0005-0000-0000-00005C000000}"/>
    <cellStyle name="Normal 4 4 3" xfId="88" xr:uid="{00000000-0005-0000-0000-00005D000000}"/>
    <cellStyle name="Normal 4 5" xfId="51" xr:uid="{00000000-0005-0000-0000-00005E000000}"/>
    <cellStyle name="Normal 4 5 2" xfId="94" xr:uid="{00000000-0005-0000-0000-00005F000000}"/>
    <cellStyle name="Normal 4 6" xfId="76" xr:uid="{00000000-0005-0000-0000-000060000000}"/>
    <cellStyle name="Normal 5" xfId="22" xr:uid="{00000000-0005-0000-0000-000061000000}"/>
    <cellStyle name="Normal 5 2" xfId="35" xr:uid="{00000000-0005-0000-0000-000062000000}"/>
    <cellStyle name="Normal 5 2 2" xfId="58" xr:uid="{00000000-0005-0000-0000-000063000000}"/>
    <cellStyle name="Normal 5 2 2 2" xfId="101" xr:uid="{00000000-0005-0000-0000-000064000000}"/>
    <cellStyle name="Normal 5 2 3" xfId="83" xr:uid="{00000000-0005-0000-0000-000065000000}"/>
    <cellStyle name="Normal 5 3" xfId="41" xr:uid="{00000000-0005-0000-0000-000066000000}"/>
    <cellStyle name="Normal 5 3 2" xfId="64" xr:uid="{00000000-0005-0000-0000-000067000000}"/>
    <cellStyle name="Normal 5 3 2 2" xfId="107" xr:uid="{00000000-0005-0000-0000-000068000000}"/>
    <cellStyle name="Normal 5 3 3" xfId="89" xr:uid="{00000000-0005-0000-0000-000069000000}"/>
    <cellStyle name="Normal 5 4" xfId="52" xr:uid="{00000000-0005-0000-0000-00006A000000}"/>
    <cellStyle name="Normal 5 4 2" xfId="95" xr:uid="{00000000-0005-0000-0000-00006B000000}"/>
    <cellStyle name="Normal 5 5" xfId="77" xr:uid="{00000000-0005-0000-0000-00006C000000}"/>
    <cellStyle name="Normal 6" xfId="70" xr:uid="{00000000-0005-0000-0000-00006D000000}"/>
    <cellStyle name="Normal 6 2" xfId="111" xr:uid="{00000000-0005-0000-0000-00006E000000}"/>
    <cellStyle name="Percent" xfId="5" builtinId="5"/>
    <cellStyle name="Percent 2" xfId="13" xr:uid="{00000000-0005-0000-0000-000070000000}"/>
    <cellStyle name="Percent 3" xfId="14" xr:uid="{00000000-0005-0000-0000-000071000000}"/>
    <cellStyle name="Percent 3 2" xfId="20" xr:uid="{00000000-0005-0000-0000-000072000000}"/>
    <cellStyle name="Percent 3 3" xfId="31" xr:uid="{00000000-0005-0000-0000-000073000000}"/>
    <cellStyle name="Percent 4" xfId="74" xr:uid="{00000000-0005-0000-0000-000074000000}"/>
    <cellStyle name="Percent 4 2" xfId="114" xr:uid="{00000000-0005-0000-0000-000075000000}"/>
  </cellStyles>
  <dxfs count="67">
    <dxf>
      <font>
        <condense val="0"/>
        <extend val="0"/>
        <color indexed="9"/>
      </font>
      <fill>
        <patternFill patternType="lightUp">
          <bgColor indexed="65"/>
        </patternFill>
      </fill>
    </dxf>
    <dxf>
      <font>
        <color theme="0" tint="-0.24994659260841701"/>
      </font>
      <fill>
        <patternFill patternType="mediumGray">
          <fgColor theme="4" tint="0.59996337778862885"/>
        </patternFill>
      </fill>
    </dxf>
    <dxf>
      <font>
        <color theme="0"/>
      </font>
      <fill>
        <patternFill patternType="mediumGray">
          <fgColor theme="4" tint="0.59996337778862885"/>
        </patternFill>
      </fill>
    </dxf>
    <dxf>
      <font>
        <color theme="0"/>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font>
      <fill>
        <patternFill patternType="mediumGray">
          <fgColor theme="4" tint="0.59996337778862885"/>
        </patternFill>
      </fill>
    </dxf>
    <dxf>
      <font>
        <color theme="0" tint="-0.24994659260841701"/>
      </font>
      <fill>
        <patternFill patternType="mediumGray">
          <fgColor theme="4" tint="0.59996337778862885"/>
        </patternFill>
      </fill>
    </dxf>
    <dxf>
      <font>
        <color theme="0"/>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bgColor theme="0" tint="-0.14993743705557422"/>
        </patternFill>
      </fill>
    </dxf>
    <dxf>
      <font>
        <color theme="0" tint="-0.24994659260841701"/>
      </font>
      <fill>
        <patternFill patternType="mediumGray">
          <fgColor theme="4" tint="0.59996337778862885"/>
          <bgColor theme="0" tint="-0.14993743705557422"/>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font>
      <fill>
        <patternFill patternType="mediumGray">
          <fgColor theme="4" tint="0.59996337778862885"/>
        </patternFill>
      </fill>
    </dxf>
    <dxf>
      <font>
        <color theme="0" tint="-0.24994659260841701"/>
      </font>
      <fill>
        <patternFill patternType="mediumGray">
          <fgColor theme="4" tint="0.59996337778862885"/>
        </patternFill>
      </fill>
    </dxf>
    <dxf>
      <font>
        <color theme="0"/>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34998626667073579"/>
      </font>
      <fill>
        <patternFill patternType="mediumGray">
          <fgColor theme="4" tint="0.59996337778862885"/>
        </patternFill>
      </fill>
    </dxf>
    <dxf>
      <font>
        <color theme="0"/>
      </font>
      <fill>
        <patternFill patternType="mediumGray">
          <fgColor theme="4" tint="0.59996337778862885"/>
        </patternFill>
      </fill>
    </dxf>
    <dxf>
      <font>
        <color theme="0"/>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lor theme="0"/>
      </font>
      <fill>
        <patternFill patternType="mediumGray">
          <fgColor theme="4" tint="0.59996337778862885"/>
        </patternFill>
      </fill>
    </dxf>
    <dxf>
      <font>
        <color theme="0" tint="-0.24994659260841701"/>
      </font>
      <fill>
        <patternFill patternType="mediumGray">
          <fgColor theme="4" tint="0.59996337778862885"/>
        </patternFill>
      </fill>
    </dxf>
    <dxf>
      <font>
        <color theme="0" tint="-0.24994659260841701"/>
      </font>
      <fill>
        <patternFill patternType="mediumGray">
          <fgColor theme="4" tint="0.59996337778862885"/>
        </patternFill>
      </fill>
    </dxf>
    <dxf>
      <font>
        <condense val="0"/>
        <extend val="0"/>
        <color indexed="22"/>
      </font>
      <fill>
        <patternFill patternType="gray125">
          <bgColor indexed="65"/>
        </patternFill>
      </fill>
    </dxf>
    <dxf>
      <font>
        <color rgb="FF9C0006"/>
      </font>
      <fill>
        <patternFill>
          <bgColor rgb="FFFFC7CE"/>
        </patternFill>
      </fill>
    </dxf>
  </dxfs>
  <tableStyles count="0" defaultTableStyle="TableStyleMedium2" defaultPivotStyle="PivotStyleLight16"/>
  <colors>
    <mruColors>
      <color rgb="FFDCE6F1"/>
      <color rgb="FF324A8E"/>
      <color rgb="FF497533"/>
      <color rgb="FFFFFF99"/>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76198</xdr:colOff>
      <xdr:row>0</xdr:row>
      <xdr:rowOff>71855</xdr:rowOff>
    </xdr:from>
    <xdr:to>
      <xdr:col>8</xdr:col>
      <xdr:colOff>1066799</xdr:colOff>
      <xdr:row>3</xdr:row>
      <xdr:rowOff>22860</xdr:rowOff>
    </xdr:to>
    <xdr:pic>
      <xdr:nvPicPr>
        <xdr:cNvPr id="2" name="Picture 3">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8" y="71855"/>
          <a:ext cx="6111241" cy="49964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0</xdr:col>
      <xdr:colOff>85724</xdr:colOff>
      <xdr:row>5</xdr:row>
      <xdr:rowOff>1</xdr:rowOff>
    </xdr:from>
    <xdr:ext cx="6315076" cy="753427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5724" y="1047751"/>
          <a:ext cx="6315076" cy="753427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lang="en-US" sz="1200" b="1" u="sng" baseline="0">
              <a:solidFill>
                <a:sysClr val="windowText" lastClr="000000"/>
              </a:solidFill>
              <a:latin typeface="Times New Roman" panose="02020603050405020304" pitchFamily="18" charset="0"/>
              <a:cs typeface="Times New Roman" panose="02020603050405020304" pitchFamily="18" charset="0"/>
            </a:rPr>
            <a:t>Instructions: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1" i="0" u="sng"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There are three steps to completing the Application Part B spreadsheet: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Step 1.   Complete the "Applicant Information" tab.</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*Note: You must select an "Application Type" in the "Applicant Information" tab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for the Project type tab information to become visible.*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Step 2.   Complete the "Qualified Property List" tab.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Step 3.   Complete the one tab pertaining to the relevant Project type: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BioFuels</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Alternative Energy</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Energy Efficiency</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Advanced Transportation</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Advanced Manufacturing</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Recycling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Other Application Types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PLEASE BE SURE TO READ ALL INSTRUCTIONS AND PROMPTS</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Applicants may be asked to provide additional supporting information, if not already included in the Application package, including business plans, pro forma financial statements or other comparable documents used for the purpose of soliciting investors to verify responses contained in the Application. All Applicant provided values may be subject to verification.</a:t>
          </a:r>
          <a:endParaRPr lang="en-US" sz="1200" b="0" u="none" baseline="0">
            <a:solidFill>
              <a:sysClr val="windowText" lastClr="000000"/>
            </a:solidFill>
            <a:latin typeface="Times New Roman" panose="02020603050405020304" pitchFamily="18" charset="0"/>
            <a:cs typeface="Times New Roman" panose="02020603050405020304" pitchFamily="18" charset="0"/>
          </a:endParaRPr>
        </a:p>
        <a:p>
          <a:pPr algn="just"/>
          <a:endParaRPr lang="en-US" sz="1200" b="0" u="none" baseline="0">
            <a:solidFill>
              <a:sysClr val="windowText" lastClr="000000"/>
            </a:solidFill>
            <a:latin typeface="Times New Roman" panose="02020603050405020304" pitchFamily="18" charset="0"/>
            <a:cs typeface="Times New Roman" panose="02020603050405020304" pitchFamily="18" charset="0"/>
          </a:endParaRPr>
        </a:p>
        <a:p>
          <a:pPr algn="l"/>
          <a:r>
            <a:rPr lang="en-US" sz="1200" b="1" u="sng" baseline="0">
              <a:solidFill>
                <a:sysClr val="windowText" lastClr="000000"/>
              </a:solidFill>
              <a:latin typeface="Times New Roman" panose="02020603050405020304" pitchFamily="18" charset="0"/>
              <a:cs typeface="Times New Roman" panose="02020603050405020304" pitchFamily="18" charset="0"/>
            </a:rPr>
            <a:t>Scoring:</a:t>
          </a:r>
        </a:p>
        <a:p>
          <a:pPr algn="l"/>
          <a:endParaRPr lang="en-US" sz="1200" b="1" u="sng" baseline="0">
            <a:solidFill>
              <a:sysClr val="windowText" lastClr="000000"/>
            </a:solidFill>
            <a:latin typeface="Times New Roman" panose="02020603050405020304" pitchFamily="18" charset="0"/>
            <a:cs typeface="Times New Roman" panose="02020603050405020304" pitchFamily="18" charset="0"/>
          </a:endParaRPr>
        </a:p>
        <a:p>
          <a:pPr algn="just"/>
          <a:r>
            <a:rPr lang="en-US" sz="1200" b="0" u="none" baseline="0">
              <a:solidFill>
                <a:sysClr val="windowText" lastClr="000000"/>
              </a:solidFill>
              <a:latin typeface="Times New Roman" panose="02020603050405020304" pitchFamily="18" charset="0"/>
              <a:cs typeface="Times New Roman" panose="02020603050405020304" pitchFamily="18" charset="0"/>
            </a:rPr>
            <a:t>This Application Part B Excel spreadsheet will use the information provided to perform a net benefits test, comparing the amount of the exclusion with the anticipated fiscal and environmental benefits of the Project. If the Project passes the net benefits test, then the application may be recommended for approval, assuming all other eligibility criteria are met. </a:t>
          </a:r>
        </a:p>
        <a:p>
          <a:pPr algn="l"/>
          <a:endParaRPr lang="en-US" sz="1200" b="0" u="none" baseline="0">
            <a:solidFill>
              <a:sysClr val="windowText" lastClr="000000"/>
            </a:solidFill>
            <a:latin typeface="Times New Roman" panose="02020603050405020304" pitchFamily="18" charset="0"/>
            <a:cs typeface="Times New Roman" panose="02020603050405020304" pitchFamily="18" charset="0"/>
          </a:endParaRPr>
        </a:p>
        <a:p>
          <a:pPr algn="l"/>
          <a:r>
            <a:rPr lang="en-US" sz="1200" b="0" u="none" baseline="0">
              <a:solidFill>
                <a:sysClr val="windowText" lastClr="000000"/>
              </a:solidFill>
              <a:latin typeface="Times New Roman" panose="02020603050405020304" pitchFamily="18" charset="0"/>
              <a:cs typeface="Times New Roman" panose="02020603050405020304" pitchFamily="18" charset="0"/>
            </a:rPr>
            <a:t>Per Program regulations, in order to pass the net benefits test: </a:t>
          </a:r>
        </a:p>
        <a:p>
          <a:pPr algn="l"/>
          <a:r>
            <a:rPr lang="en-US" sz="1200" b="0" u="none" baseline="0">
              <a:solidFill>
                <a:sysClr val="windowText" lastClr="000000"/>
              </a:solidFill>
              <a:latin typeface="Times New Roman" panose="02020603050405020304" pitchFamily="18" charset="0"/>
              <a:cs typeface="Times New Roman" panose="02020603050405020304" pitchFamily="18" charset="0"/>
            </a:rPr>
            <a:t>          </a:t>
          </a:r>
          <a:r>
            <a:rPr lang="en-US" sz="1100" b="0" u="none" baseline="0">
              <a:solidFill>
                <a:sysClr val="windowText" lastClr="000000"/>
              </a:solidFill>
              <a:latin typeface="+mn-lt"/>
              <a:cs typeface="Times New Roman" panose="02020603050405020304" pitchFamily="18" charset="0"/>
            </a:rPr>
            <a:t>●</a:t>
          </a:r>
          <a:r>
            <a:rPr lang="en-US" sz="1200" b="0" u="none" baseline="0">
              <a:solidFill>
                <a:sysClr val="windowText" lastClr="000000"/>
              </a:solidFill>
              <a:latin typeface="Times New Roman" panose="02020603050405020304" pitchFamily="18" charset="0"/>
              <a:cs typeface="Times New Roman" panose="02020603050405020304" pitchFamily="18" charset="0"/>
            </a:rPr>
            <a:t>   Applicants must receive a total score of </a:t>
          </a:r>
          <a:r>
            <a:rPr lang="en-US" sz="1200" b="1" u="none" baseline="0">
              <a:solidFill>
                <a:sysClr val="windowText" lastClr="000000"/>
              </a:solidFill>
              <a:latin typeface="Times New Roman" panose="02020603050405020304" pitchFamily="18" charset="0"/>
              <a:cs typeface="Times New Roman" panose="02020603050405020304" pitchFamily="18" charset="0"/>
            </a:rPr>
            <a:t>at least 1000 points</a:t>
          </a:r>
          <a:r>
            <a:rPr lang="en-US" sz="1200" b="0" u="none" baseline="0">
              <a:solidFill>
                <a:sysClr val="windowText" lastClr="000000"/>
              </a:solidFill>
              <a:latin typeface="Times New Roman" panose="02020603050405020304" pitchFamily="18" charset="0"/>
              <a:cs typeface="Times New Roman" panose="02020603050405020304" pitchFamily="18" charset="0"/>
            </a:rPr>
            <a:t>. </a:t>
          </a:r>
        </a:p>
        <a:p>
          <a:pPr algn="l"/>
          <a:r>
            <a:rPr lang="en-US" sz="1100" b="0" baseline="0">
              <a:solidFill>
                <a:sysClr val="windowText" lastClr="000000"/>
              </a:solidFill>
              <a:effectLst/>
              <a:latin typeface="+mn-lt"/>
              <a:ea typeface="+mn-ea"/>
              <a:cs typeface="+mn-cs"/>
            </a:rPr>
            <a:t>            ●   </a:t>
          </a:r>
          <a:r>
            <a:rPr lang="en-US" sz="1200" b="0" u="none" baseline="0">
              <a:solidFill>
                <a:sysClr val="windowText" lastClr="000000"/>
              </a:solidFill>
              <a:latin typeface="Times New Roman" panose="02020603050405020304" pitchFamily="18" charset="0"/>
              <a:cs typeface="Times New Roman" panose="02020603050405020304" pitchFamily="18" charset="0"/>
            </a:rPr>
            <a:t>All Applicant types must receive an environmental benefits score of </a:t>
          </a:r>
          <a:r>
            <a:rPr lang="en-US" sz="1200" b="1" u="none" baseline="0">
              <a:solidFill>
                <a:sysClr val="windowText" lastClr="000000"/>
              </a:solidFill>
              <a:latin typeface="Times New Roman" panose="02020603050405020304" pitchFamily="18" charset="0"/>
              <a:cs typeface="Times New Roman" panose="02020603050405020304" pitchFamily="18" charset="0"/>
            </a:rPr>
            <a:t>over 20 points</a:t>
          </a:r>
          <a:r>
            <a:rPr lang="en-US" sz="1200" b="0" u="none" baseline="0">
              <a:solidFill>
                <a:sysClr val="windowText" lastClr="000000"/>
              </a:solidFill>
              <a:latin typeface="Times New Roman" panose="02020603050405020304" pitchFamily="18" charset="0"/>
              <a:cs typeface="Times New Roman" panose="02020603050405020304" pitchFamily="18" charset="0"/>
            </a:rPr>
            <a:t>.</a:t>
          </a:r>
        </a:p>
        <a:p>
          <a:pPr algn="l"/>
          <a:endParaRPr lang="en-US" sz="1200" b="0" u="none" baseline="0">
            <a:solidFill>
              <a:sysClr val="windowText" lastClr="000000"/>
            </a:solidFill>
            <a:latin typeface="Times New Roman" panose="02020603050405020304" pitchFamily="18" charset="0"/>
            <a:cs typeface="Times New Roman" panose="02020603050405020304" pitchFamily="18" charset="0"/>
          </a:endParaRPr>
        </a:p>
        <a:p>
          <a:pPr algn="just"/>
          <a:r>
            <a:rPr lang="en-US" sz="1200" b="0" u="none" baseline="0">
              <a:solidFill>
                <a:sysClr val="windowText" lastClr="000000"/>
              </a:solidFill>
              <a:latin typeface="Times New Roman" panose="02020603050405020304" pitchFamily="18" charset="0"/>
              <a:cs typeface="Times New Roman" panose="02020603050405020304" pitchFamily="18" charset="0"/>
            </a:rPr>
            <a:t>The "Scoring" tab of this spreadsheet shows the calculations and tentative scores for the application. However, these calculations and assumptions are provided for informational purposes and do not necessarily reflect the actual calculations and assumptions that the Authority will use to evaluate and score an individual application.</a:t>
          </a:r>
          <a:r>
            <a:rPr lang="en-US" sz="1200" b="1" u="sng" baseline="0">
              <a:solidFill>
                <a:sysClr val="windowText" lastClr="000000"/>
              </a:solidFill>
              <a:latin typeface="Times New Roman" panose="02020603050405020304" pitchFamily="18" charset="0"/>
              <a:cs typeface="Times New Roman" panose="02020603050405020304" pitchFamily="18" charset="0"/>
            </a:rPr>
            <a:t> </a:t>
          </a:r>
        </a:p>
        <a:p>
          <a:pPr algn="l"/>
          <a:endParaRPr lang="en-US" sz="1200" b="1" u="sng" baseline="0">
            <a:solidFill>
              <a:sysClr val="windowText" lastClr="000000"/>
            </a:solidFill>
            <a:latin typeface="Times New Roman" panose="02020603050405020304" pitchFamily="18" charset="0"/>
            <a:cs typeface="Times New Roman" panose="02020603050405020304" pitchFamily="18" charset="0"/>
          </a:endParaRPr>
        </a:p>
        <a:p>
          <a:pPr algn="l"/>
          <a:r>
            <a:rPr lang="en-US" sz="1200" b="0" baseline="0">
              <a:solidFill>
                <a:sysClr val="windowText" lastClr="000000"/>
              </a:solidFill>
              <a:latin typeface="Times New Roman" panose="02020603050405020304" pitchFamily="18" charset="0"/>
              <a:cs typeface="Times New Roman" panose="02020603050405020304" pitchFamily="18" charset="0"/>
            </a:rPr>
            <a:t> </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1669685</xdr:colOff>
      <xdr:row>1</xdr:row>
      <xdr:rowOff>60960</xdr:rowOff>
    </xdr:to>
    <xdr:sp macro="" textlink="">
      <xdr:nvSpPr>
        <xdr:cNvPr id="2" name="Freeform 23">
          <a:extLst>
            <a:ext uri="{FF2B5EF4-FFF2-40B4-BE49-F238E27FC236}">
              <a16:creationId xmlns:a16="http://schemas.microsoft.com/office/drawing/2014/main" id="{2E37EC9A-6035-4FEE-8357-51C734FBDF5C}"/>
            </a:ext>
          </a:extLst>
        </xdr:cNvPr>
        <xdr:cNvSpPr/>
      </xdr:nvSpPr>
      <xdr:spPr>
        <a:xfrm>
          <a:off x="0" y="0"/>
          <a:ext cx="2098310"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1</a:t>
          </a:r>
        </a:p>
      </xdr:txBody>
    </xdr:sp>
    <xdr:clientData/>
  </xdr:twoCellAnchor>
  <xdr:twoCellAnchor>
    <xdr:from>
      <xdr:col>1</xdr:col>
      <xdr:colOff>1386612</xdr:colOff>
      <xdr:row>0</xdr:row>
      <xdr:rowOff>0</xdr:rowOff>
    </xdr:from>
    <xdr:to>
      <xdr:col>1</xdr:col>
      <xdr:colOff>3487135</xdr:colOff>
      <xdr:row>1</xdr:row>
      <xdr:rowOff>60960</xdr:rowOff>
    </xdr:to>
    <xdr:sp macro="" textlink="">
      <xdr:nvSpPr>
        <xdr:cNvPr id="3" name="Freeform 24">
          <a:extLst>
            <a:ext uri="{FF2B5EF4-FFF2-40B4-BE49-F238E27FC236}">
              <a16:creationId xmlns:a16="http://schemas.microsoft.com/office/drawing/2014/main" id="{E28CDD62-E4DD-48E5-8751-FAF9BA58A80A}"/>
            </a:ext>
          </a:extLst>
        </xdr:cNvPr>
        <xdr:cNvSpPr/>
      </xdr:nvSpPr>
      <xdr:spPr>
        <a:xfrm>
          <a:off x="1815237" y="0"/>
          <a:ext cx="2100523"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2</a:t>
          </a:r>
        </a:p>
      </xdr:txBody>
    </xdr:sp>
    <xdr:clientData/>
  </xdr:twoCellAnchor>
  <xdr:twoCellAnchor>
    <xdr:from>
      <xdr:col>1</xdr:col>
      <xdr:colOff>3363652</xdr:colOff>
      <xdr:row>0</xdr:row>
      <xdr:rowOff>0</xdr:rowOff>
    </xdr:from>
    <xdr:to>
      <xdr:col>2</xdr:col>
      <xdr:colOff>358775</xdr:colOff>
      <xdr:row>1</xdr:row>
      <xdr:rowOff>60960</xdr:rowOff>
    </xdr:to>
    <xdr:sp macro="" textlink="">
      <xdr:nvSpPr>
        <xdr:cNvPr id="4" name="Freeform 25">
          <a:extLst>
            <a:ext uri="{FF2B5EF4-FFF2-40B4-BE49-F238E27FC236}">
              <a16:creationId xmlns:a16="http://schemas.microsoft.com/office/drawing/2014/main" id="{FEB9EAB1-3D9A-4B71-8FAF-C8BA465E4781}"/>
            </a:ext>
          </a:extLst>
        </xdr:cNvPr>
        <xdr:cNvSpPr/>
      </xdr:nvSpPr>
      <xdr:spPr>
        <a:xfrm>
          <a:off x="3792277" y="0"/>
          <a:ext cx="2100523"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497533"/>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846545</xdr:colOff>
      <xdr:row>0</xdr:row>
      <xdr:rowOff>375920</xdr:rowOff>
    </xdr:to>
    <xdr:grpSp>
      <xdr:nvGrpSpPr>
        <xdr:cNvPr id="2" name="Group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GrpSpPr/>
      </xdr:nvGrpSpPr>
      <xdr:grpSpPr>
        <a:xfrm>
          <a:off x="0" y="0"/>
          <a:ext cx="6618695" cy="375920"/>
          <a:chOff x="0" y="0"/>
          <a:chExt cx="6626859" cy="375920"/>
        </a:xfrm>
      </xdr:grpSpPr>
      <xdr:sp macro="" textlink="">
        <xdr:nvSpPr>
          <xdr:cNvPr id="3" name="Freeform 2">
            <a:extLst>
              <a:ext uri="{FF2B5EF4-FFF2-40B4-BE49-F238E27FC236}">
                <a16:creationId xmlns:a16="http://schemas.microsoft.com/office/drawing/2014/main" id="{00000000-0008-0000-0100-000003000000}"/>
              </a:ext>
            </a:extLst>
          </xdr:cNvPr>
          <xdr:cNvSpPr/>
        </xdr:nvSpPr>
        <xdr:spPr>
          <a:xfrm>
            <a:off x="0" y="0"/>
            <a:ext cx="2379854" cy="375920"/>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497533"/>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000" b="1" kern="1200"/>
              <a:t>Step 1</a:t>
            </a:r>
          </a:p>
        </xdr:txBody>
      </xdr:sp>
      <xdr:sp macro="" textlink="">
        <xdr:nvSpPr>
          <xdr:cNvPr id="4" name="Freeform 3">
            <a:extLst>
              <a:ext uri="{FF2B5EF4-FFF2-40B4-BE49-F238E27FC236}">
                <a16:creationId xmlns:a16="http://schemas.microsoft.com/office/drawing/2014/main" id="{00000000-0008-0000-0100-000004000000}"/>
              </a:ext>
            </a:extLst>
          </xdr:cNvPr>
          <xdr:cNvSpPr/>
        </xdr:nvSpPr>
        <xdr:spPr>
          <a:xfrm>
            <a:off x="2008251" y="0"/>
            <a:ext cx="2379854" cy="375920"/>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000" b="1" kern="1200"/>
              <a:t>Step 2</a:t>
            </a:r>
          </a:p>
        </xdr:txBody>
      </xdr:sp>
      <xdr:sp macro="" textlink="">
        <xdr:nvSpPr>
          <xdr:cNvPr id="5" name="Freeform 4">
            <a:extLst>
              <a:ext uri="{FF2B5EF4-FFF2-40B4-BE49-F238E27FC236}">
                <a16:creationId xmlns:a16="http://schemas.microsoft.com/office/drawing/2014/main" id="{00000000-0008-0000-0100-000005000000}"/>
              </a:ext>
            </a:extLst>
          </xdr:cNvPr>
          <xdr:cNvSpPr/>
        </xdr:nvSpPr>
        <xdr:spPr>
          <a:xfrm>
            <a:off x="4247005" y="0"/>
            <a:ext cx="2379854" cy="375920"/>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000" b="1" kern="1200"/>
              <a:t>Step 3</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35860</xdr:rowOff>
    </xdr:from>
    <xdr:to>
      <xdr:col>2</xdr:col>
      <xdr:colOff>2271207</xdr:colOff>
      <xdr:row>0</xdr:row>
      <xdr:rowOff>312084</xdr:rowOff>
    </xdr:to>
    <xdr:grpSp>
      <xdr:nvGrpSpPr>
        <xdr:cNvPr id="15" name="Group 14">
          <a:extLst>
            <a:ext uri="{FF2B5EF4-FFF2-40B4-BE49-F238E27FC236}">
              <a16:creationId xmlns:a16="http://schemas.microsoft.com/office/drawing/2014/main" id="{00000000-0008-0000-0200-00000F000000}"/>
            </a:ext>
            <a:ext uri="{C183D7F6-B498-43B3-948B-1728B52AA6E4}">
              <adec:decorative xmlns:adec="http://schemas.microsoft.com/office/drawing/2017/decorative" val="1"/>
            </a:ext>
          </a:extLst>
        </xdr:cNvPr>
        <xdr:cNvGrpSpPr/>
      </xdr:nvGrpSpPr>
      <xdr:grpSpPr>
        <a:xfrm>
          <a:off x="0" y="35860"/>
          <a:ext cx="6430457" cy="276224"/>
          <a:chOff x="0" y="0"/>
          <a:chExt cx="6628054" cy="276224"/>
        </a:xfrm>
      </xdr:grpSpPr>
      <xdr:sp macro="" textlink="">
        <xdr:nvSpPr>
          <xdr:cNvPr id="12" name="Freeform 11">
            <a:extLst>
              <a:ext uri="{FF2B5EF4-FFF2-40B4-BE49-F238E27FC236}">
                <a16:creationId xmlns:a16="http://schemas.microsoft.com/office/drawing/2014/main" id="{00000000-0008-0000-0200-00000C000000}"/>
              </a:ext>
            </a:extLst>
          </xdr:cNvPr>
          <xdr:cNvSpPr/>
        </xdr:nvSpPr>
        <xdr:spPr>
          <a:xfrm>
            <a:off x="0" y="0"/>
            <a:ext cx="2379854" cy="27622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1600" b="1" kern="1200"/>
              <a:t>Step 1</a:t>
            </a:r>
          </a:p>
        </xdr:txBody>
      </xdr:sp>
      <xdr:sp macro="" textlink="">
        <xdr:nvSpPr>
          <xdr:cNvPr id="13" name="Freeform 12">
            <a:extLst>
              <a:ext uri="{FF2B5EF4-FFF2-40B4-BE49-F238E27FC236}">
                <a16:creationId xmlns:a16="http://schemas.microsoft.com/office/drawing/2014/main" id="{00000000-0008-0000-0200-00000D000000}"/>
              </a:ext>
            </a:extLst>
          </xdr:cNvPr>
          <xdr:cNvSpPr/>
        </xdr:nvSpPr>
        <xdr:spPr>
          <a:xfrm>
            <a:off x="2008251" y="0"/>
            <a:ext cx="2379854" cy="27622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497533"/>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1600" b="1" kern="1200"/>
              <a:t>Step 2</a:t>
            </a:r>
          </a:p>
        </xdr:txBody>
      </xdr:sp>
      <xdr:sp macro="" textlink="">
        <xdr:nvSpPr>
          <xdr:cNvPr id="14" name="Freeform 13">
            <a:extLst>
              <a:ext uri="{FF2B5EF4-FFF2-40B4-BE49-F238E27FC236}">
                <a16:creationId xmlns:a16="http://schemas.microsoft.com/office/drawing/2014/main" id="{00000000-0008-0000-0200-00000E000000}"/>
              </a:ext>
            </a:extLst>
          </xdr:cNvPr>
          <xdr:cNvSpPr/>
        </xdr:nvSpPr>
        <xdr:spPr>
          <a:xfrm>
            <a:off x="4248200" y="0"/>
            <a:ext cx="2379854" cy="27622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1600" b="1" kern="1200"/>
              <a:t>Step 3</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558800</xdr:colOff>
      <xdr:row>1</xdr:row>
      <xdr:rowOff>60960</xdr:rowOff>
    </xdr:to>
    <xdr:grpSp>
      <xdr:nvGrpSpPr>
        <xdr:cNvPr id="23" name="Group 22">
          <a:extLst>
            <a:ext uri="{FF2B5EF4-FFF2-40B4-BE49-F238E27FC236}">
              <a16:creationId xmlns:a16="http://schemas.microsoft.com/office/drawing/2014/main" id="{00000000-0008-0000-0300-000017000000}"/>
            </a:ext>
            <a:ext uri="{C183D7F6-B498-43B3-948B-1728B52AA6E4}">
              <adec:decorative xmlns:adec="http://schemas.microsoft.com/office/drawing/2017/decorative" val="1"/>
            </a:ext>
          </a:extLst>
        </xdr:cNvPr>
        <xdr:cNvGrpSpPr/>
      </xdr:nvGrpSpPr>
      <xdr:grpSpPr>
        <a:xfrm>
          <a:off x="0" y="0"/>
          <a:ext cx="5892800" cy="527685"/>
          <a:chOff x="-51544" y="0"/>
          <a:chExt cx="6762671" cy="276224"/>
        </a:xfrm>
      </xdr:grpSpPr>
      <xdr:sp macro="" textlink="">
        <xdr:nvSpPr>
          <xdr:cNvPr id="24" name="Freeform 23">
            <a:extLst>
              <a:ext uri="{FF2B5EF4-FFF2-40B4-BE49-F238E27FC236}">
                <a16:creationId xmlns:a16="http://schemas.microsoft.com/office/drawing/2014/main" id="{00000000-0008-0000-0300-000018000000}"/>
              </a:ext>
            </a:extLst>
          </xdr:cNvPr>
          <xdr:cNvSpPr/>
        </xdr:nvSpPr>
        <xdr:spPr>
          <a:xfrm>
            <a:off x="-51544" y="0"/>
            <a:ext cx="2408054" cy="27622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1</a:t>
            </a:r>
          </a:p>
        </xdr:txBody>
      </xdr:sp>
      <xdr:sp macro="" textlink="">
        <xdr:nvSpPr>
          <xdr:cNvPr id="25" name="Freeform 24">
            <a:extLst>
              <a:ext uri="{FF2B5EF4-FFF2-40B4-BE49-F238E27FC236}">
                <a16:creationId xmlns:a16="http://schemas.microsoft.com/office/drawing/2014/main" id="{00000000-0008-0000-0300-000019000000}"/>
              </a:ext>
            </a:extLst>
          </xdr:cNvPr>
          <xdr:cNvSpPr/>
        </xdr:nvSpPr>
        <xdr:spPr>
          <a:xfrm>
            <a:off x="2031651" y="0"/>
            <a:ext cx="2410594" cy="27622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2</a:t>
            </a:r>
          </a:p>
        </xdr:txBody>
      </xdr:sp>
      <xdr:sp macro="" textlink="">
        <xdr:nvSpPr>
          <xdr:cNvPr id="26" name="Freeform 25">
            <a:extLst>
              <a:ext uri="{FF2B5EF4-FFF2-40B4-BE49-F238E27FC236}">
                <a16:creationId xmlns:a16="http://schemas.microsoft.com/office/drawing/2014/main" id="{00000000-0008-0000-0300-00001A000000}"/>
              </a:ext>
            </a:extLst>
          </xdr:cNvPr>
          <xdr:cNvSpPr/>
        </xdr:nvSpPr>
        <xdr:spPr>
          <a:xfrm>
            <a:off x="4300533" y="0"/>
            <a:ext cx="2410594" cy="27622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497533"/>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3</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1726835</xdr:colOff>
      <xdr:row>1</xdr:row>
      <xdr:rowOff>57149</xdr:rowOff>
    </xdr:to>
    <xdr:sp macro="" textlink="">
      <xdr:nvSpPr>
        <xdr:cNvPr id="2" name="Freeform 23">
          <a:extLst>
            <a:ext uri="{FF2B5EF4-FFF2-40B4-BE49-F238E27FC236}">
              <a16:creationId xmlns:a16="http://schemas.microsoft.com/office/drawing/2014/main" id="{5BBD9BF0-D1A9-4941-9BA1-F658C204D69D}"/>
            </a:ext>
          </a:extLst>
        </xdr:cNvPr>
        <xdr:cNvSpPr/>
      </xdr:nvSpPr>
      <xdr:spPr>
        <a:xfrm>
          <a:off x="0" y="0"/>
          <a:ext cx="2098310" cy="52387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1</a:t>
          </a:r>
        </a:p>
      </xdr:txBody>
    </xdr:sp>
    <xdr:clientData/>
  </xdr:twoCellAnchor>
  <xdr:twoCellAnchor>
    <xdr:from>
      <xdr:col>1</xdr:col>
      <xdr:colOff>1443762</xdr:colOff>
      <xdr:row>0</xdr:row>
      <xdr:rowOff>0</xdr:rowOff>
    </xdr:from>
    <xdr:to>
      <xdr:col>1</xdr:col>
      <xdr:colOff>3544285</xdr:colOff>
      <xdr:row>1</xdr:row>
      <xdr:rowOff>57149</xdr:rowOff>
    </xdr:to>
    <xdr:sp macro="" textlink="">
      <xdr:nvSpPr>
        <xdr:cNvPr id="3" name="Freeform 24">
          <a:extLst>
            <a:ext uri="{FF2B5EF4-FFF2-40B4-BE49-F238E27FC236}">
              <a16:creationId xmlns:a16="http://schemas.microsoft.com/office/drawing/2014/main" id="{C881FB95-F033-45BA-ADA7-7C53EC37DA85}"/>
            </a:ext>
          </a:extLst>
        </xdr:cNvPr>
        <xdr:cNvSpPr/>
      </xdr:nvSpPr>
      <xdr:spPr>
        <a:xfrm>
          <a:off x="1815237" y="0"/>
          <a:ext cx="2100523" cy="52387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2</a:t>
          </a:r>
        </a:p>
      </xdr:txBody>
    </xdr:sp>
    <xdr:clientData/>
  </xdr:twoCellAnchor>
  <xdr:twoCellAnchor>
    <xdr:from>
      <xdr:col>1</xdr:col>
      <xdr:colOff>3420802</xdr:colOff>
      <xdr:row>0</xdr:row>
      <xdr:rowOff>0</xdr:rowOff>
    </xdr:from>
    <xdr:to>
      <xdr:col>2</xdr:col>
      <xdr:colOff>492125</xdr:colOff>
      <xdr:row>1</xdr:row>
      <xdr:rowOff>57149</xdr:rowOff>
    </xdr:to>
    <xdr:sp macro="" textlink="">
      <xdr:nvSpPr>
        <xdr:cNvPr id="4" name="Freeform 25">
          <a:extLst>
            <a:ext uri="{FF2B5EF4-FFF2-40B4-BE49-F238E27FC236}">
              <a16:creationId xmlns:a16="http://schemas.microsoft.com/office/drawing/2014/main" id="{A4D56AB2-1524-47FB-B705-382B7DAF6121}"/>
            </a:ext>
          </a:extLst>
        </xdr:cNvPr>
        <xdr:cNvSpPr/>
      </xdr:nvSpPr>
      <xdr:spPr>
        <a:xfrm>
          <a:off x="3792277" y="0"/>
          <a:ext cx="2100523" cy="52387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497533"/>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1726835</xdr:colOff>
      <xdr:row>1</xdr:row>
      <xdr:rowOff>57149</xdr:rowOff>
    </xdr:to>
    <xdr:sp macro="" textlink="">
      <xdr:nvSpPr>
        <xdr:cNvPr id="5" name="Freeform 23">
          <a:extLst>
            <a:ext uri="{FF2B5EF4-FFF2-40B4-BE49-F238E27FC236}">
              <a16:creationId xmlns:a16="http://schemas.microsoft.com/office/drawing/2014/main" id="{E503C1B4-0E6B-41B7-81A5-A4D09F8C0534}"/>
            </a:ext>
          </a:extLst>
        </xdr:cNvPr>
        <xdr:cNvSpPr/>
      </xdr:nvSpPr>
      <xdr:spPr>
        <a:xfrm>
          <a:off x="0" y="0"/>
          <a:ext cx="2098310" cy="52387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1</a:t>
          </a:r>
        </a:p>
      </xdr:txBody>
    </xdr:sp>
    <xdr:clientData/>
  </xdr:twoCellAnchor>
  <xdr:twoCellAnchor>
    <xdr:from>
      <xdr:col>1</xdr:col>
      <xdr:colOff>1443762</xdr:colOff>
      <xdr:row>0</xdr:row>
      <xdr:rowOff>0</xdr:rowOff>
    </xdr:from>
    <xdr:to>
      <xdr:col>1</xdr:col>
      <xdr:colOff>3544285</xdr:colOff>
      <xdr:row>1</xdr:row>
      <xdr:rowOff>57149</xdr:rowOff>
    </xdr:to>
    <xdr:sp macro="" textlink="">
      <xdr:nvSpPr>
        <xdr:cNvPr id="6" name="Freeform 24">
          <a:extLst>
            <a:ext uri="{FF2B5EF4-FFF2-40B4-BE49-F238E27FC236}">
              <a16:creationId xmlns:a16="http://schemas.microsoft.com/office/drawing/2014/main" id="{5AAC0D8B-FAC3-494E-A86A-8CF64B1B62A8}"/>
            </a:ext>
          </a:extLst>
        </xdr:cNvPr>
        <xdr:cNvSpPr/>
      </xdr:nvSpPr>
      <xdr:spPr>
        <a:xfrm>
          <a:off x="1815237" y="0"/>
          <a:ext cx="2100523" cy="52387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2</a:t>
          </a:r>
        </a:p>
      </xdr:txBody>
    </xdr:sp>
    <xdr:clientData/>
  </xdr:twoCellAnchor>
  <xdr:twoCellAnchor>
    <xdr:from>
      <xdr:col>1</xdr:col>
      <xdr:colOff>3420802</xdr:colOff>
      <xdr:row>0</xdr:row>
      <xdr:rowOff>0</xdr:rowOff>
    </xdr:from>
    <xdr:to>
      <xdr:col>2</xdr:col>
      <xdr:colOff>511175</xdr:colOff>
      <xdr:row>1</xdr:row>
      <xdr:rowOff>57149</xdr:rowOff>
    </xdr:to>
    <xdr:sp macro="" textlink="">
      <xdr:nvSpPr>
        <xdr:cNvPr id="7" name="Freeform 25">
          <a:extLst>
            <a:ext uri="{FF2B5EF4-FFF2-40B4-BE49-F238E27FC236}">
              <a16:creationId xmlns:a16="http://schemas.microsoft.com/office/drawing/2014/main" id="{A9A056FB-399E-465C-84E0-7944C267F820}"/>
            </a:ext>
          </a:extLst>
        </xdr:cNvPr>
        <xdr:cNvSpPr/>
      </xdr:nvSpPr>
      <xdr:spPr>
        <a:xfrm>
          <a:off x="3792277" y="0"/>
          <a:ext cx="2100523" cy="523874"/>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497533"/>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3</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1755410</xdr:colOff>
      <xdr:row>1</xdr:row>
      <xdr:rowOff>60960</xdr:rowOff>
    </xdr:to>
    <xdr:sp macro="" textlink="">
      <xdr:nvSpPr>
        <xdr:cNvPr id="2" name="Freeform 23">
          <a:extLst>
            <a:ext uri="{FF2B5EF4-FFF2-40B4-BE49-F238E27FC236}">
              <a16:creationId xmlns:a16="http://schemas.microsoft.com/office/drawing/2014/main" id="{6B514C87-0498-4F8F-AFBD-A016CBD66FED}"/>
            </a:ext>
          </a:extLst>
        </xdr:cNvPr>
        <xdr:cNvSpPr/>
      </xdr:nvSpPr>
      <xdr:spPr>
        <a:xfrm>
          <a:off x="0" y="0"/>
          <a:ext cx="2098310"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1</a:t>
          </a:r>
        </a:p>
      </xdr:txBody>
    </xdr:sp>
    <xdr:clientData/>
  </xdr:twoCellAnchor>
  <xdr:twoCellAnchor>
    <xdr:from>
      <xdr:col>1</xdr:col>
      <xdr:colOff>1472337</xdr:colOff>
      <xdr:row>0</xdr:row>
      <xdr:rowOff>0</xdr:rowOff>
    </xdr:from>
    <xdr:to>
      <xdr:col>1</xdr:col>
      <xdr:colOff>3572860</xdr:colOff>
      <xdr:row>1</xdr:row>
      <xdr:rowOff>60960</xdr:rowOff>
    </xdr:to>
    <xdr:sp macro="" textlink="">
      <xdr:nvSpPr>
        <xdr:cNvPr id="3" name="Freeform 24">
          <a:extLst>
            <a:ext uri="{FF2B5EF4-FFF2-40B4-BE49-F238E27FC236}">
              <a16:creationId xmlns:a16="http://schemas.microsoft.com/office/drawing/2014/main" id="{315E8E16-902B-4E01-B4E5-F36D0F7EA045}"/>
            </a:ext>
          </a:extLst>
        </xdr:cNvPr>
        <xdr:cNvSpPr/>
      </xdr:nvSpPr>
      <xdr:spPr>
        <a:xfrm>
          <a:off x="1815237" y="0"/>
          <a:ext cx="2100523"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2</a:t>
          </a:r>
        </a:p>
      </xdr:txBody>
    </xdr:sp>
    <xdr:clientData/>
  </xdr:twoCellAnchor>
  <xdr:twoCellAnchor>
    <xdr:from>
      <xdr:col>1</xdr:col>
      <xdr:colOff>3449377</xdr:colOff>
      <xdr:row>0</xdr:row>
      <xdr:rowOff>0</xdr:rowOff>
    </xdr:from>
    <xdr:to>
      <xdr:col>2</xdr:col>
      <xdr:colOff>454025</xdr:colOff>
      <xdr:row>1</xdr:row>
      <xdr:rowOff>60960</xdr:rowOff>
    </xdr:to>
    <xdr:sp macro="" textlink="">
      <xdr:nvSpPr>
        <xdr:cNvPr id="4" name="Freeform 25">
          <a:extLst>
            <a:ext uri="{FF2B5EF4-FFF2-40B4-BE49-F238E27FC236}">
              <a16:creationId xmlns:a16="http://schemas.microsoft.com/office/drawing/2014/main" id="{AE9FB99E-783C-4593-9E43-C1DA4EC640F8}"/>
            </a:ext>
          </a:extLst>
        </xdr:cNvPr>
        <xdr:cNvSpPr/>
      </xdr:nvSpPr>
      <xdr:spPr>
        <a:xfrm>
          <a:off x="3792277" y="0"/>
          <a:ext cx="2100523"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497533"/>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1736360</xdr:colOff>
      <xdr:row>1</xdr:row>
      <xdr:rowOff>60960</xdr:rowOff>
    </xdr:to>
    <xdr:sp macro="" textlink="">
      <xdr:nvSpPr>
        <xdr:cNvPr id="2" name="Freeform 23">
          <a:extLst>
            <a:ext uri="{FF2B5EF4-FFF2-40B4-BE49-F238E27FC236}">
              <a16:creationId xmlns:a16="http://schemas.microsoft.com/office/drawing/2014/main" id="{E99B4BD8-AA25-4422-9C10-D67CC6CCD330}"/>
            </a:ext>
          </a:extLst>
        </xdr:cNvPr>
        <xdr:cNvSpPr/>
      </xdr:nvSpPr>
      <xdr:spPr>
        <a:xfrm>
          <a:off x="0" y="0"/>
          <a:ext cx="2098310"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1</a:t>
          </a:r>
        </a:p>
      </xdr:txBody>
    </xdr:sp>
    <xdr:clientData/>
  </xdr:twoCellAnchor>
  <xdr:twoCellAnchor>
    <xdr:from>
      <xdr:col>1</xdr:col>
      <xdr:colOff>1453287</xdr:colOff>
      <xdr:row>0</xdr:row>
      <xdr:rowOff>0</xdr:rowOff>
    </xdr:from>
    <xdr:to>
      <xdr:col>1</xdr:col>
      <xdr:colOff>3553810</xdr:colOff>
      <xdr:row>1</xdr:row>
      <xdr:rowOff>60960</xdr:rowOff>
    </xdr:to>
    <xdr:sp macro="" textlink="">
      <xdr:nvSpPr>
        <xdr:cNvPr id="3" name="Freeform 24">
          <a:extLst>
            <a:ext uri="{FF2B5EF4-FFF2-40B4-BE49-F238E27FC236}">
              <a16:creationId xmlns:a16="http://schemas.microsoft.com/office/drawing/2014/main" id="{C169202F-5E87-4F52-B44B-F55C231EDBA4}"/>
            </a:ext>
          </a:extLst>
        </xdr:cNvPr>
        <xdr:cNvSpPr/>
      </xdr:nvSpPr>
      <xdr:spPr>
        <a:xfrm>
          <a:off x="1815237" y="0"/>
          <a:ext cx="2100523"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2</a:t>
          </a:r>
        </a:p>
      </xdr:txBody>
    </xdr:sp>
    <xdr:clientData/>
  </xdr:twoCellAnchor>
  <xdr:twoCellAnchor>
    <xdr:from>
      <xdr:col>1</xdr:col>
      <xdr:colOff>3430327</xdr:colOff>
      <xdr:row>0</xdr:row>
      <xdr:rowOff>0</xdr:rowOff>
    </xdr:from>
    <xdr:to>
      <xdr:col>2</xdr:col>
      <xdr:colOff>501650</xdr:colOff>
      <xdr:row>1</xdr:row>
      <xdr:rowOff>60960</xdr:rowOff>
    </xdr:to>
    <xdr:sp macro="" textlink="">
      <xdr:nvSpPr>
        <xdr:cNvPr id="4" name="Freeform 25">
          <a:extLst>
            <a:ext uri="{FF2B5EF4-FFF2-40B4-BE49-F238E27FC236}">
              <a16:creationId xmlns:a16="http://schemas.microsoft.com/office/drawing/2014/main" id="{5B5B78FA-03E8-4FB1-B976-A2C725142BB7}"/>
            </a:ext>
          </a:extLst>
        </xdr:cNvPr>
        <xdr:cNvSpPr/>
      </xdr:nvSpPr>
      <xdr:spPr>
        <a:xfrm>
          <a:off x="3792277" y="0"/>
          <a:ext cx="2100523"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497533"/>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3</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1755410</xdr:colOff>
      <xdr:row>1</xdr:row>
      <xdr:rowOff>60960</xdr:rowOff>
    </xdr:to>
    <xdr:sp macro="" textlink="">
      <xdr:nvSpPr>
        <xdr:cNvPr id="22" name="Freeform 23">
          <a:extLst>
            <a:ext uri="{FF2B5EF4-FFF2-40B4-BE49-F238E27FC236}">
              <a16:creationId xmlns:a16="http://schemas.microsoft.com/office/drawing/2014/main" id="{8DAD93A7-D0C6-426A-8AE3-06CA656863BD}"/>
            </a:ext>
          </a:extLst>
        </xdr:cNvPr>
        <xdr:cNvSpPr/>
      </xdr:nvSpPr>
      <xdr:spPr>
        <a:xfrm>
          <a:off x="0" y="0"/>
          <a:ext cx="2098310"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1</a:t>
          </a:r>
        </a:p>
      </xdr:txBody>
    </xdr:sp>
    <xdr:clientData/>
  </xdr:twoCellAnchor>
  <xdr:twoCellAnchor>
    <xdr:from>
      <xdr:col>1</xdr:col>
      <xdr:colOff>1472337</xdr:colOff>
      <xdr:row>0</xdr:row>
      <xdr:rowOff>0</xdr:rowOff>
    </xdr:from>
    <xdr:to>
      <xdr:col>1</xdr:col>
      <xdr:colOff>3572860</xdr:colOff>
      <xdr:row>1</xdr:row>
      <xdr:rowOff>60960</xdr:rowOff>
    </xdr:to>
    <xdr:sp macro="" textlink="">
      <xdr:nvSpPr>
        <xdr:cNvPr id="23" name="Freeform 24">
          <a:extLst>
            <a:ext uri="{FF2B5EF4-FFF2-40B4-BE49-F238E27FC236}">
              <a16:creationId xmlns:a16="http://schemas.microsoft.com/office/drawing/2014/main" id="{176D9A35-C064-4F7A-8BE3-C945D44EE993}"/>
            </a:ext>
          </a:extLst>
        </xdr:cNvPr>
        <xdr:cNvSpPr/>
      </xdr:nvSpPr>
      <xdr:spPr>
        <a:xfrm>
          <a:off x="1815237" y="0"/>
          <a:ext cx="2100523"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324A8E"/>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2</a:t>
          </a:r>
        </a:p>
      </xdr:txBody>
    </xdr:sp>
    <xdr:clientData/>
  </xdr:twoCellAnchor>
  <xdr:twoCellAnchor>
    <xdr:from>
      <xdr:col>1</xdr:col>
      <xdr:colOff>3449377</xdr:colOff>
      <xdr:row>0</xdr:row>
      <xdr:rowOff>0</xdr:rowOff>
    </xdr:from>
    <xdr:to>
      <xdr:col>2</xdr:col>
      <xdr:colOff>454025</xdr:colOff>
      <xdr:row>1</xdr:row>
      <xdr:rowOff>60960</xdr:rowOff>
    </xdr:to>
    <xdr:sp macro="" textlink="">
      <xdr:nvSpPr>
        <xdr:cNvPr id="24" name="Freeform 25">
          <a:extLst>
            <a:ext uri="{FF2B5EF4-FFF2-40B4-BE49-F238E27FC236}">
              <a16:creationId xmlns:a16="http://schemas.microsoft.com/office/drawing/2014/main" id="{16313F6D-1DA5-4FCE-BEF4-C4582E5D1D5B}"/>
            </a:ext>
          </a:extLst>
        </xdr:cNvPr>
        <xdr:cNvSpPr/>
      </xdr:nvSpPr>
      <xdr:spPr>
        <a:xfrm>
          <a:off x="3792277" y="0"/>
          <a:ext cx="2100523" cy="527685"/>
        </a:xfrm>
        <a:custGeom>
          <a:avLst/>
          <a:gdLst>
            <a:gd name="connsiteX0" fmla="*/ 0 w 2379854"/>
            <a:gd name="connsiteY0" fmla="*/ 0 h 276224"/>
            <a:gd name="connsiteX1" fmla="*/ 2241742 w 2379854"/>
            <a:gd name="connsiteY1" fmla="*/ 0 h 276224"/>
            <a:gd name="connsiteX2" fmla="*/ 2379854 w 2379854"/>
            <a:gd name="connsiteY2" fmla="*/ 138112 h 276224"/>
            <a:gd name="connsiteX3" fmla="*/ 2241742 w 2379854"/>
            <a:gd name="connsiteY3" fmla="*/ 276224 h 276224"/>
            <a:gd name="connsiteX4" fmla="*/ 0 w 2379854"/>
            <a:gd name="connsiteY4" fmla="*/ 276224 h 276224"/>
            <a:gd name="connsiteX5" fmla="*/ 138112 w 2379854"/>
            <a:gd name="connsiteY5" fmla="*/ 138112 h 276224"/>
            <a:gd name="connsiteX6" fmla="*/ 0 w 2379854"/>
            <a:gd name="connsiteY6" fmla="*/ 0 h 2762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9854" h="276224">
              <a:moveTo>
                <a:pt x="0" y="0"/>
              </a:moveTo>
              <a:lnTo>
                <a:pt x="2241742" y="0"/>
              </a:lnTo>
              <a:lnTo>
                <a:pt x="2379854" y="138112"/>
              </a:lnTo>
              <a:lnTo>
                <a:pt x="2241742" y="276224"/>
              </a:lnTo>
              <a:lnTo>
                <a:pt x="0" y="276224"/>
              </a:lnTo>
              <a:lnTo>
                <a:pt x="138112" y="138112"/>
              </a:lnTo>
              <a:lnTo>
                <a:pt x="0" y="0"/>
              </a:lnTo>
              <a:close/>
            </a:path>
          </a:pathLst>
        </a:custGeom>
        <a:solidFill>
          <a:srgbClr val="497533"/>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02120" tIns="21336" rIns="159448" bIns="21336" numCol="1" spcCol="1270" anchor="ctr" anchorCtr="0">
          <a:noAutofit/>
        </a:bodyPr>
        <a:lstStyle/>
        <a:p>
          <a:pPr lvl="0" algn="ctr" defTabSz="711200">
            <a:lnSpc>
              <a:spcPct val="90000"/>
            </a:lnSpc>
            <a:spcBef>
              <a:spcPct val="0"/>
            </a:spcBef>
            <a:spcAft>
              <a:spcPct val="35000"/>
            </a:spcAft>
          </a:pPr>
          <a:r>
            <a:rPr lang="en-US" sz="2200" b="1" kern="1200"/>
            <a:t>Step 3</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rameterUpdateTool%20201109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joel/Downloads/CAEATFA%20Application%20-%20Recycling%20(JMS%20edit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docs.live.net/Users/jms/Library/CloudStorage/GoogleDrive-schwahoney@gmail.com/My%20Drive/BOX-for-transfer/_CONSULTING/Admin/C:/Sales%20Tax-Exclusion%20(SB%2071)%20Program/Applicants/AEMETIS%20BIOGAS,%20LLC%20-%2021-SM008/Final%20Application/Aemetis%20Part%20B%2020201109.xlsx?5B9BBDD7" TargetMode="External"/><Relationship Id="rId1" Type="http://schemas.openxmlformats.org/officeDocument/2006/relationships/externalLinkPath" Target="file:///\\5B9BBDD7\Aemetis%20Part%20B%2020201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iscount Rate"/>
      <sheetName val="STR"/>
      <sheetName val="SIR"/>
      <sheetName val="GRSO"/>
      <sheetName val="PTR"/>
      <sheetName val="Unemployment"/>
    </sheetNames>
    <sheetDataSet>
      <sheetData sheetId="0">
        <row r="8">
          <cell r="V8" t="str">
            <v>Data Year</v>
          </cell>
        </row>
      </sheetData>
      <sheetData sheetId="1" refreshError="1"/>
      <sheetData sheetId="2"/>
      <sheetData sheetId="3"/>
      <sheetData sheetId="4">
        <row r="8">
          <cell r="V8" t="str">
            <v>Data Year</v>
          </cell>
        </row>
      </sheetData>
      <sheetData sheetId="5" refreshError="1">
        <row r="8">
          <cell r="V8" t="str">
            <v>Data Year</v>
          </cell>
          <cell r="W8" t="str">
            <v>2009-10</v>
          </cell>
        </row>
        <row r="9">
          <cell r="V9" t="str">
            <v>Alameda County</v>
          </cell>
          <cell r="W9">
            <v>1.1890000000000001E-2</v>
          </cell>
        </row>
        <row r="10">
          <cell r="V10" t="str">
            <v>Alpine County</v>
          </cell>
          <cell r="W10">
            <v>0.01</v>
          </cell>
        </row>
        <row r="11">
          <cell r="V11" t="str">
            <v>Amador County</v>
          </cell>
          <cell r="W11">
            <v>1.0149999999999999E-2</v>
          </cell>
        </row>
        <row r="12">
          <cell r="V12" t="str">
            <v>Butte County</v>
          </cell>
          <cell r="W12">
            <v>1.064E-2</v>
          </cell>
        </row>
        <row r="13">
          <cell r="V13" t="str">
            <v>Calaveras County</v>
          </cell>
          <cell r="W13">
            <v>1.0749999999999999E-2</v>
          </cell>
        </row>
        <row r="14">
          <cell r="V14" t="str">
            <v>Colusa County</v>
          </cell>
          <cell r="W14">
            <v>1.027E-2</v>
          </cell>
        </row>
        <row r="15">
          <cell r="V15" t="str">
            <v>Contra Costa County</v>
          </cell>
          <cell r="W15">
            <v>1.1080000000000001E-2</v>
          </cell>
        </row>
        <row r="16">
          <cell r="V16" t="str">
            <v>Del Norte County</v>
          </cell>
          <cell r="W16">
            <v>1.039E-2</v>
          </cell>
        </row>
        <row r="17">
          <cell r="V17" t="str">
            <v>El Dorado County</v>
          </cell>
          <cell r="W17">
            <v>1.055E-2</v>
          </cell>
        </row>
        <row r="18">
          <cell r="V18" t="str">
            <v>Fresno County</v>
          </cell>
          <cell r="W18">
            <v>1.1650000000000001E-2</v>
          </cell>
        </row>
        <row r="19">
          <cell r="V19" t="str">
            <v>Glenn County</v>
          </cell>
          <cell r="W19">
            <v>1.0500000000000001E-2</v>
          </cell>
        </row>
        <row r="20">
          <cell r="V20" t="str">
            <v>Humboldt County</v>
          </cell>
          <cell r="W20">
            <v>1.055E-2</v>
          </cell>
        </row>
        <row r="21">
          <cell r="V21" t="str">
            <v>Imperial County</v>
          </cell>
          <cell r="W21">
            <v>1.052E-2</v>
          </cell>
        </row>
        <row r="22">
          <cell r="V22" t="str">
            <v>Inyo County</v>
          </cell>
          <cell r="W22">
            <v>1.052E-2</v>
          </cell>
        </row>
        <row r="23">
          <cell r="V23" t="str">
            <v>Kern County</v>
          </cell>
          <cell r="W23">
            <v>1.1140000000000001E-2</v>
          </cell>
        </row>
        <row r="24">
          <cell r="V24" t="str">
            <v>Kings County</v>
          </cell>
          <cell r="W24">
            <v>1.0749999999999999E-2</v>
          </cell>
        </row>
        <row r="25">
          <cell r="V25" t="str">
            <v>Lake County</v>
          </cell>
          <cell r="W25">
            <v>1.068E-2</v>
          </cell>
        </row>
        <row r="26">
          <cell r="V26" t="str">
            <v>Lassen County</v>
          </cell>
          <cell r="W26">
            <v>1.0240000000000001E-2</v>
          </cell>
        </row>
        <row r="27">
          <cell r="V27" t="str">
            <v>Los Angeles County</v>
          </cell>
          <cell r="W27">
            <v>1.1679999999999999E-2</v>
          </cell>
        </row>
        <row r="28">
          <cell r="V28" t="str">
            <v>Madera County</v>
          </cell>
          <cell r="W28">
            <v>1.1180000000000001E-2</v>
          </cell>
        </row>
        <row r="29">
          <cell r="V29" t="str">
            <v>Marin County</v>
          </cell>
          <cell r="W29">
            <v>1.1050000000000001E-2</v>
          </cell>
        </row>
        <row r="30">
          <cell r="V30" t="str">
            <v>Mariposa County</v>
          </cell>
          <cell r="W30">
            <v>1.005E-2</v>
          </cell>
        </row>
        <row r="31">
          <cell r="V31" t="str">
            <v>Mendocino County</v>
          </cell>
          <cell r="W31">
            <v>1.0970000000000001E-2</v>
          </cell>
        </row>
        <row r="32">
          <cell r="V32" t="str">
            <v>Merced County</v>
          </cell>
          <cell r="W32">
            <v>1.061E-2</v>
          </cell>
        </row>
        <row r="33">
          <cell r="V33" t="str">
            <v>Modoc County</v>
          </cell>
          <cell r="W33">
            <v>0.01</v>
          </cell>
        </row>
        <row r="34">
          <cell r="V34" t="str">
            <v>Mono County</v>
          </cell>
          <cell r="W34">
            <v>1.073E-2</v>
          </cell>
        </row>
        <row r="35">
          <cell r="V35" t="str">
            <v>Monterey County</v>
          </cell>
          <cell r="W35">
            <v>1.0840000000000001E-2</v>
          </cell>
        </row>
        <row r="36">
          <cell r="V36" t="str">
            <v>Napa County</v>
          </cell>
          <cell r="W36">
            <v>1.093E-2</v>
          </cell>
        </row>
        <row r="37">
          <cell r="V37" t="str">
            <v>Nevada County</v>
          </cell>
          <cell r="W37">
            <v>1.0329999999999999E-2</v>
          </cell>
        </row>
        <row r="38">
          <cell r="V38" t="str">
            <v>Orange County</v>
          </cell>
          <cell r="W38">
            <v>1.0540000000000001E-2</v>
          </cell>
        </row>
        <row r="39">
          <cell r="V39" t="str">
            <v>Placer County</v>
          </cell>
          <cell r="W39">
            <v>1.0629999999999999E-2</v>
          </cell>
        </row>
        <row r="40">
          <cell r="V40" t="str">
            <v>Plumas County</v>
          </cell>
          <cell r="W40">
            <v>1.038E-2</v>
          </cell>
        </row>
        <row r="41">
          <cell r="V41" t="str">
            <v>Riverside County</v>
          </cell>
          <cell r="W41">
            <v>1.089E-2</v>
          </cell>
        </row>
        <row r="42">
          <cell r="V42" t="str">
            <v>Sacramento County</v>
          </cell>
          <cell r="W42">
            <v>1.0869999999999999E-2</v>
          </cell>
        </row>
        <row r="43">
          <cell r="V43" t="str">
            <v>San Benito County</v>
          </cell>
          <cell r="W43">
            <v>1.142E-2</v>
          </cell>
        </row>
        <row r="44">
          <cell r="V44" t="str">
            <v>San Bernardino County</v>
          </cell>
          <cell r="W44">
            <v>1.1339999999999999E-2</v>
          </cell>
        </row>
        <row r="45">
          <cell r="V45" t="str">
            <v>San Diego County</v>
          </cell>
          <cell r="W45">
            <v>1.076E-2</v>
          </cell>
        </row>
        <row r="46">
          <cell r="V46" t="str">
            <v>San Francisco County</v>
          </cell>
          <cell r="W46">
            <v>1.1599999999999999E-2</v>
          </cell>
        </row>
        <row r="47">
          <cell r="V47" t="str">
            <v>San Joaquin County</v>
          </cell>
          <cell r="W47">
            <v>1.1129999999999999E-2</v>
          </cell>
        </row>
        <row r="48">
          <cell r="V48" t="str">
            <v>San Luis Obispo County</v>
          </cell>
          <cell r="W48">
            <v>1.039E-2</v>
          </cell>
        </row>
        <row r="49">
          <cell r="V49" t="str">
            <v>San Mateo County</v>
          </cell>
          <cell r="W49">
            <v>1.085E-2</v>
          </cell>
        </row>
        <row r="50">
          <cell r="V50" t="str">
            <v>Santa Barbara County</v>
          </cell>
          <cell r="W50">
            <v>1.055E-2</v>
          </cell>
        </row>
        <row r="51">
          <cell r="V51" t="str">
            <v>Santa Clara County</v>
          </cell>
          <cell r="W51">
            <v>1.1810000000000001E-2</v>
          </cell>
        </row>
        <row r="52">
          <cell r="V52" t="str">
            <v>Santa Cruz County</v>
          </cell>
          <cell r="W52">
            <v>1.093E-2</v>
          </cell>
        </row>
        <row r="53">
          <cell r="V53" t="str">
            <v>Shasta County</v>
          </cell>
          <cell r="W53">
            <v>1.085E-2</v>
          </cell>
        </row>
        <row r="54">
          <cell r="V54" t="str">
            <v>Sierra County</v>
          </cell>
          <cell r="W54">
            <v>1.0329999999999999E-2</v>
          </cell>
        </row>
        <row r="55">
          <cell r="V55" t="str">
            <v>Siskiyou County</v>
          </cell>
          <cell r="W55">
            <v>1.038E-2</v>
          </cell>
        </row>
        <row r="56">
          <cell r="V56" t="str">
            <v>Solano County</v>
          </cell>
          <cell r="W56">
            <v>1.1209999999999999E-2</v>
          </cell>
        </row>
        <row r="57">
          <cell r="V57" t="str">
            <v>Sonoma County</v>
          </cell>
          <cell r="W57">
            <v>1.115E-2</v>
          </cell>
        </row>
        <row r="58">
          <cell r="V58" t="str">
            <v>Stanislaus County</v>
          </cell>
          <cell r="W58">
            <v>1.093E-2</v>
          </cell>
        </row>
        <row r="59">
          <cell r="V59" t="str">
            <v>Sutter County</v>
          </cell>
          <cell r="W59">
            <v>1.0700000000000001E-2</v>
          </cell>
        </row>
        <row r="60">
          <cell r="V60" t="str">
            <v>Tehama County</v>
          </cell>
          <cell r="W60">
            <v>1.022E-2</v>
          </cell>
        </row>
        <row r="61">
          <cell r="V61" t="str">
            <v>Trinity County</v>
          </cell>
          <cell r="W61">
            <v>1.0129999999999998E-2</v>
          </cell>
        </row>
        <row r="62">
          <cell r="V62" t="str">
            <v>Tulare County</v>
          </cell>
          <cell r="W62">
            <v>1.0880000000000001E-2</v>
          </cell>
        </row>
        <row r="63">
          <cell r="V63" t="str">
            <v>Tuolumne County</v>
          </cell>
          <cell r="W63">
            <v>1.042E-2</v>
          </cell>
        </row>
        <row r="64">
          <cell r="V64" t="str">
            <v>Ventura County</v>
          </cell>
          <cell r="W64">
            <v>1.0820000000000001E-2</v>
          </cell>
        </row>
        <row r="65">
          <cell r="V65" t="str">
            <v>Yolo County</v>
          </cell>
          <cell r="W65">
            <v>1.0540000000000001E-2</v>
          </cell>
        </row>
        <row r="66">
          <cell r="V66" t="str">
            <v>Yuba County</v>
          </cell>
          <cell r="W66">
            <v>1.102E-2</v>
          </cell>
        </row>
        <row r="67">
          <cell r="V67" t="str">
            <v xml:space="preserve">  Totals County</v>
          </cell>
          <cell r="W67">
            <v>1.119E-2</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ring"/>
      <sheetName val="Facility &amp; Product Information"/>
      <sheetName val="External Data"/>
      <sheetName val="Instructions"/>
      <sheetName val="Applicant Information"/>
      <sheetName val="Environmental Benefits Info"/>
      <sheetName val="Supplemental Information"/>
      <sheetName val="Qualified Property List"/>
      <sheetName val="Pollution Costs"/>
      <sheetName val="JMS"/>
    </sheetNames>
    <sheetDataSet>
      <sheetData sheetId="0" refreshError="1">
        <row r="22">
          <cell r="G22">
            <v>2</v>
          </cell>
        </row>
        <row r="23">
          <cell r="G23">
            <v>3.7499999999999999E-2</v>
          </cell>
        </row>
        <row r="24">
          <cell r="G24">
            <v>8.4199999999999997E-2</v>
          </cell>
        </row>
        <row r="25">
          <cell r="C25">
            <v>0.1142800573888092</v>
          </cell>
        </row>
        <row r="26">
          <cell r="C26">
            <v>10000000</v>
          </cell>
        </row>
        <row r="28">
          <cell r="C28">
            <v>1025595.4652604279</v>
          </cell>
        </row>
        <row r="30">
          <cell r="C30">
            <v>4000000</v>
          </cell>
        </row>
        <row r="32">
          <cell r="C32">
            <v>410238.18610417115</v>
          </cell>
        </row>
        <row r="33">
          <cell r="C33">
            <v>20511.909305208559</v>
          </cell>
        </row>
        <row r="34">
          <cell r="C34">
            <v>246142.91166250271</v>
          </cell>
        </row>
        <row r="35">
          <cell r="C35">
            <v>82047.637220834236</v>
          </cell>
        </row>
        <row r="37">
          <cell r="C37">
            <v>10</v>
          </cell>
        </row>
        <row r="38">
          <cell r="C38">
            <v>3369198.9449885869</v>
          </cell>
        </row>
        <row r="39">
          <cell r="C39">
            <v>4716878.5229840213</v>
          </cell>
        </row>
        <row r="43">
          <cell r="C43">
            <v>0</v>
          </cell>
          <cell r="G43">
            <v>5.1999999999999998E-2</v>
          </cell>
        </row>
        <row r="44">
          <cell r="C44">
            <v>0.4</v>
          </cell>
          <cell r="G44">
            <v>1.1979999999999999E-2</v>
          </cell>
        </row>
        <row r="45">
          <cell r="G45">
            <v>5.9799999999999999E-2</v>
          </cell>
        </row>
        <row r="54">
          <cell r="C54">
            <v>198614.27780707719</v>
          </cell>
        </row>
        <row r="55">
          <cell r="C55">
            <v>282069.33567444445</v>
          </cell>
        </row>
        <row r="56">
          <cell r="C56">
            <v>480683.61348152161</v>
          </cell>
        </row>
        <row r="63">
          <cell r="C63" t="e">
            <v>#DIV/0!</v>
          </cell>
        </row>
        <row r="64">
          <cell r="C64">
            <v>1</v>
          </cell>
        </row>
        <row r="65">
          <cell r="C65" t="e">
            <v>#DIV/0!</v>
          </cell>
        </row>
        <row r="66">
          <cell r="C66">
            <v>0</v>
          </cell>
        </row>
        <row r="85">
          <cell r="C85">
            <v>0</v>
          </cell>
        </row>
        <row r="263">
          <cell r="A263" t="str">
            <v>Alternative Source</v>
          </cell>
        </row>
        <row r="264">
          <cell r="A264" t="str">
            <v>Alternative Source (energy efficiency)</v>
          </cell>
        </row>
        <row r="265">
          <cell r="A265" t="str">
            <v>Advanced Transportation</v>
          </cell>
        </row>
        <row r="266">
          <cell r="A266" t="str">
            <v>Advanced Manufacturing</v>
          </cell>
        </row>
        <row r="267">
          <cell r="A267" t="str">
            <v>Other</v>
          </cell>
        </row>
        <row r="271">
          <cell r="A271" t="str">
            <v>Yes</v>
          </cell>
        </row>
        <row r="272">
          <cell r="A272" t="str">
            <v>No</v>
          </cell>
        </row>
        <row r="280">
          <cell r="A280" t="str">
            <v>Corporation</v>
          </cell>
        </row>
        <row r="281">
          <cell r="A281" t="str">
            <v>LLC</v>
          </cell>
        </row>
        <row r="282">
          <cell r="A282" t="str">
            <v>Partnership</v>
          </cell>
        </row>
        <row r="283">
          <cell r="A283" t="str">
            <v>Sole Proprietorship</v>
          </cell>
        </row>
        <row r="284">
          <cell r="A284" t="str">
            <v>Other</v>
          </cell>
        </row>
        <row r="287">
          <cell r="A287" t="str">
            <v>kWh/yr</v>
          </cell>
        </row>
        <row r="288">
          <cell r="A288" t="str">
            <v>GGE/yr</v>
          </cell>
        </row>
        <row r="289">
          <cell r="A289" t="str">
            <v>BTU/yr</v>
          </cell>
        </row>
        <row r="292">
          <cell r="A292" t="str">
            <v>PV Manufacturer</v>
          </cell>
        </row>
        <row r="293">
          <cell r="A293" t="str">
            <v>Bio Gas</v>
          </cell>
        </row>
        <row r="294">
          <cell r="A294" t="str">
            <v>Electric Vehicles</v>
          </cell>
        </row>
        <row r="295">
          <cell r="A295" t="str">
            <v>Other</v>
          </cell>
        </row>
      </sheetData>
      <sheetData sheetId="1" refreshError="1">
        <row r="16">
          <cell r="E16">
            <v>10000000</v>
          </cell>
        </row>
        <row r="19">
          <cell r="E19">
            <v>74400</v>
          </cell>
        </row>
      </sheetData>
      <sheetData sheetId="2" refreshError="1">
        <row r="7">
          <cell r="C7" t="str">
            <v>City - County</v>
          </cell>
          <cell r="D7" t="str">
            <v>Applicable Unemploment Rate</v>
          </cell>
          <cell r="E7" t="str">
            <v>Applicable Property Tax Rate</v>
          </cell>
          <cell r="J7" t="str">
            <v>County</v>
          </cell>
          <cell r="K7" t="str">
            <v>Rate</v>
          </cell>
        </row>
        <row r="8">
          <cell r="C8" t="str">
            <v>Acampo - San Joaquin</v>
          </cell>
          <cell r="D8">
            <v>0.11141666666666668</v>
          </cell>
          <cell r="E8">
            <v>1.107E-2</v>
          </cell>
          <cell r="G8" t="str">
            <v>CALIFORNIA</v>
          </cell>
          <cell r="H8">
            <v>7.5249999999999997E-2</v>
          </cell>
        </row>
        <row r="9">
          <cell r="C9" t="str">
            <v>Acton - Los Angeles</v>
          </cell>
          <cell r="D9">
            <v>8.2166666666666666E-2</v>
          </cell>
          <cell r="E9">
            <v>1.1979999999999999E-2</v>
          </cell>
          <cell r="G9" t="str">
            <v>ALAMEDA</v>
          </cell>
          <cell r="H9">
            <v>0.06</v>
          </cell>
          <cell r="J9" t="str">
            <v>ALAMEDA</v>
          </cell>
          <cell r="K9">
            <v>1.214E-2</v>
          </cell>
        </row>
        <row r="10">
          <cell r="C10" t="str">
            <v>Adelaida - San Luis Obispo</v>
          </cell>
          <cell r="D10">
            <v>5.5916666666666656E-2</v>
          </cell>
          <cell r="E10">
            <v>1.0189999999999999E-2</v>
          </cell>
          <cell r="G10" t="str">
            <v>ALPINE</v>
          </cell>
          <cell r="H10">
            <v>0.10216666666666667</v>
          </cell>
          <cell r="J10" t="str">
            <v>ALPINE</v>
          </cell>
          <cell r="K10">
            <v>0.01</v>
          </cell>
        </row>
        <row r="11">
          <cell r="C11" t="str">
            <v>Adelanto - San Bernardino</v>
          </cell>
          <cell r="D11">
            <v>8.3833333333333329E-2</v>
          </cell>
          <cell r="E11">
            <v>1.149E-2</v>
          </cell>
          <cell r="G11" t="str">
            <v>AMADOR</v>
          </cell>
          <cell r="H11">
            <v>8.1583333333333327E-2</v>
          </cell>
          <cell r="J11" t="str">
            <v>AMADOR</v>
          </cell>
          <cell r="K11">
            <v>1.0169999999999998E-2</v>
          </cell>
        </row>
        <row r="12">
          <cell r="C12" t="str">
            <v>Adin - Modoc</v>
          </cell>
          <cell r="D12">
            <v>9.9749999999999991E-2</v>
          </cell>
          <cell r="E12">
            <v>1.027E-2</v>
          </cell>
          <cell r="G12" t="str">
            <v>BUTTE</v>
          </cell>
          <cell r="H12">
            <v>8.4749999999999992E-2</v>
          </cell>
          <cell r="J12" t="str">
            <v>BUTTE</v>
          </cell>
          <cell r="K12">
            <v>1.052E-2</v>
          </cell>
        </row>
        <row r="13">
          <cell r="C13" t="str">
            <v>Agoura  - Los Angeles</v>
          </cell>
          <cell r="D13">
            <v>8.2166666666666666E-2</v>
          </cell>
          <cell r="E13">
            <v>1.1979999999999999E-2</v>
          </cell>
          <cell r="G13" t="str">
            <v>CALAVERAS</v>
          </cell>
          <cell r="H13">
            <v>8.5416666666666655E-2</v>
          </cell>
          <cell r="J13" t="str">
            <v>CALAVERAS</v>
          </cell>
          <cell r="K13">
            <v>1.1120000000000001E-2</v>
          </cell>
        </row>
        <row r="14">
          <cell r="C14" t="str">
            <v>Agoura Hills - Los Angeles</v>
          </cell>
          <cell r="D14">
            <v>8.2166666666666666E-2</v>
          </cell>
          <cell r="E14">
            <v>1.1979999999999999E-2</v>
          </cell>
          <cell r="G14" t="str">
            <v>COLUSA</v>
          </cell>
          <cell r="H14">
            <v>0.17433333333333334</v>
          </cell>
          <cell r="J14" t="str">
            <v>COLUSA</v>
          </cell>
          <cell r="K14">
            <v>1.0540000000000001E-2</v>
          </cell>
        </row>
        <row r="15">
          <cell r="C15" t="str">
            <v>Agua Caliente - Sonoma</v>
          </cell>
          <cell r="D15">
            <v>5.4333333333333324E-2</v>
          </cell>
          <cell r="E15">
            <v>1.1180000000000001E-2</v>
          </cell>
          <cell r="G15" t="str">
            <v>CONTRA COSTA</v>
          </cell>
          <cell r="H15">
            <v>6.1416666666666668E-2</v>
          </cell>
          <cell r="J15" t="str">
            <v>CONTRA COSTA</v>
          </cell>
          <cell r="K15">
            <v>1.1379999999999999E-2</v>
          </cell>
        </row>
        <row r="16">
          <cell r="C16" t="str">
            <v>Agua Caliente Springs - San Diego</v>
          </cell>
          <cell r="D16">
            <v>6.2E-2</v>
          </cell>
          <cell r="E16">
            <v>1.1080000000000001E-2</v>
          </cell>
          <cell r="G16" t="str">
            <v>DEL NORTE</v>
          </cell>
          <cell r="H16">
            <v>9.8666666666666653E-2</v>
          </cell>
          <cell r="J16" t="str">
            <v>DEL NORTE</v>
          </cell>
          <cell r="K16">
            <v>1.0369999999999999E-2</v>
          </cell>
        </row>
        <row r="17">
          <cell r="C17" t="str">
            <v>Agua Dulce - Los Angeles</v>
          </cell>
          <cell r="D17">
            <v>8.2166666666666666E-2</v>
          </cell>
          <cell r="E17">
            <v>1.1979999999999999E-2</v>
          </cell>
          <cell r="G17" t="str">
            <v>EL DORADO</v>
          </cell>
          <cell r="H17">
            <v>7.0916666666666683E-2</v>
          </cell>
          <cell r="J17" t="str">
            <v>EL DORADO</v>
          </cell>
          <cell r="K17">
            <v>1.0709999999999999E-2</v>
          </cell>
        </row>
        <row r="18">
          <cell r="C18" t="str">
            <v>Aguanga - Riverside</v>
          </cell>
          <cell r="D18">
            <v>8.7000000000000008E-2</v>
          </cell>
          <cell r="E18">
            <v>1.0970000000000001E-2</v>
          </cell>
          <cell r="G18" t="str">
            <v>FRESNO</v>
          </cell>
          <cell r="H18">
            <v>0.11366666666666669</v>
          </cell>
          <cell r="J18" t="str">
            <v>FRESNO</v>
          </cell>
          <cell r="K18">
            <v>1.166E-2</v>
          </cell>
        </row>
        <row r="19">
          <cell r="C19" t="str">
            <v>Ahwahnee - Madera</v>
          </cell>
          <cell r="D19">
            <v>0.10325000000000001</v>
          </cell>
          <cell r="E19">
            <v>1.0149999999999999E-2</v>
          </cell>
          <cell r="G19" t="str">
            <v>GLENN</v>
          </cell>
          <cell r="H19">
            <v>0.10549999999999998</v>
          </cell>
          <cell r="J19" t="str">
            <v>GLENN</v>
          </cell>
          <cell r="K19">
            <v>1.0500000000000001E-2</v>
          </cell>
        </row>
        <row r="20">
          <cell r="C20" t="str">
            <v>Al Tahoe - El Dorado</v>
          </cell>
          <cell r="D20">
            <v>7.0916666666666683E-2</v>
          </cell>
          <cell r="E20">
            <v>1.0709999999999999E-2</v>
          </cell>
          <cell r="G20" t="str">
            <v>HUMBOLDT</v>
          </cell>
          <cell r="H20">
            <v>7.3666666666666672E-2</v>
          </cell>
          <cell r="J20" t="str">
            <v>HUMBOLDT</v>
          </cell>
          <cell r="K20">
            <v>1.043E-2</v>
          </cell>
        </row>
        <row r="21">
          <cell r="C21" t="str">
            <v>Alameda - Alameda</v>
          </cell>
          <cell r="D21">
            <v>0.06</v>
          </cell>
          <cell r="E21">
            <v>1.214E-2</v>
          </cell>
          <cell r="G21" t="str">
            <v>IMPERIAL</v>
          </cell>
          <cell r="H21">
            <v>0.23408333333333331</v>
          </cell>
          <cell r="J21" t="str">
            <v>IMPERIAL</v>
          </cell>
          <cell r="K21">
            <v>1.1299999999999999E-2</v>
          </cell>
        </row>
        <row r="22">
          <cell r="C22" t="str">
            <v>Alamo - Contra Costa</v>
          </cell>
          <cell r="D22">
            <v>6.1416666666666668E-2</v>
          </cell>
          <cell r="E22">
            <v>1.1379999999999999E-2</v>
          </cell>
          <cell r="G22" t="str">
            <v>INYO</v>
          </cell>
          <cell r="H22">
            <v>7.1833333333333332E-2</v>
          </cell>
          <cell r="J22" t="str">
            <v>INYO</v>
          </cell>
          <cell r="K22">
            <v>1.056E-2</v>
          </cell>
        </row>
        <row r="23">
          <cell r="C23" t="str">
            <v>Albany - Alameda</v>
          </cell>
          <cell r="D23">
            <v>0.06</v>
          </cell>
          <cell r="E23">
            <v>1.214E-2</v>
          </cell>
          <cell r="G23" t="str">
            <v>KERN</v>
          </cell>
          <cell r="H23">
            <v>0.10558333333333332</v>
          </cell>
          <cell r="J23" t="str">
            <v>KERN</v>
          </cell>
          <cell r="K23">
            <v>1.15E-2</v>
          </cell>
        </row>
        <row r="24">
          <cell r="C24" t="str">
            <v>Alberhill - Riverside</v>
          </cell>
          <cell r="D24">
            <v>8.7000000000000008E-2</v>
          </cell>
          <cell r="E24">
            <v>1.0970000000000001E-2</v>
          </cell>
          <cell r="G24" t="str">
            <v>KINGS</v>
          </cell>
          <cell r="H24">
            <v>0.12166666666666666</v>
          </cell>
          <cell r="J24" t="str">
            <v>KINGS</v>
          </cell>
          <cell r="K24">
            <v>1.026E-2</v>
          </cell>
        </row>
        <row r="25">
          <cell r="C25" t="str">
            <v>Albion - Mendocino</v>
          </cell>
          <cell r="D25">
            <v>6.5750000000000003E-2</v>
          </cell>
          <cell r="E25">
            <v>1.123E-2</v>
          </cell>
          <cell r="G25" t="str">
            <v>LAKE</v>
          </cell>
          <cell r="H25">
            <v>9.9083333333333329E-2</v>
          </cell>
          <cell r="J25" t="str">
            <v>LAKE</v>
          </cell>
          <cell r="K25">
            <v>1.0800000000000001E-2</v>
          </cell>
        </row>
        <row r="26">
          <cell r="C26" t="str">
            <v>Alderpoint - Humboldt</v>
          </cell>
          <cell r="D26">
            <v>7.3666666666666672E-2</v>
          </cell>
          <cell r="E26">
            <v>1.043E-2</v>
          </cell>
          <cell r="G26" t="str">
            <v>LASSEN</v>
          </cell>
          <cell r="H26">
            <v>9.4750000000000001E-2</v>
          </cell>
          <cell r="J26" t="str">
            <v>LASSEN</v>
          </cell>
          <cell r="K26">
            <v>1.027E-2</v>
          </cell>
        </row>
        <row r="27">
          <cell r="C27" t="str">
            <v>Alhambra - Los Angeles</v>
          </cell>
          <cell r="D27">
            <v>8.2166666666666666E-2</v>
          </cell>
          <cell r="E27">
            <v>1.1979999999999999E-2</v>
          </cell>
          <cell r="G27" t="str">
            <v>LOS ANGELES</v>
          </cell>
          <cell r="H27">
            <v>8.2166666666666666E-2</v>
          </cell>
          <cell r="J27" t="str">
            <v>LOS ANGELES</v>
          </cell>
          <cell r="K27">
            <v>1.1979999999999999E-2</v>
          </cell>
        </row>
        <row r="28">
          <cell r="C28" t="str">
            <v>Aliso Viejo - Orange</v>
          </cell>
          <cell r="D28">
            <v>5.2749999999999991E-2</v>
          </cell>
          <cell r="E28">
            <v>1.061E-2</v>
          </cell>
          <cell r="G28" t="str">
            <v>MADERA</v>
          </cell>
          <cell r="H28">
            <v>0.10325000000000001</v>
          </cell>
          <cell r="J28" t="str">
            <v>MADERA</v>
          </cell>
          <cell r="K28">
            <v>1.0149999999999999E-2</v>
          </cell>
        </row>
        <row r="29">
          <cell r="C29" t="str">
            <v>Alleghany - Sierra</v>
          </cell>
          <cell r="D29">
            <v>0.10116666666666665</v>
          </cell>
          <cell r="E29">
            <v>9.5199999999999989E-3</v>
          </cell>
          <cell r="G29" t="str">
            <v>MARIN</v>
          </cell>
          <cell r="H29">
            <v>4.1499999999999995E-2</v>
          </cell>
          <cell r="J29" t="str">
            <v>MARIN</v>
          </cell>
          <cell r="K29">
            <v>1.1000000000000001E-2</v>
          </cell>
        </row>
        <row r="30">
          <cell r="C30" t="str">
            <v>Almaden Valley - Santa Clara</v>
          </cell>
          <cell r="D30">
            <v>5.4583333333333331E-2</v>
          </cell>
          <cell r="E30">
            <v>1.2030000000000001E-2</v>
          </cell>
          <cell r="G30" t="str">
            <v>MARIPOSA</v>
          </cell>
          <cell r="H30">
            <v>7.5833333333333322E-2</v>
          </cell>
          <cell r="J30" t="str">
            <v>MARIPOSA</v>
          </cell>
          <cell r="K30">
            <v>1.0059999999999999E-2</v>
          </cell>
        </row>
        <row r="31">
          <cell r="C31" t="str">
            <v>Almanor - Plumas</v>
          </cell>
          <cell r="D31">
            <v>0.10208333333333332</v>
          </cell>
          <cell r="E31">
            <v>1.0369999999999999E-2</v>
          </cell>
          <cell r="G31" t="str">
            <v>MENDOCINO</v>
          </cell>
          <cell r="H31">
            <v>6.5750000000000003E-2</v>
          </cell>
          <cell r="J31" t="str">
            <v>MENDOCINO</v>
          </cell>
          <cell r="K31">
            <v>1.123E-2</v>
          </cell>
        </row>
        <row r="32">
          <cell r="C32" t="str">
            <v>Almondale - Los Angeles</v>
          </cell>
          <cell r="D32">
            <v>8.2166666666666666E-2</v>
          </cell>
          <cell r="E32">
            <v>1.1979999999999999E-2</v>
          </cell>
          <cell r="G32" t="str">
            <v>MERCED</v>
          </cell>
          <cell r="H32">
            <v>0.13066666666666668</v>
          </cell>
          <cell r="J32" t="str">
            <v>MERCED</v>
          </cell>
          <cell r="K32">
            <v>1.099E-2</v>
          </cell>
        </row>
        <row r="33">
          <cell r="C33" t="str">
            <v>Alondra - Los Angeles</v>
          </cell>
          <cell r="D33">
            <v>8.2166666666666666E-2</v>
          </cell>
          <cell r="E33">
            <v>1.1979999999999999E-2</v>
          </cell>
          <cell r="G33" t="str">
            <v>MODOC</v>
          </cell>
          <cell r="H33">
            <v>9.9749999999999991E-2</v>
          </cell>
          <cell r="J33" t="str">
            <v>MODOC</v>
          </cell>
          <cell r="K33">
            <v>1.027E-2</v>
          </cell>
        </row>
        <row r="34">
          <cell r="C34" t="str">
            <v>Alpaugh - Tulare</v>
          </cell>
          <cell r="D34">
            <v>0.12874999999999998</v>
          </cell>
          <cell r="E34">
            <v>1.0840000000000001E-2</v>
          </cell>
          <cell r="G34" t="str">
            <v>MONO</v>
          </cell>
          <cell r="H34">
            <v>7.3249999999999996E-2</v>
          </cell>
          <cell r="J34" t="str">
            <v>MONO</v>
          </cell>
          <cell r="K34">
            <v>1.1240000000000002E-2</v>
          </cell>
        </row>
        <row r="35">
          <cell r="C35" t="str">
            <v>Alpine - San Diego</v>
          </cell>
          <cell r="D35">
            <v>6.2E-2</v>
          </cell>
          <cell r="E35">
            <v>1.1080000000000001E-2</v>
          </cell>
          <cell r="G35" t="str">
            <v>MONTEREY</v>
          </cell>
          <cell r="H35">
            <v>9.1249999999999998E-2</v>
          </cell>
          <cell r="J35" t="str">
            <v>MONTEREY</v>
          </cell>
          <cell r="K35">
            <v>1.085E-2</v>
          </cell>
        </row>
        <row r="36">
          <cell r="C36" t="str">
            <v>Alta - Placer</v>
          </cell>
          <cell r="D36">
            <v>6.2166666666666662E-2</v>
          </cell>
          <cell r="E36">
            <v>1.0869999999999999E-2</v>
          </cell>
          <cell r="G36" t="str">
            <v>NAPA</v>
          </cell>
          <cell r="H36">
            <v>5.1833333333333328E-2</v>
          </cell>
          <cell r="J36" t="str">
            <v>NAPA</v>
          </cell>
          <cell r="K36">
            <v>1.0900000000000002E-2</v>
          </cell>
        </row>
        <row r="37">
          <cell r="C37" t="str">
            <v>Alta Loma - San Bernardino</v>
          </cell>
          <cell r="D37">
            <v>8.3833333333333329E-2</v>
          </cell>
          <cell r="E37">
            <v>1.149E-2</v>
          </cell>
          <cell r="G37" t="str">
            <v>NEVADA</v>
          </cell>
          <cell r="H37">
            <v>6.4083333333333339E-2</v>
          </cell>
          <cell r="J37" t="str">
            <v>NEVADA</v>
          </cell>
          <cell r="K37">
            <v>1.0529999999999999E-2</v>
          </cell>
        </row>
        <row r="38">
          <cell r="C38" t="str">
            <v>Altadena - Los Angeles</v>
          </cell>
          <cell r="D38">
            <v>8.2166666666666666E-2</v>
          </cell>
          <cell r="E38">
            <v>1.1979999999999999E-2</v>
          </cell>
          <cell r="G38" t="str">
            <v>ORANGE</v>
          </cell>
          <cell r="H38">
            <v>5.2749999999999991E-2</v>
          </cell>
          <cell r="J38" t="str">
            <v>ORANGE</v>
          </cell>
          <cell r="K38">
            <v>1.061E-2</v>
          </cell>
        </row>
        <row r="39">
          <cell r="C39" t="str">
            <v>Altaville - Calaveras</v>
          </cell>
          <cell r="D39">
            <v>8.5416666666666655E-2</v>
          </cell>
          <cell r="E39">
            <v>1.1120000000000001E-2</v>
          </cell>
          <cell r="G39" t="str">
            <v>PLACER</v>
          </cell>
          <cell r="H39">
            <v>6.2166666666666662E-2</v>
          </cell>
          <cell r="J39" t="str">
            <v>PLACER</v>
          </cell>
          <cell r="K39">
            <v>1.0869999999999999E-2</v>
          </cell>
        </row>
        <row r="40">
          <cell r="C40" t="str">
            <v>Alton - Humboldt</v>
          </cell>
          <cell r="D40">
            <v>7.3666666666666672E-2</v>
          </cell>
          <cell r="E40">
            <v>1.043E-2</v>
          </cell>
          <cell r="G40" t="str">
            <v>PLUMAS</v>
          </cell>
          <cell r="H40">
            <v>0.10208333333333332</v>
          </cell>
          <cell r="J40" t="str">
            <v>PLUMAS</v>
          </cell>
          <cell r="K40">
            <v>1.0369999999999999E-2</v>
          </cell>
        </row>
        <row r="41">
          <cell r="C41" t="str">
            <v>Alturas - Modoc</v>
          </cell>
          <cell r="D41">
            <v>9.9749999999999991E-2</v>
          </cell>
          <cell r="E41">
            <v>1.027E-2</v>
          </cell>
          <cell r="G41" t="str">
            <v>RIVERSIDE</v>
          </cell>
          <cell r="H41">
            <v>8.7000000000000008E-2</v>
          </cell>
          <cell r="J41" t="str">
            <v>RIVERSIDE</v>
          </cell>
          <cell r="K41">
            <v>1.0970000000000001E-2</v>
          </cell>
        </row>
        <row r="42">
          <cell r="C42" t="str">
            <v>Alviso - Santa Clara</v>
          </cell>
          <cell r="D42">
            <v>5.4583333333333331E-2</v>
          </cell>
          <cell r="E42">
            <v>1.2030000000000001E-2</v>
          </cell>
          <cell r="G42" t="str">
            <v>SACRAMENTO</v>
          </cell>
          <cell r="H42">
            <v>7.2666666666666671E-2</v>
          </cell>
          <cell r="J42" t="str">
            <v>SACRAMENTO</v>
          </cell>
          <cell r="K42">
            <v>1.1169999999999999E-2</v>
          </cell>
        </row>
        <row r="43">
          <cell r="C43" t="str">
            <v>Amador City - Amador</v>
          </cell>
          <cell r="D43">
            <v>8.1583333333333327E-2</v>
          </cell>
          <cell r="E43">
            <v>1.0169999999999998E-2</v>
          </cell>
          <cell r="G43" t="str">
            <v>SAN BENITO</v>
          </cell>
          <cell r="H43">
            <v>9.3250000000000013E-2</v>
          </cell>
          <cell r="J43" t="str">
            <v>SAN BENITO</v>
          </cell>
          <cell r="K43">
            <v>1.1550000000000001E-2</v>
          </cell>
        </row>
        <row r="44">
          <cell r="C44" t="str">
            <v>Amargosa - Inyo</v>
          </cell>
          <cell r="D44">
            <v>7.1833333333333332E-2</v>
          </cell>
          <cell r="E44">
            <v>1.056E-2</v>
          </cell>
          <cell r="G44" t="str">
            <v>SAN BERNARDINO</v>
          </cell>
          <cell r="H44">
            <v>8.3833333333333329E-2</v>
          </cell>
          <cell r="J44" t="str">
            <v>SAN BERNARDINO</v>
          </cell>
          <cell r="K44">
            <v>1.149E-2</v>
          </cell>
        </row>
        <row r="45">
          <cell r="C45" t="str">
            <v>Amboy - San Bernardino</v>
          </cell>
          <cell r="D45">
            <v>8.3833333333333329E-2</v>
          </cell>
          <cell r="E45">
            <v>1.149E-2</v>
          </cell>
          <cell r="G45" t="str">
            <v>SAN DIEGO</v>
          </cell>
          <cell r="H45">
            <v>6.2E-2</v>
          </cell>
          <cell r="J45" t="str">
            <v>SAN DIEGO</v>
          </cell>
          <cell r="K45">
            <v>1.1080000000000001E-2</v>
          </cell>
        </row>
        <row r="46">
          <cell r="C46" t="str">
            <v>American Canyon - Napa</v>
          </cell>
          <cell r="D46">
            <v>5.1833333333333328E-2</v>
          </cell>
          <cell r="E46">
            <v>1.0900000000000002E-2</v>
          </cell>
          <cell r="G46" t="str">
            <v>SAN FRANCISCO</v>
          </cell>
          <cell r="H46">
            <v>4.6583333333333324E-2</v>
          </cell>
          <cell r="J46" t="str">
            <v>SAN FRANCISCO</v>
          </cell>
          <cell r="K46">
            <v>1.17E-2</v>
          </cell>
        </row>
        <row r="47">
          <cell r="C47" t="str">
            <v>Anaheim - Orange</v>
          </cell>
          <cell r="D47">
            <v>5.2749999999999991E-2</v>
          </cell>
          <cell r="E47">
            <v>1.061E-2</v>
          </cell>
          <cell r="G47" t="str">
            <v>SAN JOAQUIN</v>
          </cell>
          <cell r="H47">
            <v>0.11141666666666668</v>
          </cell>
          <cell r="J47" t="str">
            <v>SAN JOAQUIN</v>
          </cell>
          <cell r="K47">
            <v>1.107E-2</v>
          </cell>
        </row>
        <row r="48">
          <cell r="C48" t="str">
            <v>Anderson - Shasta</v>
          </cell>
          <cell r="D48">
            <v>9.0499999999999983E-2</v>
          </cell>
          <cell r="E48">
            <v>1.085E-2</v>
          </cell>
          <cell r="G48" t="str">
            <v>SAN LUIS OBISPO</v>
          </cell>
          <cell r="H48">
            <v>5.5916666666666656E-2</v>
          </cell>
          <cell r="J48" t="str">
            <v>SAN LUIS OBISPO</v>
          </cell>
          <cell r="K48">
            <v>1.0189999999999999E-2</v>
          </cell>
        </row>
        <row r="49">
          <cell r="C49" t="str">
            <v>Angels Camp - Calaveras</v>
          </cell>
          <cell r="D49">
            <v>8.5416666666666655E-2</v>
          </cell>
          <cell r="E49">
            <v>1.1120000000000001E-2</v>
          </cell>
          <cell r="G49" t="str">
            <v>SAN MATEO</v>
          </cell>
          <cell r="H49">
            <v>4.3500000000000004E-2</v>
          </cell>
          <cell r="J49" t="str">
            <v>SAN MATEO</v>
          </cell>
          <cell r="K49">
            <v>1.099E-2</v>
          </cell>
        </row>
        <row r="50">
          <cell r="C50" t="str">
            <v>Angelus Oaks - San Bernardino</v>
          </cell>
          <cell r="D50">
            <v>8.3833333333333329E-2</v>
          </cell>
          <cell r="E50">
            <v>1.149E-2</v>
          </cell>
          <cell r="G50" t="str">
            <v>SANTA BARBARA</v>
          </cell>
          <cell r="H50">
            <v>5.8999999999999997E-2</v>
          </cell>
          <cell r="J50" t="str">
            <v>SANTA BARBARA</v>
          </cell>
          <cell r="K50">
            <v>1.055E-2</v>
          </cell>
        </row>
        <row r="51">
          <cell r="C51" t="str">
            <v>Angwin - Napa</v>
          </cell>
          <cell r="D51">
            <v>5.1833333333333328E-2</v>
          </cell>
          <cell r="E51">
            <v>1.0900000000000002E-2</v>
          </cell>
          <cell r="G51" t="str">
            <v>SANTA CLARA</v>
          </cell>
          <cell r="H51">
            <v>5.4583333333333331E-2</v>
          </cell>
          <cell r="J51" t="str">
            <v>SANTA CLARA</v>
          </cell>
          <cell r="K51">
            <v>1.2030000000000001E-2</v>
          </cell>
        </row>
        <row r="52">
          <cell r="C52" t="str">
            <v>Annapolis - Sonoma</v>
          </cell>
          <cell r="D52">
            <v>5.4333333333333324E-2</v>
          </cell>
          <cell r="E52">
            <v>1.1180000000000001E-2</v>
          </cell>
          <cell r="G52" t="str">
            <v>SANTA CRUZ</v>
          </cell>
          <cell r="H52">
            <v>8.1666666666666665E-2</v>
          </cell>
          <cell r="J52" t="str">
            <v>SANTA CRUZ</v>
          </cell>
          <cell r="K52">
            <v>1.0940000000000002E-2</v>
          </cell>
        </row>
        <row r="53">
          <cell r="C53" t="str">
            <v>Antelope - Sacramento</v>
          </cell>
          <cell r="D53">
            <v>7.2666666666666671E-2</v>
          </cell>
          <cell r="E53">
            <v>1.1169999999999999E-2</v>
          </cell>
          <cell r="G53" t="str">
            <v>SHASTA</v>
          </cell>
          <cell r="H53">
            <v>9.0499999999999983E-2</v>
          </cell>
          <cell r="J53" t="str">
            <v>SHASTA</v>
          </cell>
          <cell r="K53">
            <v>1.085E-2</v>
          </cell>
        </row>
        <row r="54">
          <cell r="C54" t="str">
            <v>Antelope Acres - Los Angeles</v>
          </cell>
          <cell r="D54">
            <v>8.2166666666666666E-2</v>
          </cell>
          <cell r="E54">
            <v>1.1979999999999999E-2</v>
          </cell>
          <cell r="G54" t="str">
            <v>SIERRA</v>
          </cell>
          <cell r="H54">
            <v>0.10116666666666665</v>
          </cell>
          <cell r="J54" t="str">
            <v>SIERRA</v>
          </cell>
          <cell r="K54">
            <v>9.5199999999999989E-3</v>
          </cell>
        </row>
        <row r="55">
          <cell r="C55" t="str">
            <v>Antioch - Contra Costa</v>
          </cell>
          <cell r="D55">
            <v>6.1416666666666668E-2</v>
          </cell>
          <cell r="E55">
            <v>1.1379999999999999E-2</v>
          </cell>
          <cell r="G55" t="str">
            <v>SISKIYOU</v>
          </cell>
          <cell r="H55">
            <v>0.11158333333333331</v>
          </cell>
          <cell r="J55" t="str">
            <v>SISKIYOU</v>
          </cell>
          <cell r="K55">
            <v>1.0489999999999999E-2</v>
          </cell>
        </row>
        <row r="56">
          <cell r="C56" t="str">
            <v>Anza - Riverside</v>
          </cell>
          <cell r="D56">
            <v>8.7000000000000008E-2</v>
          </cell>
          <cell r="E56">
            <v>1.0970000000000001E-2</v>
          </cell>
          <cell r="G56" t="str">
            <v>SOLANO</v>
          </cell>
          <cell r="H56">
            <v>6.9833333333333317E-2</v>
          </cell>
          <cell r="J56" t="str">
            <v>SOLANO</v>
          </cell>
          <cell r="K56">
            <v>1.149E-2</v>
          </cell>
        </row>
        <row r="57">
          <cell r="C57" t="str">
            <v>Apple Valley - San Bernardino</v>
          </cell>
          <cell r="D57">
            <v>8.3833333333333329E-2</v>
          </cell>
          <cell r="E57">
            <v>1.149E-2</v>
          </cell>
          <cell r="G57" t="str">
            <v>SONOMA</v>
          </cell>
          <cell r="H57">
            <v>5.4333333333333324E-2</v>
          </cell>
          <cell r="J57" t="str">
            <v>SONOMA</v>
          </cell>
          <cell r="K57">
            <v>1.1180000000000001E-2</v>
          </cell>
        </row>
        <row r="58">
          <cell r="C58" t="str">
            <v>Applegate - Placer</v>
          </cell>
          <cell r="D58">
            <v>6.2166666666666662E-2</v>
          </cell>
          <cell r="E58">
            <v>1.0869999999999999E-2</v>
          </cell>
          <cell r="G58" t="str">
            <v>STANISLAUS</v>
          </cell>
          <cell r="H58">
            <v>0.114</v>
          </cell>
          <cell r="J58" t="str">
            <v>STANISLAUS</v>
          </cell>
          <cell r="K58">
            <v>1.1180000000000001E-2</v>
          </cell>
        </row>
        <row r="59">
          <cell r="C59" t="str">
            <v>Aptos - Santa Cruz</v>
          </cell>
          <cell r="D59">
            <v>8.1666666666666665E-2</v>
          </cell>
          <cell r="E59">
            <v>1.0940000000000002E-2</v>
          </cell>
          <cell r="G59" t="str">
            <v>SUTTER</v>
          </cell>
          <cell r="H59">
            <v>0.13508333333333333</v>
          </cell>
          <cell r="J59" t="str">
            <v>SUTTER</v>
          </cell>
          <cell r="K59">
            <v>1.0900000000000002E-2</v>
          </cell>
        </row>
        <row r="60">
          <cell r="C60" t="str">
            <v>Arbuckle - Colusa</v>
          </cell>
          <cell r="D60">
            <v>0.17433333333333334</v>
          </cell>
          <cell r="E60">
            <v>1.0540000000000001E-2</v>
          </cell>
          <cell r="G60" t="str">
            <v>TEHAMA</v>
          </cell>
          <cell r="H60">
            <v>9.7333333333333327E-2</v>
          </cell>
          <cell r="J60" t="str">
            <v>TEHAMA</v>
          </cell>
          <cell r="K60">
            <v>1.023E-2</v>
          </cell>
        </row>
        <row r="61">
          <cell r="C61" t="str">
            <v>Arcadia - Los Angeles</v>
          </cell>
          <cell r="D61">
            <v>8.2166666666666666E-2</v>
          </cell>
          <cell r="E61">
            <v>1.1979999999999999E-2</v>
          </cell>
          <cell r="G61" t="str">
            <v>TRINITY</v>
          </cell>
          <cell r="H61">
            <v>0.10183333333333332</v>
          </cell>
          <cell r="J61" t="str">
            <v>TRINITY</v>
          </cell>
          <cell r="K61">
            <v>1.022E-2</v>
          </cell>
        </row>
        <row r="62">
          <cell r="C62" t="str">
            <v>Arcata - Humboldt</v>
          </cell>
          <cell r="D62">
            <v>7.3666666666666672E-2</v>
          </cell>
          <cell r="E62">
            <v>1.043E-2</v>
          </cell>
          <cell r="G62" t="str">
            <v>TULARE</v>
          </cell>
          <cell r="H62">
            <v>0.12874999999999998</v>
          </cell>
          <cell r="J62" t="str">
            <v>TULARE</v>
          </cell>
          <cell r="K62">
            <v>1.0840000000000001E-2</v>
          </cell>
        </row>
        <row r="63">
          <cell r="C63" t="str">
            <v>Argus - San Bernardino</v>
          </cell>
          <cell r="D63">
            <v>8.3833333333333329E-2</v>
          </cell>
          <cell r="E63">
            <v>1.149E-2</v>
          </cell>
          <cell r="G63" t="str">
            <v>TUOLUMNE</v>
          </cell>
          <cell r="H63">
            <v>8.0750000000000016E-2</v>
          </cell>
          <cell r="J63" t="str">
            <v>TUOLUMNE</v>
          </cell>
          <cell r="K63">
            <v>1.061E-2</v>
          </cell>
        </row>
        <row r="64">
          <cell r="C64" t="str">
            <v>Arleta - Los Angeles</v>
          </cell>
          <cell r="D64">
            <v>8.2166666666666666E-2</v>
          </cell>
          <cell r="E64">
            <v>1.1979999999999999E-2</v>
          </cell>
          <cell r="G64" t="str">
            <v>VENTURA</v>
          </cell>
          <cell r="H64">
            <v>6.6000000000000003E-2</v>
          </cell>
          <cell r="J64" t="str">
            <v>VENTURA</v>
          </cell>
          <cell r="K64">
            <v>1.0920000000000001E-2</v>
          </cell>
        </row>
        <row r="65">
          <cell r="C65" t="str">
            <v>Arlington - Riverside</v>
          </cell>
          <cell r="D65">
            <v>8.7000000000000008E-2</v>
          </cell>
          <cell r="E65">
            <v>1.0970000000000001E-2</v>
          </cell>
          <cell r="G65" t="str">
            <v>YOLO</v>
          </cell>
          <cell r="H65">
            <v>7.9750000000000001E-2</v>
          </cell>
          <cell r="J65" t="str">
            <v>YOLO</v>
          </cell>
          <cell r="K65">
            <v>1.0620000000000001E-2</v>
          </cell>
        </row>
        <row r="66">
          <cell r="C66" t="str">
            <v>Armona - Kings</v>
          </cell>
          <cell r="D66">
            <v>0.12166666666666666</v>
          </cell>
          <cell r="E66">
            <v>1.026E-2</v>
          </cell>
          <cell r="G66" t="str">
            <v>YUBA</v>
          </cell>
          <cell r="H66">
            <v>0.12291666666666666</v>
          </cell>
          <cell r="J66" t="str">
            <v>YUBA</v>
          </cell>
          <cell r="K66">
            <v>1.1180000000000001E-2</v>
          </cell>
        </row>
        <row r="67">
          <cell r="C67" t="str">
            <v>Army Terminal - Alameda</v>
          </cell>
          <cell r="D67">
            <v>0.06</v>
          </cell>
          <cell r="E67">
            <v>1.214E-2</v>
          </cell>
        </row>
        <row r="68">
          <cell r="C68" t="str">
            <v>Arnold - Calaveras</v>
          </cell>
          <cell r="D68">
            <v>8.5416666666666655E-2</v>
          </cell>
          <cell r="E68">
            <v>1.1120000000000001E-2</v>
          </cell>
        </row>
        <row r="69">
          <cell r="C69" t="str">
            <v>Aromas - Monterey</v>
          </cell>
          <cell r="D69">
            <v>9.1249999999999998E-2</v>
          </cell>
          <cell r="E69">
            <v>1.085E-2</v>
          </cell>
        </row>
        <row r="70">
          <cell r="C70" t="str">
            <v>Arrowbear Lake - San Bernardino</v>
          </cell>
          <cell r="D70">
            <v>8.3833333333333329E-2</v>
          </cell>
          <cell r="E70">
            <v>1.149E-2</v>
          </cell>
        </row>
        <row r="71">
          <cell r="C71" t="str">
            <v>Arrowhead Highlands - San Bernardino</v>
          </cell>
          <cell r="D71">
            <v>8.3833333333333329E-2</v>
          </cell>
          <cell r="E71">
            <v>1.149E-2</v>
          </cell>
        </row>
        <row r="72">
          <cell r="C72" t="str">
            <v>Arroyo Grande - San Luis Obispo</v>
          </cell>
          <cell r="D72">
            <v>5.5916666666666656E-2</v>
          </cell>
          <cell r="E72">
            <v>1.0189999999999999E-2</v>
          </cell>
        </row>
        <row r="73">
          <cell r="C73" t="str">
            <v>Artesia - Los Angeles</v>
          </cell>
          <cell r="D73">
            <v>8.2166666666666666E-2</v>
          </cell>
          <cell r="E73">
            <v>1.1979999999999999E-2</v>
          </cell>
        </row>
        <row r="74">
          <cell r="C74" t="str">
            <v>Artois - Glenn</v>
          </cell>
          <cell r="D74">
            <v>0.10549999999999998</v>
          </cell>
          <cell r="E74">
            <v>1.0500000000000001E-2</v>
          </cell>
        </row>
        <row r="75">
          <cell r="C75" t="str">
            <v>Arvin - Kern</v>
          </cell>
          <cell r="D75">
            <v>0.10558333333333332</v>
          </cell>
          <cell r="E75">
            <v>1.15E-2</v>
          </cell>
        </row>
        <row r="76">
          <cell r="C76" t="str">
            <v>Ashland - Alameda</v>
          </cell>
          <cell r="D76">
            <v>0.06</v>
          </cell>
          <cell r="E76">
            <v>1.214E-2</v>
          </cell>
        </row>
        <row r="77">
          <cell r="C77" t="str">
            <v>Asti - Sonoma</v>
          </cell>
          <cell r="D77">
            <v>5.4333333333333324E-2</v>
          </cell>
          <cell r="E77">
            <v>1.1180000000000001E-2</v>
          </cell>
        </row>
        <row r="78">
          <cell r="C78" t="str">
            <v>Atascadero - San Luis Obispo</v>
          </cell>
          <cell r="D78">
            <v>5.5916666666666656E-2</v>
          </cell>
          <cell r="E78">
            <v>1.0189999999999999E-2</v>
          </cell>
        </row>
        <row r="79">
          <cell r="C79" t="str">
            <v>Athens - Los Angeles</v>
          </cell>
          <cell r="D79">
            <v>8.2166666666666666E-2</v>
          </cell>
          <cell r="E79">
            <v>1.1979999999999999E-2</v>
          </cell>
        </row>
        <row r="80">
          <cell r="C80" t="str">
            <v>Atherton - San Mateo</v>
          </cell>
          <cell r="D80">
            <v>4.3500000000000004E-2</v>
          </cell>
          <cell r="E80">
            <v>1.099E-2</v>
          </cell>
        </row>
        <row r="81">
          <cell r="C81" t="str">
            <v>Atwater - Merced</v>
          </cell>
          <cell r="D81">
            <v>0.13066666666666668</v>
          </cell>
          <cell r="E81">
            <v>1.099E-2</v>
          </cell>
        </row>
        <row r="82">
          <cell r="C82" t="str">
            <v>Atwood - Orange</v>
          </cell>
          <cell r="D82">
            <v>5.2749999999999991E-2</v>
          </cell>
          <cell r="E82">
            <v>1.061E-2</v>
          </cell>
        </row>
        <row r="83">
          <cell r="C83" t="str">
            <v>Auberry - Fresno</v>
          </cell>
          <cell r="D83">
            <v>0.11366666666666669</v>
          </cell>
          <cell r="E83">
            <v>1.166E-2</v>
          </cell>
        </row>
        <row r="84">
          <cell r="C84" t="str">
            <v>Auburn - Placer</v>
          </cell>
          <cell r="D84">
            <v>6.2166666666666662E-2</v>
          </cell>
          <cell r="E84">
            <v>1.0869999999999999E-2</v>
          </cell>
        </row>
        <row r="85">
          <cell r="C85" t="str">
            <v>Avalon - Los Angeles</v>
          </cell>
          <cell r="D85">
            <v>8.2166666666666666E-2</v>
          </cell>
          <cell r="E85">
            <v>1.1979999999999999E-2</v>
          </cell>
        </row>
        <row r="86">
          <cell r="C86" t="str">
            <v>Avenal - Kings</v>
          </cell>
          <cell r="D86">
            <v>0.12166666666666666</v>
          </cell>
          <cell r="E86">
            <v>1.026E-2</v>
          </cell>
        </row>
        <row r="87">
          <cell r="C87" t="str">
            <v>Avery - Calaveras</v>
          </cell>
          <cell r="D87">
            <v>8.5416666666666655E-2</v>
          </cell>
          <cell r="E87">
            <v>1.1120000000000001E-2</v>
          </cell>
        </row>
        <row r="88">
          <cell r="C88" t="str">
            <v>Avila Beach - San Luis Obispo</v>
          </cell>
          <cell r="D88">
            <v>5.5916666666666656E-2</v>
          </cell>
          <cell r="E88">
            <v>1.0189999999999999E-2</v>
          </cell>
        </row>
        <row r="89">
          <cell r="C89" t="str">
            <v>Azusa - Los Angeles</v>
          </cell>
          <cell r="D89">
            <v>8.2166666666666666E-2</v>
          </cell>
          <cell r="E89">
            <v>1.1979999999999999E-2</v>
          </cell>
        </row>
        <row r="90">
          <cell r="C90" t="str">
            <v>Badger - Tulare</v>
          </cell>
          <cell r="D90">
            <v>0.12874999999999998</v>
          </cell>
          <cell r="E90">
            <v>1.0840000000000001E-2</v>
          </cell>
        </row>
        <row r="91">
          <cell r="C91" t="str">
            <v>Bailey - Los Angeles</v>
          </cell>
          <cell r="D91">
            <v>8.2166666666666666E-2</v>
          </cell>
          <cell r="E91">
            <v>1.1979999999999999E-2</v>
          </cell>
        </row>
        <row r="92">
          <cell r="C92" t="str">
            <v>Baker - San Bernardino</v>
          </cell>
          <cell r="D92">
            <v>8.3833333333333329E-2</v>
          </cell>
          <cell r="E92">
            <v>1.149E-2</v>
          </cell>
        </row>
        <row r="93">
          <cell r="C93" t="str">
            <v>Bakersfield - Kern</v>
          </cell>
          <cell r="D93">
            <v>0.10558333333333332</v>
          </cell>
          <cell r="E93">
            <v>1.15E-2</v>
          </cell>
        </row>
        <row r="94">
          <cell r="C94" t="str">
            <v>Balboa - Orange</v>
          </cell>
          <cell r="D94">
            <v>5.2749999999999991E-2</v>
          </cell>
          <cell r="E94">
            <v>1.061E-2</v>
          </cell>
        </row>
        <row r="95">
          <cell r="C95" t="str">
            <v>Balboa Island - Orange</v>
          </cell>
          <cell r="D95">
            <v>5.2749999999999991E-2</v>
          </cell>
          <cell r="E95">
            <v>1.061E-2</v>
          </cell>
        </row>
        <row r="96">
          <cell r="C96" t="str">
            <v>Balboa Park  - San Diego</v>
          </cell>
          <cell r="D96">
            <v>6.2E-2</v>
          </cell>
          <cell r="E96">
            <v>1.1080000000000001E-2</v>
          </cell>
        </row>
        <row r="97">
          <cell r="C97" t="str">
            <v>Baldwin Park - Los Angeles</v>
          </cell>
          <cell r="D97">
            <v>8.2166666666666666E-2</v>
          </cell>
          <cell r="E97">
            <v>1.1979999999999999E-2</v>
          </cell>
        </row>
        <row r="98">
          <cell r="C98" t="str">
            <v>Ballard - Santa Barbara</v>
          </cell>
          <cell r="D98">
            <v>5.8999999999999997E-2</v>
          </cell>
          <cell r="E98">
            <v>1.055E-2</v>
          </cell>
        </row>
        <row r="99">
          <cell r="C99" t="str">
            <v>Ballico - Merced</v>
          </cell>
          <cell r="D99">
            <v>0.13066666666666668</v>
          </cell>
          <cell r="E99">
            <v>1.099E-2</v>
          </cell>
        </row>
        <row r="100">
          <cell r="C100" t="str">
            <v>Ballroad - Orange</v>
          </cell>
          <cell r="D100">
            <v>5.2749999999999991E-2</v>
          </cell>
          <cell r="E100">
            <v>1.061E-2</v>
          </cell>
        </row>
        <row r="101">
          <cell r="C101" t="str">
            <v>Bangor - Butte</v>
          </cell>
          <cell r="D101">
            <v>8.4749999999999992E-2</v>
          </cell>
          <cell r="E101">
            <v>1.052E-2</v>
          </cell>
        </row>
        <row r="102">
          <cell r="C102" t="str">
            <v>Banning - Riverside</v>
          </cell>
          <cell r="D102">
            <v>8.7000000000000008E-2</v>
          </cell>
          <cell r="E102">
            <v>1.0970000000000001E-2</v>
          </cell>
        </row>
        <row r="103">
          <cell r="C103" t="str">
            <v>Banta - San Joaquin</v>
          </cell>
          <cell r="D103">
            <v>0.11141666666666668</v>
          </cell>
          <cell r="E103">
            <v>1.107E-2</v>
          </cell>
        </row>
        <row r="104">
          <cell r="C104" t="str">
            <v>Bard - Imperial</v>
          </cell>
          <cell r="D104">
            <v>0.23408333333333331</v>
          </cell>
          <cell r="E104">
            <v>1.1299999999999999E-2</v>
          </cell>
        </row>
        <row r="105">
          <cell r="C105" t="str">
            <v>Barrington - Los Angeles</v>
          </cell>
          <cell r="D105">
            <v>8.2166666666666666E-2</v>
          </cell>
          <cell r="E105">
            <v>1.1979999999999999E-2</v>
          </cell>
        </row>
        <row r="106">
          <cell r="C106" t="str">
            <v>Barstow - San Bernardino</v>
          </cell>
          <cell r="D106">
            <v>8.3833333333333329E-2</v>
          </cell>
          <cell r="E106">
            <v>1.149E-2</v>
          </cell>
        </row>
        <row r="107">
          <cell r="C107" t="str">
            <v>Bartlett - Inyo</v>
          </cell>
          <cell r="D107">
            <v>7.1833333333333332E-2</v>
          </cell>
          <cell r="E107">
            <v>1.056E-2</v>
          </cell>
        </row>
        <row r="108">
          <cell r="C108" t="str">
            <v>Barton - Fresno</v>
          </cell>
          <cell r="D108">
            <v>0.11366666666666669</v>
          </cell>
          <cell r="E108">
            <v>1.166E-2</v>
          </cell>
        </row>
        <row r="109">
          <cell r="C109" t="str">
            <v>Base Line - San Bernardino</v>
          </cell>
          <cell r="D109">
            <v>8.3833333333333329E-2</v>
          </cell>
          <cell r="E109">
            <v>1.149E-2</v>
          </cell>
        </row>
        <row r="110">
          <cell r="C110" t="str">
            <v>Bass Lake - Madera</v>
          </cell>
          <cell r="D110">
            <v>0.10325000000000001</v>
          </cell>
          <cell r="E110">
            <v>1.0149999999999999E-2</v>
          </cell>
        </row>
        <row r="111">
          <cell r="C111" t="str">
            <v>Bassett - Los Angeles</v>
          </cell>
          <cell r="D111">
            <v>8.2166666666666666E-2</v>
          </cell>
          <cell r="E111">
            <v>1.1979999999999999E-2</v>
          </cell>
        </row>
        <row r="112">
          <cell r="C112" t="str">
            <v>Baxter - Placer</v>
          </cell>
          <cell r="D112">
            <v>6.2166666666666662E-2</v>
          </cell>
          <cell r="E112">
            <v>1.0869999999999999E-2</v>
          </cell>
        </row>
        <row r="113">
          <cell r="C113" t="str">
            <v>Bay Point - Contra Costa</v>
          </cell>
          <cell r="D113">
            <v>6.1416666666666668E-2</v>
          </cell>
          <cell r="E113">
            <v>1.1379999999999999E-2</v>
          </cell>
        </row>
        <row r="114">
          <cell r="C114" t="str">
            <v>Bayside - Humboldt</v>
          </cell>
          <cell r="D114">
            <v>7.3666666666666672E-2</v>
          </cell>
          <cell r="E114">
            <v>1.043E-2</v>
          </cell>
        </row>
        <row r="115">
          <cell r="C115" t="str">
            <v>Baywood Park - San Luis Obispo</v>
          </cell>
          <cell r="D115">
            <v>5.5916666666666656E-2</v>
          </cell>
          <cell r="E115">
            <v>1.0189999999999999E-2</v>
          </cell>
        </row>
        <row r="116">
          <cell r="C116" t="str">
            <v>Beale A.F.B. - Yuba</v>
          </cell>
          <cell r="D116">
            <v>0.12291666666666666</v>
          </cell>
          <cell r="E116">
            <v>1.1180000000000001E-2</v>
          </cell>
        </row>
        <row r="117">
          <cell r="C117" t="str">
            <v>Bear River Lake - Amador</v>
          </cell>
          <cell r="D117">
            <v>8.1583333333333327E-2</v>
          </cell>
          <cell r="E117">
            <v>1.0169999999999998E-2</v>
          </cell>
        </row>
        <row r="118">
          <cell r="C118" t="str">
            <v>Bear Valley - Alpine</v>
          </cell>
          <cell r="D118">
            <v>0.10216666666666667</v>
          </cell>
          <cell r="E118">
            <v>0.01</v>
          </cell>
        </row>
        <row r="119">
          <cell r="C119" t="str">
            <v>Bear Valley - Mariposa</v>
          </cell>
          <cell r="D119">
            <v>7.5833333333333322E-2</v>
          </cell>
          <cell r="E119">
            <v>1.0059999999999999E-2</v>
          </cell>
        </row>
        <row r="120">
          <cell r="C120" t="str">
            <v>Beaumont - Riverside</v>
          </cell>
          <cell r="D120">
            <v>8.7000000000000008E-2</v>
          </cell>
          <cell r="E120">
            <v>1.0970000000000001E-2</v>
          </cell>
        </row>
        <row r="121">
          <cell r="C121" t="str">
            <v>Beckwourth - Plumas</v>
          </cell>
          <cell r="D121">
            <v>0.10208333333333332</v>
          </cell>
          <cell r="E121">
            <v>1.0369999999999999E-2</v>
          </cell>
        </row>
        <row r="122">
          <cell r="C122" t="str">
            <v>Bel Air Estates - Los Angeles</v>
          </cell>
          <cell r="D122">
            <v>8.2166666666666666E-2</v>
          </cell>
          <cell r="E122">
            <v>1.1979999999999999E-2</v>
          </cell>
        </row>
        <row r="123">
          <cell r="C123" t="str">
            <v>Belden - Plumas</v>
          </cell>
          <cell r="D123">
            <v>0.10208333333333332</v>
          </cell>
          <cell r="E123">
            <v>1.0369999999999999E-2</v>
          </cell>
        </row>
        <row r="124">
          <cell r="C124" t="str">
            <v>Bell - Los Angeles</v>
          </cell>
          <cell r="D124">
            <v>8.2166666666666666E-2</v>
          </cell>
          <cell r="E124">
            <v>1.1979999999999999E-2</v>
          </cell>
        </row>
        <row r="125">
          <cell r="C125" t="str">
            <v>Bell Gardens - Los Angeles</v>
          </cell>
          <cell r="D125">
            <v>8.2166666666666666E-2</v>
          </cell>
          <cell r="E125">
            <v>1.1979999999999999E-2</v>
          </cell>
        </row>
        <row r="126">
          <cell r="C126" t="str">
            <v>Bella Vista - Shasta</v>
          </cell>
          <cell r="D126">
            <v>9.0499999999999983E-2</v>
          </cell>
          <cell r="E126">
            <v>1.085E-2</v>
          </cell>
        </row>
        <row r="127">
          <cell r="C127" t="str">
            <v>Bellflower - Los Angeles</v>
          </cell>
          <cell r="D127">
            <v>8.2166666666666666E-2</v>
          </cell>
          <cell r="E127">
            <v>1.1979999999999999E-2</v>
          </cell>
        </row>
        <row r="128">
          <cell r="C128" t="str">
            <v>Belmont - San Mateo</v>
          </cell>
          <cell r="D128">
            <v>4.3500000000000004E-2</v>
          </cell>
          <cell r="E128">
            <v>1.099E-2</v>
          </cell>
        </row>
        <row r="129">
          <cell r="C129" t="str">
            <v>Belvedere - Marin</v>
          </cell>
          <cell r="D129">
            <v>4.1499999999999995E-2</v>
          </cell>
          <cell r="E129">
            <v>1.1000000000000001E-2</v>
          </cell>
        </row>
        <row r="130">
          <cell r="C130" t="str">
            <v>Ben Lomond - Santa Cruz</v>
          </cell>
          <cell r="D130">
            <v>8.1666666666666665E-2</v>
          </cell>
          <cell r="E130">
            <v>1.0940000000000002E-2</v>
          </cell>
        </row>
        <row r="131">
          <cell r="C131" t="str">
            <v>Benicia - Solano</v>
          </cell>
          <cell r="D131">
            <v>6.9833333333333317E-2</v>
          </cell>
          <cell r="E131">
            <v>1.149E-2</v>
          </cell>
        </row>
        <row r="132">
          <cell r="C132" t="str">
            <v>Benton - Mono</v>
          </cell>
          <cell r="D132">
            <v>7.3249999999999996E-2</v>
          </cell>
          <cell r="E132">
            <v>1.1240000000000002E-2</v>
          </cell>
        </row>
        <row r="133">
          <cell r="C133" t="str">
            <v>Berkeley - Alameda</v>
          </cell>
          <cell r="D133">
            <v>0.06</v>
          </cell>
          <cell r="E133">
            <v>1.214E-2</v>
          </cell>
        </row>
        <row r="134">
          <cell r="C134" t="str">
            <v>Bermuda Dunes - Riverside</v>
          </cell>
          <cell r="D134">
            <v>8.7000000000000008E-2</v>
          </cell>
          <cell r="E134">
            <v>1.0970000000000001E-2</v>
          </cell>
        </row>
        <row r="135">
          <cell r="C135" t="str">
            <v>Berry Creek - Butte</v>
          </cell>
          <cell r="D135">
            <v>8.4749999999999992E-2</v>
          </cell>
          <cell r="E135">
            <v>1.052E-2</v>
          </cell>
        </row>
        <row r="136">
          <cell r="C136" t="str">
            <v>Bethel Island - Contra Costa</v>
          </cell>
          <cell r="D136">
            <v>6.1416666666666668E-2</v>
          </cell>
          <cell r="E136">
            <v>1.1379999999999999E-2</v>
          </cell>
        </row>
        <row r="137">
          <cell r="C137" t="str">
            <v>Betteravia - Santa Barbara</v>
          </cell>
          <cell r="D137">
            <v>5.8999999999999997E-2</v>
          </cell>
          <cell r="E137">
            <v>1.055E-2</v>
          </cell>
        </row>
        <row r="138">
          <cell r="C138" t="str">
            <v>Beverly Hills - Los Angeles</v>
          </cell>
          <cell r="D138">
            <v>8.2166666666666666E-2</v>
          </cell>
          <cell r="E138">
            <v>1.1979999999999999E-2</v>
          </cell>
        </row>
        <row r="139">
          <cell r="C139" t="str">
            <v>Bieber - Lassen</v>
          </cell>
          <cell r="D139">
            <v>9.4750000000000001E-2</v>
          </cell>
          <cell r="E139">
            <v>1.027E-2</v>
          </cell>
        </row>
        <row r="140">
          <cell r="C140" t="str">
            <v>Big Bar - Trinity</v>
          </cell>
          <cell r="D140">
            <v>0.10183333333333332</v>
          </cell>
          <cell r="E140">
            <v>1.022E-2</v>
          </cell>
        </row>
        <row r="141">
          <cell r="C141" t="str">
            <v>Big Basin - Santa Cruz</v>
          </cell>
          <cell r="D141">
            <v>8.1666666666666665E-2</v>
          </cell>
          <cell r="E141">
            <v>1.0940000000000002E-2</v>
          </cell>
        </row>
        <row r="142">
          <cell r="C142" t="str">
            <v>Big Bear City - San Bernardino</v>
          </cell>
          <cell r="D142">
            <v>8.3833333333333329E-2</v>
          </cell>
          <cell r="E142">
            <v>1.149E-2</v>
          </cell>
        </row>
        <row r="143">
          <cell r="C143" t="str">
            <v>Big Bear Lake - San Bernardino</v>
          </cell>
          <cell r="D143">
            <v>8.3833333333333329E-2</v>
          </cell>
          <cell r="E143">
            <v>1.149E-2</v>
          </cell>
        </row>
        <row r="144">
          <cell r="C144" t="str">
            <v>Big Bend - Shasta</v>
          </cell>
          <cell r="D144">
            <v>9.0499999999999983E-2</v>
          </cell>
          <cell r="E144">
            <v>1.085E-2</v>
          </cell>
        </row>
        <row r="145">
          <cell r="C145" t="str">
            <v>Big Creek - Fresno</v>
          </cell>
          <cell r="D145">
            <v>0.11366666666666669</v>
          </cell>
          <cell r="E145">
            <v>1.166E-2</v>
          </cell>
        </row>
        <row r="146">
          <cell r="C146" t="str">
            <v>Big Oak Flat - Tuolumne</v>
          </cell>
          <cell r="D146">
            <v>8.0750000000000016E-2</v>
          </cell>
          <cell r="E146">
            <v>1.061E-2</v>
          </cell>
        </row>
        <row r="147">
          <cell r="C147" t="str">
            <v>Big Pine - Inyo</v>
          </cell>
          <cell r="D147">
            <v>7.1833333333333332E-2</v>
          </cell>
          <cell r="E147">
            <v>1.056E-2</v>
          </cell>
        </row>
        <row r="148">
          <cell r="C148" t="str">
            <v>Big River - San Bernardino</v>
          </cell>
          <cell r="D148">
            <v>8.3833333333333329E-2</v>
          </cell>
          <cell r="E148">
            <v>1.149E-2</v>
          </cell>
        </row>
        <row r="149">
          <cell r="C149" t="str">
            <v>Big Sur - Monterey</v>
          </cell>
          <cell r="D149">
            <v>9.1249999999999998E-2</v>
          </cell>
          <cell r="E149">
            <v>1.085E-2</v>
          </cell>
        </row>
        <row r="150">
          <cell r="C150" t="str">
            <v>Biggs - Butte</v>
          </cell>
          <cell r="D150">
            <v>8.4749999999999992E-2</v>
          </cell>
          <cell r="E150">
            <v>1.052E-2</v>
          </cell>
        </row>
        <row r="151">
          <cell r="C151" t="str">
            <v>Bijou - El Dorado</v>
          </cell>
          <cell r="D151">
            <v>7.0916666666666683E-2</v>
          </cell>
          <cell r="E151">
            <v>1.0709999999999999E-2</v>
          </cell>
        </row>
        <row r="152">
          <cell r="C152" t="str">
            <v>Biola - Fresno</v>
          </cell>
          <cell r="D152">
            <v>0.11366666666666669</v>
          </cell>
          <cell r="E152">
            <v>1.166E-2</v>
          </cell>
        </row>
        <row r="153">
          <cell r="C153" t="str">
            <v>Biola College - Los Angeles</v>
          </cell>
          <cell r="D153">
            <v>8.2166666666666666E-2</v>
          </cell>
          <cell r="E153">
            <v>1.1979999999999999E-2</v>
          </cell>
        </row>
        <row r="154">
          <cell r="C154" t="str">
            <v>Birds Landing - Solano</v>
          </cell>
          <cell r="D154">
            <v>6.9833333333333317E-2</v>
          </cell>
          <cell r="E154">
            <v>1.149E-2</v>
          </cell>
        </row>
        <row r="155">
          <cell r="C155" t="str">
            <v>Bishop - Inyo</v>
          </cell>
          <cell r="D155">
            <v>7.1833333333333332E-2</v>
          </cell>
          <cell r="E155">
            <v>1.056E-2</v>
          </cell>
        </row>
        <row r="156">
          <cell r="C156" t="str">
            <v>Black Hawk - Contra Costa</v>
          </cell>
          <cell r="D156">
            <v>6.1416666666666668E-2</v>
          </cell>
          <cell r="E156">
            <v>1.1379999999999999E-2</v>
          </cell>
        </row>
        <row r="157">
          <cell r="C157" t="str">
            <v>Blairsden - Plumas</v>
          </cell>
          <cell r="D157">
            <v>0.10208333333333332</v>
          </cell>
          <cell r="E157">
            <v>1.0369999999999999E-2</v>
          </cell>
        </row>
        <row r="158">
          <cell r="C158" t="str">
            <v>Blocksburg - Humboldt</v>
          </cell>
          <cell r="D158">
            <v>7.3666666666666672E-2</v>
          </cell>
          <cell r="E158">
            <v>1.043E-2</v>
          </cell>
        </row>
        <row r="159">
          <cell r="C159" t="str">
            <v>Bloomington - San Bernardino</v>
          </cell>
          <cell r="D159">
            <v>8.3833333333333329E-2</v>
          </cell>
          <cell r="E159">
            <v>1.149E-2</v>
          </cell>
        </row>
        <row r="160">
          <cell r="C160" t="str">
            <v>Blossom Hill - Santa Clara</v>
          </cell>
          <cell r="D160">
            <v>5.4583333333333331E-2</v>
          </cell>
          <cell r="E160">
            <v>1.2030000000000001E-2</v>
          </cell>
        </row>
        <row r="161">
          <cell r="C161" t="str">
            <v>Blossom Valley - Santa Clara</v>
          </cell>
          <cell r="D161">
            <v>5.4583333333333331E-2</v>
          </cell>
          <cell r="E161">
            <v>1.2030000000000001E-2</v>
          </cell>
        </row>
        <row r="162">
          <cell r="C162" t="str">
            <v>Blue Jay - San Bernardino</v>
          </cell>
          <cell r="D162">
            <v>8.3833333333333329E-2</v>
          </cell>
          <cell r="E162">
            <v>1.149E-2</v>
          </cell>
        </row>
        <row r="163">
          <cell r="C163" t="str">
            <v>Blue Lake - Humboldt</v>
          </cell>
          <cell r="D163">
            <v>7.3666666666666672E-2</v>
          </cell>
          <cell r="E163">
            <v>1.043E-2</v>
          </cell>
        </row>
        <row r="164">
          <cell r="C164" t="str">
            <v>Blythe - Riverside</v>
          </cell>
          <cell r="D164">
            <v>8.7000000000000008E-2</v>
          </cell>
          <cell r="E164">
            <v>1.0970000000000001E-2</v>
          </cell>
        </row>
        <row r="165">
          <cell r="C165" t="str">
            <v>Bodega - Sonoma</v>
          </cell>
          <cell r="D165">
            <v>5.4333333333333324E-2</v>
          </cell>
          <cell r="E165">
            <v>1.1180000000000001E-2</v>
          </cell>
        </row>
        <row r="166">
          <cell r="C166" t="str">
            <v>Bodega Bay - Sonoma</v>
          </cell>
          <cell r="D166">
            <v>5.4333333333333324E-2</v>
          </cell>
          <cell r="E166">
            <v>1.1180000000000001E-2</v>
          </cell>
        </row>
        <row r="167">
          <cell r="C167" t="str">
            <v>Bodfish - Kern</v>
          </cell>
          <cell r="D167">
            <v>0.10558333333333332</v>
          </cell>
          <cell r="E167">
            <v>1.15E-2</v>
          </cell>
        </row>
        <row r="168">
          <cell r="C168" t="str">
            <v>Bolinas - Marin</v>
          </cell>
          <cell r="D168">
            <v>4.1499999999999995E-2</v>
          </cell>
          <cell r="E168">
            <v>1.1000000000000001E-2</v>
          </cell>
        </row>
        <row r="169">
          <cell r="C169" t="str">
            <v>Bolsa - Orange</v>
          </cell>
          <cell r="D169">
            <v>5.2749999999999991E-2</v>
          </cell>
          <cell r="E169">
            <v>1.061E-2</v>
          </cell>
        </row>
        <row r="170">
          <cell r="C170" t="str">
            <v>Bombay Beach - Imperial</v>
          </cell>
          <cell r="D170">
            <v>0.23408333333333331</v>
          </cell>
          <cell r="E170">
            <v>1.1299999999999999E-2</v>
          </cell>
        </row>
        <row r="171">
          <cell r="C171" t="str">
            <v>Bonita - San Diego</v>
          </cell>
          <cell r="D171">
            <v>6.2E-2</v>
          </cell>
          <cell r="E171">
            <v>1.1080000000000001E-2</v>
          </cell>
        </row>
        <row r="172">
          <cell r="C172" t="str">
            <v>Bonny Doon - Santa Cruz</v>
          </cell>
          <cell r="D172">
            <v>8.1666666666666665E-2</v>
          </cell>
          <cell r="E172">
            <v>1.0940000000000002E-2</v>
          </cell>
        </row>
        <row r="173">
          <cell r="C173" t="str">
            <v>Bonsall - San Diego</v>
          </cell>
          <cell r="D173">
            <v>6.2E-2</v>
          </cell>
          <cell r="E173">
            <v>1.1080000000000001E-2</v>
          </cell>
        </row>
        <row r="174">
          <cell r="C174" t="str">
            <v>Boonville - Mendocino</v>
          </cell>
          <cell r="D174">
            <v>6.5750000000000003E-2</v>
          </cell>
          <cell r="E174">
            <v>1.123E-2</v>
          </cell>
        </row>
        <row r="175">
          <cell r="C175" t="str">
            <v>Boron - Kern</v>
          </cell>
          <cell r="D175">
            <v>0.10558333333333332</v>
          </cell>
          <cell r="E175">
            <v>1.15E-2</v>
          </cell>
        </row>
        <row r="176">
          <cell r="C176" t="str">
            <v>Borrego Springs - San Diego</v>
          </cell>
          <cell r="D176">
            <v>6.2E-2</v>
          </cell>
          <cell r="E176">
            <v>1.1080000000000001E-2</v>
          </cell>
        </row>
        <row r="177">
          <cell r="C177" t="str">
            <v>Bostonia - San Diego</v>
          </cell>
          <cell r="D177">
            <v>6.2E-2</v>
          </cell>
          <cell r="E177">
            <v>1.1080000000000001E-2</v>
          </cell>
        </row>
        <row r="178">
          <cell r="C178" t="str">
            <v>Boulder Creek - Santa Cruz</v>
          </cell>
          <cell r="D178">
            <v>8.1666666666666665E-2</v>
          </cell>
          <cell r="E178">
            <v>1.0940000000000002E-2</v>
          </cell>
        </row>
        <row r="179">
          <cell r="C179" t="str">
            <v>Boulevard - San Diego</v>
          </cell>
          <cell r="D179">
            <v>6.2E-2</v>
          </cell>
          <cell r="E179">
            <v>1.1080000000000001E-2</v>
          </cell>
        </row>
        <row r="180">
          <cell r="C180" t="str">
            <v>Bouquet Canyon - Los Angeles</v>
          </cell>
          <cell r="D180">
            <v>8.2166666666666666E-2</v>
          </cell>
          <cell r="E180">
            <v>1.1979999999999999E-2</v>
          </cell>
        </row>
        <row r="181">
          <cell r="C181" t="str">
            <v>Bowman - Placer</v>
          </cell>
          <cell r="D181">
            <v>6.2166666666666662E-2</v>
          </cell>
          <cell r="E181">
            <v>1.0869999999999999E-2</v>
          </cell>
        </row>
        <row r="182">
          <cell r="C182" t="str">
            <v>Boyes Hot Springs - Sonoma</v>
          </cell>
          <cell r="D182">
            <v>5.4333333333333324E-2</v>
          </cell>
          <cell r="E182">
            <v>1.1180000000000001E-2</v>
          </cell>
        </row>
        <row r="183">
          <cell r="C183" t="str">
            <v>Bradbury - Los Angeles</v>
          </cell>
          <cell r="D183">
            <v>8.2166666666666666E-2</v>
          </cell>
          <cell r="E183">
            <v>1.1979999999999999E-2</v>
          </cell>
        </row>
        <row r="184">
          <cell r="C184" t="str">
            <v>Bradford - Alameda</v>
          </cell>
          <cell r="D184">
            <v>0.06</v>
          </cell>
          <cell r="E184">
            <v>1.214E-2</v>
          </cell>
        </row>
        <row r="185">
          <cell r="C185" t="str">
            <v>Bradley - Monterey</v>
          </cell>
          <cell r="D185">
            <v>9.1249999999999998E-2</v>
          </cell>
          <cell r="E185">
            <v>1.085E-2</v>
          </cell>
        </row>
        <row r="186">
          <cell r="C186" t="str">
            <v>Branscomb - Mendocino</v>
          </cell>
          <cell r="D186">
            <v>6.5750000000000003E-2</v>
          </cell>
          <cell r="E186">
            <v>1.123E-2</v>
          </cell>
        </row>
        <row r="187">
          <cell r="C187" t="str">
            <v>Brawley - Imperial</v>
          </cell>
          <cell r="D187">
            <v>0.23408333333333331</v>
          </cell>
          <cell r="E187">
            <v>1.1299999999999999E-2</v>
          </cell>
        </row>
        <row r="188">
          <cell r="C188" t="str">
            <v>Brea - Orange</v>
          </cell>
          <cell r="D188">
            <v>5.2749999999999991E-2</v>
          </cell>
          <cell r="E188">
            <v>1.061E-2</v>
          </cell>
        </row>
        <row r="189">
          <cell r="C189" t="str">
            <v>Brents Junction - Los Angeles</v>
          </cell>
          <cell r="D189">
            <v>8.2166666666666666E-2</v>
          </cell>
          <cell r="E189">
            <v>1.1979999999999999E-2</v>
          </cell>
        </row>
        <row r="190">
          <cell r="C190" t="str">
            <v>Brentwood - Contra Costa</v>
          </cell>
          <cell r="D190">
            <v>6.1416666666666668E-2</v>
          </cell>
          <cell r="E190">
            <v>1.1379999999999999E-2</v>
          </cell>
        </row>
        <row r="191">
          <cell r="C191" t="str">
            <v>Brentwood - Los Angeles</v>
          </cell>
          <cell r="D191">
            <v>8.2166666666666666E-2</v>
          </cell>
          <cell r="E191">
            <v>1.1979999999999999E-2</v>
          </cell>
        </row>
        <row r="192">
          <cell r="C192" t="str">
            <v>Briceland - Humboldt</v>
          </cell>
          <cell r="D192">
            <v>7.3666666666666672E-2</v>
          </cell>
          <cell r="E192">
            <v>1.043E-2</v>
          </cell>
        </row>
        <row r="193">
          <cell r="C193" t="str">
            <v>Bridgeport - Mariposa</v>
          </cell>
          <cell r="D193">
            <v>7.5833333333333322E-2</v>
          </cell>
          <cell r="E193">
            <v>1.0059999999999999E-2</v>
          </cell>
        </row>
        <row r="194">
          <cell r="C194" t="str">
            <v>Bridgeport - Mono</v>
          </cell>
          <cell r="D194">
            <v>7.3249999999999996E-2</v>
          </cell>
          <cell r="E194">
            <v>1.1240000000000002E-2</v>
          </cell>
        </row>
        <row r="195">
          <cell r="C195" t="str">
            <v>Bridgeville - Humboldt</v>
          </cell>
          <cell r="D195">
            <v>7.3666666666666672E-2</v>
          </cell>
          <cell r="E195">
            <v>1.043E-2</v>
          </cell>
        </row>
        <row r="196">
          <cell r="C196" t="str">
            <v>Brisbane - San Mateo</v>
          </cell>
          <cell r="D196">
            <v>4.3500000000000004E-2</v>
          </cell>
          <cell r="E196">
            <v>1.099E-2</v>
          </cell>
        </row>
        <row r="197">
          <cell r="C197" t="str">
            <v>Broderick - Yolo</v>
          </cell>
          <cell r="D197">
            <v>7.9750000000000001E-2</v>
          </cell>
          <cell r="E197">
            <v>1.0620000000000001E-2</v>
          </cell>
        </row>
        <row r="198">
          <cell r="C198" t="str">
            <v>Brookdale - Santa Cruz</v>
          </cell>
          <cell r="D198">
            <v>8.1666666666666665E-2</v>
          </cell>
          <cell r="E198">
            <v>1.0940000000000002E-2</v>
          </cell>
        </row>
        <row r="199">
          <cell r="C199" t="str">
            <v>Brookhurst Center - Orange</v>
          </cell>
          <cell r="D199">
            <v>5.2749999999999991E-2</v>
          </cell>
          <cell r="E199">
            <v>1.061E-2</v>
          </cell>
        </row>
        <row r="200">
          <cell r="C200" t="str">
            <v>Brooks - Yolo</v>
          </cell>
          <cell r="D200">
            <v>7.9750000000000001E-2</v>
          </cell>
          <cell r="E200">
            <v>1.0620000000000001E-2</v>
          </cell>
        </row>
        <row r="201">
          <cell r="C201" t="str">
            <v>Browns Valley - Yuba</v>
          </cell>
          <cell r="D201">
            <v>0.12291666666666666</v>
          </cell>
          <cell r="E201">
            <v>1.1180000000000001E-2</v>
          </cell>
        </row>
        <row r="202">
          <cell r="C202" t="str">
            <v>Brownsville - Yuba</v>
          </cell>
          <cell r="D202">
            <v>0.12291666666666666</v>
          </cell>
          <cell r="E202">
            <v>1.1180000000000001E-2</v>
          </cell>
        </row>
        <row r="203">
          <cell r="C203" t="str">
            <v>Bryn Mawr - San Bernardino</v>
          </cell>
          <cell r="D203">
            <v>8.3833333333333329E-2</v>
          </cell>
          <cell r="E203">
            <v>1.149E-2</v>
          </cell>
        </row>
        <row r="204">
          <cell r="C204" t="str">
            <v>Bryte - Yolo</v>
          </cell>
          <cell r="D204">
            <v>7.9750000000000001E-2</v>
          </cell>
          <cell r="E204">
            <v>1.0620000000000001E-2</v>
          </cell>
        </row>
        <row r="205">
          <cell r="C205" t="str">
            <v>Buellton - Santa Barbara</v>
          </cell>
          <cell r="D205">
            <v>5.8999999999999997E-2</v>
          </cell>
          <cell r="E205">
            <v>1.055E-2</v>
          </cell>
        </row>
        <row r="206">
          <cell r="C206" t="str">
            <v>Buena Park - Orange</v>
          </cell>
          <cell r="D206">
            <v>5.2749999999999991E-2</v>
          </cell>
          <cell r="E206">
            <v>1.061E-2</v>
          </cell>
        </row>
        <row r="207">
          <cell r="C207" t="str">
            <v>Burbank - Los Angeles</v>
          </cell>
          <cell r="D207">
            <v>8.2166666666666666E-2</v>
          </cell>
          <cell r="E207">
            <v>1.1979999999999999E-2</v>
          </cell>
        </row>
        <row r="208">
          <cell r="C208" t="str">
            <v>Burlingame - San Mateo</v>
          </cell>
          <cell r="D208">
            <v>4.3500000000000004E-2</v>
          </cell>
          <cell r="E208">
            <v>1.099E-2</v>
          </cell>
        </row>
        <row r="209">
          <cell r="C209" t="str">
            <v>Burney - Shasta</v>
          </cell>
          <cell r="D209">
            <v>9.0499999999999983E-2</v>
          </cell>
          <cell r="E209">
            <v>1.085E-2</v>
          </cell>
        </row>
        <row r="210">
          <cell r="C210" t="str">
            <v>Burnt Ranch - Trinity</v>
          </cell>
          <cell r="D210">
            <v>0.10183333333333332</v>
          </cell>
          <cell r="E210">
            <v>1.022E-2</v>
          </cell>
        </row>
        <row r="211">
          <cell r="C211" t="str">
            <v>Burrel - Fresno</v>
          </cell>
          <cell r="D211">
            <v>0.11366666666666669</v>
          </cell>
          <cell r="E211">
            <v>1.166E-2</v>
          </cell>
        </row>
        <row r="212">
          <cell r="C212" t="str">
            <v>Burson - Calaveras</v>
          </cell>
          <cell r="D212">
            <v>8.5416666666666655E-2</v>
          </cell>
          <cell r="E212">
            <v>1.1120000000000001E-2</v>
          </cell>
        </row>
        <row r="213">
          <cell r="C213" t="str">
            <v>Butte City - Glenn</v>
          </cell>
          <cell r="D213">
            <v>0.10549999999999998</v>
          </cell>
          <cell r="E213">
            <v>1.0500000000000001E-2</v>
          </cell>
        </row>
        <row r="214">
          <cell r="C214" t="str">
            <v>Butte Meadows - Butte</v>
          </cell>
          <cell r="D214">
            <v>8.4749999999999992E-2</v>
          </cell>
          <cell r="E214">
            <v>1.052E-2</v>
          </cell>
        </row>
        <row r="215">
          <cell r="C215" t="str">
            <v>Buttonwillow - Kern</v>
          </cell>
          <cell r="D215">
            <v>0.10558333333333332</v>
          </cell>
          <cell r="E215">
            <v>1.15E-2</v>
          </cell>
        </row>
        <row r="216">
          <cell r="C216" t="str">
            <v>Byron - Contra Costa</v>
          </cell>
          <cell r="D216">
            <v>6.1416666666666668E-2</v>
          </cell>
          <cell r="E216">
            <v>1.1379999999999999E-2</v>
          </cell>
        </row>
        <row r="217">
          <cell r="C217" t="str">
            <v>Cabazon - Riverside</v>
          </cell>
          <cell r="D217">
            <v>8.7000000000000008E-2</v>
          </cell>
          <cell r="E217">
            <v>1.0970000000000001E-2</v>
          </cell>
        </row>
        <row r="218">
          <cell r="C218" t="str">
            <v>Cabrillo - Los Angeles</v>
          </cell>
          <cell r="D218">
            <v>8.2166666666666666E-2</v>
          </cell>
          <cell r="E218">
            <v>1.1979999999999999E-2</v>
          </cell>
        </row>
        <row r="219">
          <cell r="C219" t="str">
            <v>Cadiz - San Bernardino</v>
          </cell>
          <cell r="D219">
            <v>8.3833333333333329E-2</v>
          </cell>
          <cell r="E219">
            <v>1.149E-2</v>
          </cell>
        </row>
        <row r="220">
          <cell r="C220" t="str">
            <v>Calabasas - Los Angeles</v>
          </cell>
          <cell r="D220">
            <v>8.2166666666666666E-2</v>
          </cell>
          <cell r="E220">
            <v>1.1979999999999999E-2</v>
          </cell>
        </row>
        <row r="221">
          <cell r="C221" t="str">
            <v>Calabasas Highlands - Los Angeles</v>
          </cell>
          <cell r="D221">
            <v>8.2166666666666666E-2</v>
          </cell>
          <cell r="E221">
            <v>1.1979999999999999E-2</v>
          </cell>
        </row>
        <row r="222">
          <cell r="C222" t="str">
            <v>Calabasas Park - Los Angeles</v>
          </cell>
          <cell r="D222">
            <v>8.2166666666666666E-2</v>
          </cell>
          <cell r="E222">
            <v>1.1979999999999999E-2</v>
          </cell>
        </row>
        <row r="223">
          <cell r="C223" t="str">
            <v>Calexico - Imperial</v>
          </cell>
          <cell r="D223">
            <v>0.23408333333333331</v>
          </cell>
          <cell r="E223">
            <v>1.1299999999999999E-2</v>
          </cell>
        </row>
        <row r="224">
          <cell r="C224" t="str">
            <v>Caliente - Kern</v>
          </cell>
          <cell r="D224">
            <v>0.10558333333333332</v>
          </cell>
          <cell r="E224">
            <v>1.15E-2</v>
          </cell>
        </row>
        <row r="225">
          <cell r="C225" t="str">
            <v>California City - Kern</v>
          </cell>
          <cell r="D225">
            <v>0.10558333333333332</v>
          </cell>
          <cell r="E225">
            <v>1.15E-2</v>
          </cell>
        </row>
        <row r="226">
          <cell r="C226" t="str">
            <v>California Hot Springs - Tulare</v>
          </cell>
          <cell r="D226">
            <v>0.12874999999999998</v>
          </cell>
          <cell r="E226">
            <v>1.0840000000000001E-2</v>
          </cell>
        </row>
        <row r="227">
          <cell r="C227" t="str">
            <v>California Valley - San Luis Obispo</v>
          </cell>
          <cell r="D227">
            <v>5.5916666666666656E-2</v>
          </cell>
          <cell r="E227">
            <v>1.0189999999999999E-2</v>
          </cell>
        </row>
        <row r="228">
          <cell r="C228" t="str">
            <v>Calimesa - Riverside</v>
          </cell>
          <cell r="D228">
            <v>8.7000000000000008E-2</v>
          </cell>
          <cell r="E228">
            <v>1.0970000000000001E-2</v>
          </cell>
        </row>
        <row r="229">
          <cell r="C229" t="str">
            <v>Calipatria - Imperial</v>
          </cell>
          <cell r="D229">
            <v>0.23408333333333331</v>
          </cell>
          <cell r="E229">
            <v>1.1299999999999999E-2</v>
          </cell>
        </row>
        <row r="230">
          <cell r="C230" t="str">
            <v>Calistoga - Napa</v>
          </cell>
          <cell r="D230">
            <v>5.1833333333333328E-2</v>
          </cell>
          <cell r="E230">
            <v>1.0900000000000002E-2</v>
          </cell>
        </row>
        <row r="231">
          <cell r="C231" t="str">
            <v>Callahan - Siskiyou</v>
          </cell>
          <cell r="D231">
            <v>0.11158333333333331</v>
          </cell>
          <cell r="E231">
            <v>1.0489999999999999E-2</v>
          </cell>
        </row>
        <row r="232">
          <cell r="C232" t="str">
            <v>Calpella - Mendocino</v>
          </cell>
          <cell r="D232">
            <v>6.5750000000000003E-2</v>
          </cell>
          <cell r="E232">
            <v>1.123E-2</v>
          </cell>
        </row>
        <row r="233">
          <cell r="C233" t="str">
            <v>Calpine - Sierra</v>
          </cell>
          <cell r="D233">
            <v>0.10116666666666665</v>
          </cell>
          <cell r="E233">
            <v>9.5199999999999989E-3</v>
          </cell>
        </row>
        <row r="234">
          <cell r="C234" t="str">
            <v>Calwa - Fresno</v>
          </cell>
          <cell r="D234">
            <v>0.11366666666666669</v>
          </cell>
          <cell r="E234">
            <v>1.166E-2</v>
          </cell>
        </row>
        <row r="235">
          <cell r="C235" t="str">
            <v>Camarillo - Ventura</v>
          </cell>
          <cell r="D235">
            <v>6.6000000000000003E-2</v>
          </cell>
          <cell r="E235">
            <v>1.0920000000000001E-2</v>
          </cell>
        </row>
        <row r="236">
          <cell r="C236" t="str">
            <v>Cambria - San Luis Obispo</v>
          </cell>
          <cell r="D236">
            <v>5.5916666666666656E-2</v>
          </cell>
          <cell r="E236">
            <v>1.0189999999999999E-2</v>
          </cell>
        </row>
        <row r="237">
          <cell r="C237" t="str">
            <v>Cambrian Park - Santa Clara</v>
          </cell>
          <cell r="D237">
            <v>5.4583333333333331E-2</v>
          </cell>
          <cell r="E237">
            <v>1.2030000000000001E-2</v>
          </cell>
        </row>
        <row r="238">
          <cell r="C238" t="str">
            <v>Cameron Park - El Dorado</v>
          </cell>
          <cell r="D238">
            <v>7.0916666666666683E-2</v>
          </cell>
          <cell r="E238">
            <v>1.0709999999999999E-2</v>
          </cell>
        </row>
        <row r="239">
          <cell r="C239" t="str">
            <v>Camino - El Dorado</v>
          </cell>
          <cell r="D239">
            <v>7.0916666666666683E-2</v>
          </cell>
          <cell r="E239">
            <v>1.0709999999999999E-2</v>
          </cell>
        </row>
        <row r="240">
          <cell r="C240" t="str">
            <v>Camp Beale - Yuba</v>
          </cell>
          <cell r="D240">
            <v>0.12291666666666666</v>
          </cell>
          <cell r="E240">
            <v>1.1180000000000001E-2</v>
          </cell>
        </row>
        <row r="241">
          <cell r="C241" t="str">
            <v>Camp Connell - Calaveras</v>
          </cell>
          <cell r="D241">
            <v>8.5416666666666655E-2</v>
          </cell>
          <cell r="E241">
            <v>1.1120000000000001E-2</v>
          </cell>
        </row>
        <row r="242">
          <cell r="C242" t="str">
            <v>Camp Curry - Mariposa</v>
          </cell>
          <cell r="D242">
            <v>7.5833333333333322E-2</v>
          </cell>
          <cell r="E242">
            <v>1.0059999999999999E-2</v>
          </cell>
        </row>
        <row r="243">
          <cell r="C243" t="str">
            <v>Camp Kaweah - Tulare</v>
          </cell>
          <cell r="D243">
            <v>0.12874999999999998</v>
          </cell>
          <cell r="E243">
            <v>1.0840000000000001E-2</v>
          </cell>
        </row>
        <row r="244">
          <cell r="C244" t="str">
            <v>Camp Meeker - Sonoma</v>
          </cell>
          <cell r="D244">
            <v>5.4333333333333324E-2</v>
          </cell>
          <cell r="E244">
            <v>1.1180000000000001E-2</v>
          </cell>
        </row>
        <row r="245">
          <cell r="C245" t="str">
            <v>Camp Nelson - Tulare</v>
          </cell>
          <cell r="D245">
            <v>0.12874999999999998</v>
          </cell>
          <cell r="E245">
            <v>1.0840000000000001E-2</v>
          </cell>
        </row>
        <row r="246">
          <cell r="C246" t="str">
            <v>Camp Pendleton - San Diego</v>
          </cell>
          <cell r="D246">
            <v>6.2E-2</v>
          </cell>
          <cell r="E246">
            <v>1.1080000000000001E-2</v>
          </cell>
        </row>
        <row r="247">
          <cell r="C247" t="str">
            <v>Camp Roberts - Monterey</v>
          </cell>
          <cell r="D247">
            <v>9.1249999999999998E-2</v>
          </cell>
          <cell r="E247">
            <v>1.085E-2</v>
          </cell>
        </row>
        <row r="248">
          <cell r="C248" t="str">
            <v>Campbell - Santa Clara</v>
          </cell>
          <cell r="D248">
            <v>5.4583333333333331E-2</v>
          </cell>
          <cell r="E248">
            <v>1.2030000000000001E-2</v>
          </cell>
        </row>
        <row r="249">
          <cell r="C249" t="str">
            <v>Campo - San Diego</v>
          </cell>
          <cell r="D249">
            <v>6.2E-2</v>
          </cell>
          <cell r="E249">
            <v>1.1080000000000001E-2</v>
          </cell>
        </row>
        <row r="250">
          <cell r="C250" t="str">
            <v>Campo Seco - Calaveras</v>
          </cell>
          <cell r="D250">
            <v>8.5416666666666655E-2</v>
          </cell>
          <cell r="E250">
            <v>1.1120000000000001E-2</v>
          </cell>
        </row>
        <row r="251">
          <cell r="C251" t="str">
            <v>Camptonville - Yuba</v>
          </cell>
          <cell r="D251">
            <v>0.12291666666666666</v>
          </cell>
          <cell r="E251">
            <v>1.1180000000000001E-2</v>
          </cell>
        </row>
        <row r="252">
          <cell r="C252" t="str">
            <v>Canby - Modoc</v>
          </cell>
          <cell r="D252">
            <v>9.9749999999999991E-2</v>
          </cell>
          <cell r="E252">
            <v>1.027E-2</v>
          </cell>
        </row>
        <row r="253">
          <cell r="C253" t="str">
            <v>Canoga Annex - Los Angeles</v>
          </cell>
          <cell r="D253">
            <v>8.2166666666666666E-2</v>
          </cell>
          <cell r="E253">
            <v>1.1979999999999999E-2</v>
          </cell>
        </row>
        <row r="254">
          <cell r="C254" t="str">
            <v>Canoga Park - Los Angeles</v>
          </cell>
          <cell r="D254">
            <v>8.2166666666666666E-2</v>
          </cell>
          <cell r="E254">
            <v>1.1979999999999999E-2</v>
          </cell>
        </row>
        <row r="255">
          <cell r="C255" t="str">
            <v>Cantil - Kern</v>
          </cell>
          <cell r="D255">
            <v>0.10558333333333332</v>
          </cell>
          <cell r="E255">
            <v>1.15E-2</v>
          </cell>
        </row>
        <row r="256">
          <cell r="C256" t="str">
            <v>Cantua Creek - Fresno</v>
          </cell>
          <cell r="D256">
            <v>0.11366666666666669</v>
          </cell>
          <cell r="E256">
            <v>1.166E-2</v>
          </cell>
        </row>
        <row r="257">
          <cell r="C257" t="str">
            <v>Canyon - Contra Costa</v>
          </cell>
          <cell r="D257">
            <v>6.1416666666666668E-2</v>
          </cell>
          <cell r="E257">
            <v>1.1379999999999999E-2</v>
          </cell>
        </row>
        <row r="258">
          <cell r="C258" t="str">
            <v>Canyon Country - Los Angeles</v>
          </cell>
          <cell r="D258">
            <v>8.2166666666666666E-2</v>
          </cell>
          <cell r="E258">
            <v>1.1979999999999999E-2</v>
          </cell>
        </row>
        <row r="259">
          <cell r="C259" t="str">
            <v>Canyon Lake - Riverside</v>
          </cell>
          <cell r="D259">
            <v>8.7000000000000008E-2</v>
          </cell>
          <cell r="E259">
            <v>1.0970000000000001E-2</v>
          </cell>
        </row>
        <row r="260">
          <cell r="C260" t="str">
            <v>Canyondam - Plumas</v>
          </cell>
          <cell r="D260">
            <v>0.10208333333333332</v>
          </cell>
          <cell r="E260">
            <v>1.0369999999999999E-2</v>
          </cell>
        </row>
        <row r="261">
          <cell r="C261" t="str">
            <v>Capay - Yolo</v>
          </cell>
          <cell r="D261">
            <v>7.9750000000000001E-2</v>
          </cell>
          <cell r="E261">
            <v>1.0620000000000001E-2</v>
          </cell>
        </row>
        <row r="262">
          <cell r="C262" t="str">
            <v>Capistrano Beach - Orange</v>
          </cell>
          <cell r="D262">
            <v>5.2749999999999991E-2</v>
          </cell>
          <cell r="E262">
            <v>1.061E-2</v>
          </cell>
        </row>
        <row r="263">
          <cell r="C263" t="str">
            <v>Capitola - Santa Cruz</v>
          </cell>
          <cell r="D263">
            <v>8.1666666666666665E-2</v>
          </cell>
          <cell r="E263">
            <v>1.0940000000000002E-2</v>
          </cell>
        </row>
        <row r="264">
          <cell r="C264" t="str">
            <v>Cardiff By The Sea  - San Diego</v>
          </cell>
          <cell r="D264">
            <v>6.2E-2</v>
          </cell>
          <cell r="E264">
            <v>1.1080000000000001E-2</v>
          </cell>
        </row>
        <row r="265">
          <cell r="C265" t="str">
            <v>Cardwell - Fresno</v>
          </cell>
          <cell r="D265">
            <v>0.11366666666666669</v>
          </cell>
          <cell r="E265">
            <v>1.166E-2</v>
          </cell>
        </row>
        <row r="266">
          <cell r="C266" t="str">
            <v>Carlotta - Humboldt</v>
          </cell>
          <cell r="D266">
            <v>7.3666666666666672E-2</v>
          </cell>
          <cell r="E266">
            <v>1.043E-2</v>
          </cell>
        </row>
        <row r="267">
          <cell r="C267" t="str">
            <v>Carlsbad - San Diego</v>
          </cell>
          <cell r="D267">
            <v>6.2E-2</v>
          </cell>
          <cell r="E267">
            <v>1.1080000000000001E-2</v>
          </cell>
        </row>
        <row r="268">
          <cell r="C268" t="str">
            <v>Carmel - Monterey</v>
          </cell>
          <cell r="D268">
            <v>9.1249999999999998E-2</v>
          </cell>
          <cell r="E268">
            <v>1.085E-2</v>
          </cell>
        </row>
        <row r="269">
          <cell r="C269" t="str">
            <v>Carmel Rancho - Monterey</v>
          </cell>
          <cell r="D269">
            <v>9.1249999999999998E-2</v>
          </cell>
          <cell r="E269">
            <v>1.085E-2</v>
          </cell>
        </row>
        <row r="270">
          <cell r="C270" t="str">
            <v>Carmel Valley - Monterey</v>
          </cell>
          <cell r="D270">
            <v>9.1249999999999998E-2</v>
          </cell>
          <cell r="E270">
            <v>1.085E-2</v>
          </cell>
        </row>
        <row r="271">
          <cell r="C271" t="str">
            <v>Carmichael - Sacramento</v>
          </cell>
          <cell r="D271">
            <v>7.2666666666666671E-2</v>
          </cell>
          <cell r="E271">
            <v>1.1169999999999999E-2</v>
          </cell>
        </row>
        <row r="272">
          <cell r="C272" t="str">
            <v>Carnelian Bay - Placer</v>
          </cell>
          <cell r="D272">
            <v>6.2166666666666662E-2</v>
          </cell>
          <cell r="E272">
            <v>1.0869999999999999E-2</v>
          </cell>
        </row>
        <row r="273">
          <cell r="C273" t="str">
            <v>Carpinteria - Santa Barbara</v>
          </cell>
          <cell r="D273">
            <v>5.8999999999999997E-2</v>
          </cell>
          <cell r="E273">
            <v>1.055E-2</v>
          </cell>
        </row>
        <row r="274">
          <cell r="C274" t="str">
            <v>Carson - Los Angeles</v>
          </cell>
          <cell r="D274">
            <v>8.2166666666666666E-2</v>
          </cell>
          <cell r="E274">
            <v>1.1979999999999999E-2</v>
          </cell>
        </row>
        <row r="275">
          <cell r="C275" t="str">
            <v>Cartago - Inyo</v>
          </cell>
          <cell r="D275">
            <v>7.1833333333333332E-2</v>
          </cell>
          <cell r="E275">
            <v>1.056E-2</v>
          </cell>
        </row>
        <row r="276">
          <cell r="C276" t="str">
            <v>Caruthers - Fresno</v>
          </cell>
          <cell r="D276">
            <v>0.11366666666666669</v>
          </cell>
          <cell r="E276">
            <v>1.166E-2</v>
          </cell>
        </row>
        <row r="277">
          <cell r="C277" t="str">
            <v>Casitas Springs - Ventura</v>
          </cell>
          <cell r="D277">
            <v>6.6000000000000003E-2</v>
          </cell>
          <cell r="E277">
            <v>1.0920000000000001E-2</v>
          </cell>
        </row>
        <row r="278">
          <cell r="C278" t="str">
            <v>Casmalia - Santa Barbara</v>
          </cell>
          <cell r="D278">
            <v>5.8999999999999997E-2</v>
          </cell>
          <cell r="E278">
            <v>1.055E-2</v>
          </cell>
        </row>
        <row r="279">
          <cell r="C279" t="str">
            <v>Caspar - Mendocino</v>
          </cell>
          <cell r="D279">
            <v>6.5750000000000003E-2</v>
          </cell>
          <cell r="E279">
            <v>1.123E-2</v>
          </cell>
        </row>
        <row r="280">
          <cell r="C280" t="str">
            <v>Cassel - Shasta</v>
          </cell>
          <cell r="D280">
            <v>9.0499999999999983E-2</v>
          </cell>
          <cell r="E280">
            <v>1.085E-2</v>
          </cell>
        </row>
        <row r="281">
          <cell r="C281" t="str">
            <v>Castaic - Los Angeles</v>
          </cell>
          <cell r="D281">
            <v>8.2166666666666666E-2</v>
          </cell>
          <cell r="E281">
            <v>1.1979999999999999E-2</v>
          </cell>
        </row>
        <row r="282">
          <cell r="C282" t="str">
            <v>Castella - Shasta</v>
          </cell>
          <cell r="D282">
            <v>9.0499999999999983E-2</v>
          </cell>
          <cell r="E282">
            <v>1.085E-2</v>
          </cell>
        </row>
        <row r="283">
          <cell r="C283" t="str">
            <v>Castle A.F.B. - Merced</v>
          </cell>
          <cell r="D283">
            <v>0.13066666666666668</v>
          </cell>
          <cell r="E283">
            <v>1.099E-2</v>
          </cell>
        </row>
        <row r="284">
          <cell r="C284" t="str">
            <v>Castro Valley - Alameda</v>
          </cell>
          <cell r="D284">
            <v>0.06</v>
          </cell>
          <cell r="E284">
            <v>1.214E-2</v>
          </cell>
        </row>
        <row r="285">
          <cell r="C285" t="str">
            <v>Castroville - Monterey</v>
          </cell>
          <cell r="D285">
            <v>9.1249999999999998E-2</v>
          </cell>
          <cell r="E285">
            <v>1.085E-2</v>
          </cell>
        </row>
        <row r="286">
          <cell r="C286" t="str">
            <v>Cathedral City - Riverside</v>
          </cell>
          <cell r="D286">
            <v>8.7000000000000008E-2</v>
          </cell>
          <cell r="E286">
            <v>1.0970000000000001E-2</v>
          </cell>
        </row>
        <row r="287">
          <cell r="C287" t="str">
            <v>Catheys Valley - Mariposa</v>
          </cell>
          <cell r="D287">
            <v>7.5833333333333322E-2</v>
          </cell>
          <cell r="E287">
            <v>1.0059999999999999E-2</v>
          </cell>
        </row>
        <row r="288">
          <cell r="C288" t="str">
            <v>Cayucos - San Luis Obispo</v>
          </cell>
          <cell r="D288">
            <v>5.5916666666666656E-2</v>
          </cell>
          <cell r="E288">
            <v>1.0189999999999999E-2</v>
          </cell>
        </row>
        <row r="289">
          <cell r="C289" t="str">
            <v>Cazadero - Sonoma</v>
          </cell>
          <cell r="D289">
            <v>5.4333333333333324E-2</v>
          </cell>
          <cell r="E289">
            <v>1.1180000000000001E-2</v>
          </cell>
        </row>
        <row r="290">
          <cell r="C290" t="str">
            <v>Cecilville - Siskiyou</v>
          </cell>
          <cell r="D290">
            <v>0.11158333333333331</v>
          </cell>
          <cell r="E290">
            <v>1.0489999999999999E-2</v>
          </cell>
        </row>
        <row r="291">
          <cell r="C291" t="str">
            <v>Cedar - Los Angeles</v>
          </cell>
          <cell r="D291">
            <v>8.2166666666666666E-2</v>
          </cell>
          <cell r="E291">
            <v>1.1979999999999999E-2</v>
          </cell>
        </row>
        <row r="292">
          <cell r="C292" t="str">
            <v>Cedar Crest - Fresno</v>
          </cell>
          <cell r="D292">
            <v>0.11366666666666669</v>
          </cell>
          <cell r="E292">
            <v>1.166E-2</v>
          </cell>
        </row>
        <row r="293">
          <cell r="C293" t="str">
            <v>Cedar Glen - San Bernardino</v>
          </cell>
          <cell r="D293">
            <v>8.3833333333333329E-2</v>
          </cell>
          <cell r="E293">
            <v>1.149E-2</v>
          </cell>
        </row>
        <row r="294">
          <cell r="C294" t="str">
            <v>Cedar Ridge - Nevada</v>
          </cell>
          <cell r="D294">
            <v>6.4083333333333339E-2</v>
          </cell>
          <cell r="E294">
            <v>1.0529999999999999E-2</v>
          </cell>
        </row>
        <row r="295">
          <cell r="C295" t="str">
            <v>Cedarpines Park - San Bernardino</v>
          </cell>
          <cell r="D295">
            <v>8.3833333333333329E-2</v>
          </cell>
          <cell r="E295">
            <v>1.149E-2</v>
          </cell>
        </row>
        <row r="296">
          <cell r="C296" t="str">
            <v>Cedarville - Modoc</v>
          </cell>
          <cell r="D296">
            <v>9.9749999999999991E-2</v>
          </cell>
          <cell r="E296">
            <v>1.027E-2</v>
          </cell>
        </row>
        <row r="297">
          <cell r="C297" t="str">
            <v>Central Valley - Shasta</v>
          </cell>
          <cell r="D297">
            <v>9.0499999999999983E-2</v>
          </cell>
          <cell r="E297">
            <v>1.085E-2</v>
          </cell>
        </row>
        <row r="298">
          <cell r="C298" t="str">
            <v>Century City - Los Angeles</v>
          </cell>
          <cell r="D298">
            <v>8.2166666666666666E-2</v>
          </cell>
          <cell r="E298">
            <v>1.1979999999999999E-2</v>
          </cell>
        </row>
        <row r="299">
          <cell r="C299" t="str">
            <v>Ceres - Stanislaus</v>
          </cell>
          <cell r="D299">
            <v>0.114</v>
          </cell>
          <cell r="E299">
            <v>1.1180000000000001E-2</v>
          </cell>
        </row>
        <row r="300">
          <cell r="C300" t="str">
            <v>Cerritos - Los Angeles</v>
          </cell>
          <cell r="D300">
            <v>8.2166666666666666E-2</v>
          </cell>
          <cell r="E300">
            <v>1.1979999999999999E-2</v>
          </cell>
        </row>
        <row r="301">
          <cell r="C301" t="str">
            <v>Challenge - Yuba</v>
          </cell>
          <cell r="D301">
            <v>0.12291666666666666</v>
          </cell>
          <cell r="E301">
            <v>1.1180000000000001E-2</v>
          </cell>
        </row>
        <row r="302">
          <cell r="C302" t="str">
            <v>Chambers Lodge - Placer</v>
          </cell>
          <cell r="D302">
            <v>6.2166666666666662E-2</v>
          </cell>
          <cell r="E302">
            <v>1.0869999999999999E-2</v>
          </cell>
        </row>
        <row r="303">
          <cell r="C303" t="str">
            <v>Charter Oak - Los Angeles</v>
          </cell>
          <cell r="D303">
            <v>8.2166666666666666E-2</v>
          </cell>
          <cell r="E303">
            <v>1.1979999999999999E-2</v>
          </cell>
        </row>
        <row r="304">
          <cell r="C304" t="str">
            <v>Chatsworth - Los Angeles</v>
          </cell>
          <cell r="D304">
            <v>8.2166666666666666E-2</v>
          </cell>
          <cell r="E304">
            <v>1.1979999999999999E-2</v>
          </cell>
        </row>
        <row r="305">
          <cell r="C305" t="str">
            <v>Cherry Valley - Riverside</v>
          </cell>
          <cell r="D305">
            <v>8.7000000000000008E-2</v>
          </cell>
          <cell r="E305">
            <v>1.0970000000000001E-2</v>
          </cell>
        </row>
        <row r="306">
          <cell r="C306" t="str">
            <v>Chester - Plumas</v>
          </cell>
          <cell r="D306">
            <v>0.10208333333333332</v>
          </cell>
          <cell r="E306">
            <v>1.0369999999999999E-2</v>
          </cell>
        </row>
        <row r="307">
          <cell r="C307" t="str">
            <v>Chicago Park - Nevada</v>
          </cell>
          <cell r="D307">
            <v>6.4083333333333339E-2</v>
          </cell>
          <cell r="E307">
            <v>1.0529999999999999E-2</v>
          </cell>
        </row>
        <row r="308">
          <cell r="C308" t="str">
            <v>Chico - Butte</v>
          </cell>
          <cell r="D308">
            <v>8.4749999999999992E-2</v>
          </cell>
          <cell r="E308">
            <v>1.052E-2</v>
          </cell>
        </row>
        <row r="309">
          <cell r="C309" t="str">
            <v>Chilcoot - Plumas</v>
          </cell>
          <cell r="D309">
            <v>0.10208333333333332</v>
          </cell>
          <cell r="E309">
            <v>1.0369999999999999E-2</v>
          </cell>
        </row>
        <row r="310">
          <cell r="C310" t="str">
            <v>China Lake NWC - Kern</v>
          </cell>
          <cell r="D310">
            <v>0.10558333333333332</v>
          </cell>
          <cell r="E310">
            <v>1.15E-2</v>
          </cell>
        </row>
        <row r="311">
          <cell r="C311" t="str">
            <v>Chinese Camp - Tuolumne</v>
          </cell>
          <cell r="D311">
            <v>8.0750000000000016E-2</v>
          </cell>
          <cell r="E311">
            <v>1.061E-2</v>
          </cell>
        </row>
        <row r="312">
          <cell r="C312" t="str">
            <v>Chino - San Bernardino</v>
          </cell>
          <cell r="D312">
            <v>8.3833333333333329E-2</v>
          </cell>
          <cell r="E312">
            <v>1.149E-2</v>
          </cell>
        </row>
        <row r="313">
          <cell r="C313" t="str">
            <v>Chino Hills - San Bernardino</v>
          </cell>
          <cell r="D313">
            <v>8.3833333333333329E-2</v>
          </cell>
          <cell r="E313">
            <v>1.149E-2</v>
          </cell>
        </row>
        <row r="314">
          <cell r="C314" t="str">
            <v>Chiriaco Summit - Riverside</v>
          </cell>
          <cell r="D314">
            <v>8.7000000000000008E-2</v>
          </cell>
          <cell r="E314">
            <v>1.0970000000000001E-2</v>
          </cell>
        </row>
        <row r="315">
          <cell r="C315" t="str">
            <v>Cholame - San Luis Obispo</v>
          </cell>
          <cell r="D315">
            <v>5.5916666666666656E-2</v>
          </cell>
          <cell r="E315">
            <v>1.0189999999999999E-2</v>
          </cell>
        </row>
        <row r="316">
          <cell r="C316" t="str">
            <v>Chowchilla - Madera</v>
          </cell>
          <cell r="D316">
            <v>0.10325000000000001</v>
          </cell>
          <cell r="E316">
            <v>1.0149999999999999E-2</v>
          </cell>
        </row>
        <row r="317">
          <cell r="C317" t="str">
            <v>Chualar - Monterey</v>
          </cell>
          <cell r="D317">
            <v>9.1249999999999998E-2</v>
          </cell>
          <cell r="E317">
            <v>1.085E-2</v>
          </cell>
        </row>
        <row r="318">
          <cell r="C318" t="str">
            <v>Chula Vista - San Diego</v>
          </cell>
          <cell r="D318">
            <v>6.2E-2</v>
          </cell>
          <cell r="E318">
            <v>1.1080000000000001E-2</v>
          </cell>
        </row>
        <row r="319">
          <cell r="C319" t="str">
            <v>Cima - San Bernardino</v>
          </cell>
          <cell r="D319">
            <v>8.3833333333333329E-2</v>
          </cell>
          <cell r="E319">
            <v>1.149E-2</v>
          </cell>
        </row>
        <row r="320">
          <cell r="C320" t="str">
            <v>Citrus Heights - Sacramento</v>
          </cell>
          <cell r="D320">
            <v>7.2666666666666671E-2</v>
          </cell>
          <cell r="E320">
            <v>1.1169999999999999E-2</v>
          </cell>
        </row>
        <row r="321">
          <cell r="C321" t="str">
            <v>City of Commerce - Los Angeles</v>
          </cell>
          <cell r="D321">
            <v>8.2166666666666666E-2</v>
          </cell>
          <cell r="E321">
            <v>1.1979999999999999E-2</v>
          </cell>
        </row>
        <row r="322">
          <cell r="C322" t="str">
            <v>City of Industry - Los Angeles</v>
          </cell>
          <cell r="D322">
            <v>8.2166666666666666E-2</v>
          </cell>
          <cell r="E322">
            <v>1.1979999999999999E-2</v>
          </cell>
        </row>
        <row r="323">
          <cell r="C323" t="str">
            <v>City Terrace - Los Angeles</v>
          </cell>
          <cell r="D323">
            <v>8.2166666666666666E-2</v>
          </cell>
          <cell r="E323">
            <v>1.1979999999999999E-2</v>
          </cell>
        </row>
        <row r="324">
          <cell r="C324" t="str">
            <v>Claremont - Los Angeles</v>
          </cell>
          <cell r="D324">
            <v>8.2166666666666666E-2</v>
          </cell>
          <cell r="E324">
            <v>1.1979999999999999E-2</v>
          </cell>
        </row>
        <row r="325">
          <cell r="C325" t="str">
            <v>Clarksburg - Yolo</v>
          </cell>
          <cell r="D325">
            <v>7.9750000000000001E-2</v>
          </cell>
          <cell r="E325">
            <v>1.0620000000000001E-2</v>
          </cell>
        </row>
        <row r="326">
          <cell r="C326" t="str">
            <v>Clayton - Contra Costa</v>
          </cell>
          <cell r="D326">
            <v>6.1416666666666668E-2</v>
          </cell>
          <cell r="E326">
            <v>1.1379999999999999E-2</v>
          </cell>
        </row>
        <row r="327">
          <cell r="C327" t="str">
            <v>Clear Creek - Siskiyou</v>
          </cell>
          <cell r="D327">
            <v>0.11158333333333331</v>
          </cell>
          <cell r="E327">
            <v>1.0489999999999999E-2</v>
          </cell>
        </row>
        <row r="328">
          <cell r="C328" t="str">
            <v>Clearlake - Lake</v>
          </cell>
          <cell r="D328">
            <v>9.9083333333333329E-2</v>
          </cell>
          <cell r="E328">
            <v>1.0800000000000001E-2</v>
          </cell>
        </row>
        <row r="329">
          <cell r="C329" t="str">
            <v>Clearlake Highlands - Lake</v>
          </cell>
          <cell r="D329">
            <v>9.9083333333333329E-2</v>
          </cell>
          <cell r="E329">
            <v>1.0800000000000001E-2</v>
          </cell>
        </row>
        <row r="330">
          <cell r="C330" t="str">
            <v>Clearlake Oaks - Lake</v>
          </cell>
          <cell r="D330">
            <v>9.9083333333333329E-2</v>
          </cell>
          <cell r="E330">
            <v>1.0800000000000001E-2</v>
          </cell>
        </row>
        <row r="331">
          <cell r="C331" t="str">
            <v>Clearlake Park - Lake</v>
          </cell>
          <cell r="D331">
            <v>9.9083333333333329E-2</v>
          </cell>
          <cell r="E331">
            <v>1.0800000000000001E-2</v>
          </cell>
        </row>
        <row r="332">
          <cell r="C332" t="str">
            <v>Clements - San Joaquin</v>
          </cell>
          <cell r="D332">
            <v>0.11141666666666668</v>
          </cell>
          <cell r="E332">
            <v>1.107E-2</v>
          </cell>
        </row>
        <row r="333">
          <cell r="C333" t="str">
            <v>Clinter - Fresno</v>
          </cell>
          <cell r="D333">
            <v>0.11366666666666669</v>
          </cell>
          <cell r="E333">
            <v>1.166E-2</v>
          </cell>
        </row>
        <row r="334">
          <cell r="C334" t="str">
            <v>Clio - Plumas</v>
          </cell>
          <cell r="D334">
            <v>0.10208333333333332</v>
          </cell>
          <cell r="E334">
            <v>1.0369999999999999E-2</v>
          </cell>
        </row>
        <row r="335">
          <cell r="C335" t="str">
            <v>Clipper Mills - Butte</v>
          </cell>
          <cell r="D335">
            <v>8.4749999999999992E-2</v>
          </cell>
          <cell r="E335">
            <v>1.052E-2</v>
          </cell>
        </row>
        <row r="336">
          <cell r="C336" t="str">
            <v>Cloverdale - Sonoma</v>
          </cell>
          <cell r="D336">
            <v>5.4333333333333324E-2</v>
          </cell>
          <cell r="E336">
            <v>1.1180000000000001E-2</v>
          </cell>
        </row>
        <row r="337">
          <cell r="C337" t="str">
            <v>Clovis - Fresno</v>
          </cell>
          <cell r="D337">
            <v>0.11366666666666669</v>
          </cell>
          <cell r="E337">
            <v>1.166E-2</v>
          </cell>
        </row>
        <row r="338">
          <cell r="C338" t="str">
            <v>Coachella - Riverside</v>
          </cell>
          <cell r="D338">
            <v>8.7000000000000008E-2</v>
          </cell>
          <cell r="E338">
            <v>1.0970000000000001E-2</v>
          </cell>
        </row>
        <row r="339">
          <cell r="C339" t="str">
            <v>Coalinga - Fresno</v>
          </cell>
          <cell r="D339">
            <v>0.11366666666666669</v>
          </cell>
          <cell r="E339">
            <v>1.166E-2</v>
          </cell>
        </row>
        <row r="340">
          <cell r="C340" t="str">
            <v>Coarsegold - Madera</v>
          </cell>
          <cell r="D340">
            <v>0.10325000000000001</v>
          </cell>
          <cell r="E340">
            <v>1.0149999999999999E-2</v>
          </cell>
        </row>
        <row r="341">
          <cell r="C341" t="str">
            <v>Cobb - Lake</v>
          </cell>
          <cell r="D341">
            <v>9.9083333333333329E-2</v>
          </cell>
          <cell r="E341">
            <v>1.0800000000000001E-2</v>
          </cell>
        </row>
        <row r="342">
          <cell r="C342" t="str">
            <v>Cohasset - Butte</v>
          </cell>
          <cell r="D342">
            <v>8.4749999999999992E-2</v>
          </cell>
          <cell r="E342">
            <v>1.052E-2</v>
          </cell>
        </row>
        <row r="343">
          <cell r="C343" t="str">
            <v>Cole - Los Angeles</v>
          </cell>
          <cell r="D343">
            <v>8.2166666666666666E-2</v>
          </cell>
          <cell r="E343">
            <v>1.1979999999999999E-2</v>
          </cell>
        </row>
        <row r="344">
          <cell r="C344" t="str">
            <v>Coleville - Mono</v>
          </cell>
          <cell r="D344">
            <v>7.3249999999999996E-2</v>
          </cell>
          <cell r="E344">
            <v>1.1240000000000002E-2</v>
          </cell>
        </row>
        <row r="345">
          <cell r="C345" t="str">
            <v>Colfax - Placer</v>
          </cell>
          <cell r="D345">
            <v>6.2166666666666662E-2</v>
          </cell>
          <cell r="E345">
            <v>1.0869999999999999E-2</v>
          </cell>
        </row>
        <row r="346">
          <cell r="C346" t="str">
            <v>College City - Colusa</v>
          </cell>
          <cell r="D346">
            <v>0.17433333333333334</v>
          </cell>
          <cell r="E346">
            <v>1.0540000000000001E-2</v>
          </cell>
        </row>
        <row r="347">
          <cell r="C347" t="str">
            <v>College Grove Center - San Diego</v>
          </cell>
          <cell r="D347">
            <v>6.2E-2</v>
          </cell>
          <cell r="E347">
            <v>1.1080000000000001E-2</v>
          </cell>
        </row>
        <row r="348">
          <cell r="C348" t="str">
            <v>Colma - San Mateo</v>
          </cell>
          <cell r="D348">
            <v>4.3500000000000004E-2</v>
          </cell>
          <cell r="E348">
            <v>1.099E-2</v>
          </cell>
        </row>
        <row r="349">
          <cell r="C349" t="str">
            <v>Coloma - El Dorado</v>
          </cell>
          <cell r="D349">
            <v>7.0916666666666683E-2</v>
          </cell>
          <cell r="E349">
            <v>1.0709999999999999E-2</v>
          </cell>
        </row>
        <row r="350">
          <cell r="C350" t="str">
            <v>Colorado - Mariposa</v>
          </cell>
          <cell r="D350">
            <v>7.5833333333333322E-2</v>
          </cell>
          <cell r="E350">
            <v>1.0059999999999999E-2</v>
          </cell>
        </row>
        <row r="351">
          <cell r="C351" t="str">
            <v>Colton - San Bernardino</v>
          </cell>
          <cell r="D351">
            <v>8.3833333333333329E-2</v>
          </cell>
          <cell r="E351">
            <v>1.149E-2</v>
          </cell>
        </row>
        <row r="352">
          <cell r="C352" t="str">
            <v>Columbia - Tuolumne</v>
          </cell>
          <cell r="D352">
            <v>8.0750000000000016E-2</v>
          </cell>
          <cell r="E352">
            <v>1.061E-2</v>
          </cell>
        </row>
        <row r="353">
          <cell r="C353" t="str">
            <v>Colusa - Colusa</v>
          </cell>
          <cell r="D353">
            <v>0.17433333333333334</v>
          </cell>
          <cell r="E353">
            <v>1.0540000000000001E-2</v>
          </cell>
        </row>
        <row r="354">
          <cell r="C354" t="str">
            <v>Commerce - Los Angeles</v>
          </cell>
          <cell r="D354">
            <v>8.2166666666666666E-2</v>
          </cell>
          <cell r="E354">
            <v>1.1979999999999999E-2</v>
          </cell>
        </row>
        <row r="355">
          <cell r="C355" t="str">
            <v>Comptche - Mendocino</v>
          </cell>
          <cell r="D355">
            <v>6.5750000000000003E-2</v>
          </cell>
          <cell r="E355">
            <v>1.123E-2</v>
          </cell>
        </row>
        <row r="356">
          <cell r="C356" t="str">
            <v>Compton - Los Angeles</v>
          </cell>
          <cell r="D356">
            <v>8.2166666666666666E-2</v>
          </cell>
          <cell r="E356">
            <v>1.1979999999999999E-2</v>
          </cell>
        </row>
        <row r="357">
          <cell r="C357" t="str">
            <v>Concord - Contra Costa</v>
          </cell>
          <cell r="D357">
            <v>6.1416666666666668E-2</v>
          </cell>
          <cell r="E357">
            <v>1.1379999999999999E-2</v>
          </cell>
        </row>
        <row r="358">
          <cell r="C358" t="str">
            <v>Cool - El Dorado</v>
          </cell>
          <cell r="D358">
            <v>7.0916666666666683E-2</v>
          </cell>
          <cell r="E358">
            <v>1.0709999999999999E-2</v>
          </cell>
        </row>
        <row r="359">
          <cell r="C359" t="str">
            <v>Copperopolis - Calaveras</v>
          </cell>
          <cell r="D359">
            <v>8.5416666666666655E-2</v>
          </cell>
          <cell r="E359">
            <v>1.1120000000000001E-2</v>
          </cell>
        </row>
        <row r="360">
          <cell r="C360" t="str">
            <v>Corcoran - Kings</v>
          </cell>
          <cell r="D360">
            <v>0.12166666666666666</v>
          </cell>
          <cell r="E360">
            <v>1.026E-2</v>
          </cell>
        </row>
        <row r="361">
          <cell r="C361" t="str">
            <v>Cornell - Los Angeles</v>
          </cell>
          <cell r="D361">
            <v>8.2166666666666666E-2</v>
          </cell>
          <cell r="E361">
            <v>1.1979999999999999E-2</v>
          </cell>
        </row>
        <row r="362">
          <cell r="C362" t="str">
            <v>Corning - Tehama</v>
          </cell>
          <cell r="D362">
            <v>9.7333333333333327E-2</v>
          </cell>
          <cell r="E362">
            <v>1.023E-2</v>
          </cell>
        </row>
        <row r="363">
          <cell r="C363" t="str">
            <v>Corona - Riverside</v>
          </cell>
          <cell r="D363">
            <v>8.7000000000000008E-2</v>
          </cell>
          <cell r="E363">
            <v>1.0970000000000001E-2</v>
          </cell>
        </row>
        <row r="364">
          <cell r="C364" t="str">
            <v>Corona Del Mar - Orange</v>
          </cell>
          <cell r="D364">
            <v>5.2749999999999991E-2</v>
          </cell>
          <cell r="E364">
            <v>1.061E-2</v>
          </cell>
        </row>
        <row r="365">
          <cell r="C365" t="str">
            <v>Coronado - San Diego</v>
          </cell>
          <cell r="D365">
            <v>6.2E-2</v>
          </cell>
          <cell r="E365">
            <v>1.1080000000000001E-2</v>
          </cell>
        </row>
        <row r="366">
          <cell r="C366" t="str">
            <v>Corralitos - Santa Cruz</v>
          </cell>
          <cell r="D366">
            <v>8.1666666666666665E-2</v>
          </cell>
          <cell r="E366">
            <v>1.0940000000000002E-2</v>
          </cell>
        </row>
        <row r="367">
          <cell r="C367" t="str">
            <v>Corte Madera - Marin</v>
          </cell>
          <cell r="D367">
            <v>4.1499999999999995E-2</v>
          </cell>
          <cell r="E367">
            <v>1.1000000000000001E-2</v>
          </cell>
        </row>
        <row r="368">
          <cell r="C368" t="str">
            <v>Coso Junction - Inyo</v>
          </cell>
          <cell r="D368">
            <v>7.1833333333333332E-2</v>
          </cell>
          <cell r="E368">
            <v>1.056E-2</v>
          </cell>
        </row>
        <row r="369">
          <cell r="C369" t="str">
            <v>Costa Mesa - Orange</v>
          </cell>
          <cell r="D369">
            <v>5.2749999999999991E-2</v>
          </cell>
          <cell r="E369">
            <v>1.061E-2</v>
          </cell>
        </row>
        <row r="370">
          <cell r="C370" t="str">
            <v>Cotati - Sonoma</v>
          </cell>
          <cell r="D370">
            <v>5.4333333333333324E-2</v>
          </cell>
          <cell r="E370">
            <v>1.1180000000000001E-2</v>
          </cell>
        </row>
        <row r="371">
          <cell r="C371" t="str">
            <v>Cottonwood - Shasta</v>
          </cell>
          <cell r="D371">
            <v>9.0499999999999983E-2</v>
          </cell>
          <cell r="E371">
            <v>1.085E-2</v>
          </cell>
        </row>
        <row r="372">
          <cell r="C372" t="str">
            <v>Coulterville - Mariposa</v>
          </cell>
          <cell r="D372">
            <v>7.5833333333333322E-2</v>
          </cell>
          <cell r="E372">
            <v>1.0059999999999999E-2</v>
          </cell>
        </row>
        <row r="373">
          <cell r="C373" t="str">
            <v>Courtland - Sacramento</v>
          </cell>
          <cell r="D373">
            <v>7.2666666666666671E-2</v>
          </cell>
          <cell r="E373">
            <v>1.1169999999999999E-2</v>
          </cell>
        </row>
        <row r="374">
          <cell r="C374" t="str">
            <v>Covelo - Mendocino</v>
          </cell>
          <cell r="D374">
            <v>6.5750000000000003E-2</v>
          </cell>
          <cell r="E374">
            <v>1.123E-2</v>
          </cell>
        </row>
        <row r="375">
          <cell r="C375" t="str">
            <v>Covina - Los Angeles</v>
          </cell>
          <cell r="D375">
            <v>8.2166666666666666E-2</v>
          </cell>
          <cell r="E375">
            <v>1.1979999999999999E-2</v>
          </cell>
        </row>
        <row r="376">
          <cell r="C376" t="str">
            <v>Cowan Heights - Orange</v>
          </cell>
          <cell r="D376">
            <v>5.2749999999999991E-2</v>
          </cell>
          <cell r="E376">
            <v>1.061E-2</v>
          </cell>
        </row>
        <row r="377">
          <cell r="C377" t="str">
            <v>Coyote - Santa Clara</v>
          </cell>
          <cell r="D377">
            <v>5.4583333333333331E-2</v>
          </cell>
          <cell r="E377">
            <v>1.2030000000000001E-2</v>
          </cell>
        </row>
        <row r="378">
          <cell r="C378" t="str">
            <v>Crannell - Humboldt</v>
          </cell>
          <cell r="D378">
            <v>7.3666666666666672E-2</v>
          </cell>
          <cell r="E378">
            <v>1.043E-2</v>
          </cell>
        </row>
        <row r="379">
          <cell r="C379" t="str">
            <v>Crenshaw - Los Angeles</v>
          </cell>
          <cell r="D379">
            <v>8.2166666666666666E-2</v>
          </cell>
          <cell r="E379">
            <v>1.1979999999999999E-2</v>
          </cell>
        </row>
        <row r="380">
          <cell r="C380" t="str">
            <v>Crescent City - Del Norte</v>
          </cell>
          <cell r="D380">
            <v>9.8666666666666653E-2</v>
          </cell>
          <cell r="E380">
            <v>1.0369999999999999E-2</v>
          </cell>
        </row>
        <row r="381">
          <cell r="C381" t="str">
            <v>Crescent Mills - Plumas</v>
          </cell>
          <cell r="D381">
            <v>0.10208333333333332</v>
          </cell>
          <cell r="E381">
            <v>1.0369999999999999E-2</v>
          </cell>
        </row>
        <row r="382">
          <cell r="C382" t="str">
            <v>Cressey - Merced</v>
          </cell>
          <cell r="D382">
            <v>0.13066666666666668</v>
          </cell>
          <cell r="E382">
            <v>1.099E-2</v>
          </cell>
        </row>
        <row r="383">
          <cell r="C383" t="str">
            <v>Crest Park - San Bernardino</v>
          </cell>
          <cell r="D383">
            <v>8.3833333333333329E-2</v>
          </cell>
          <cell r="E383">
            <v>1.149E-2</v>
          </cell>
        </row>
        <row r="384">
          <cell r="C384" t="str">
            <v>Cresta Blanca - Alameda</v>
          </cell>
          <cell r="D384">
            <v>0.06</v>
          </cell>
          <cell r="E384">
            <v>1.214E-2</v>
          </cell>
        </row>
        <row r="385">
          <cell r="C385" t="str">
            <v>Crestline - San Bernardino</v>
          </cell>
          <cell r="D385">
            <v>8.3833333333333329E-2</v>
          </cell>
          <cell r="E385">
            <v>1.149E-2</v>
          </cell>
        </row>
        <row r="386">
          <cell r="C386" t="str">
            <v>Creston - San Luis Obispo</v>
          </cell>
          <cell r="D386">
            <v>5.5916666666666656E-2</v>
          </cell>
          <cell r="E386">
            <v>1.0189999999999999E-2</v>
          </cell>
        </row>
        <row r="387">
          <cell r="C387" t="str">
            <v>Crockett - Contra Costa</v>
          </cell>
          <cell r="D387">
            <v>6.1416666666666668E-2</v>
          </cell>
          <cell r="E387">
            <v>1.1379999999999999E-2</v>
          </cell>
        </row>
        <row r="388">
          <cell r="C388" t="str">
            <v>Cromberg - Plumas</v>
          </cell>
          <cell r="D388">
            <v>0.10208333333333332</v>
          </cell>
          <cell r="E388">
            <v>1.0369999999999999E-2</v>
          </cell>
        </row>
        <row r="389">
          <cell r="C389" t="str">
            <v>Cross Roads - San Bernardino</v>
          </cell>
          <cell r="D389">
            <v>8.3833333333333329E-2</v>
          </cell>
          <cell r="E389">
            <v>1.149E-2</v>
          </cell>
        </row>
        <row r="390">
          <cell r="C390" t="str">
            <v>Crowley Lake - Mono</v>
          </cell>
          <cell r="D390">
            <v>7.3249999999999996E-2</v>
          </cell>
          <cell r="E390">
            <v>1.1240000000000002E-2</v>
          </cell>
        </row>
        <row r="391">
          <cell r="C391" t="str">
            <v>Crows Landing - Stanislaus</v>
          </cell>
          <cell r="D391">
            <v>0.114</v>
          </cell>
          <cell r="E391">
            <v>1.1180000000000001E-2</v>
          </cell>
        </row>
        <row r="392">
          <cell r="C392" t="str">
            <v>Cucamonga - San Bernardino</v>
          </cell>
          <cell r="D392">
            <v>8.3833333333333329E-2</v>
          </cell>
          <cell r="E392">
            <v>1.149E-2</v>
          </cell>
        </row>
        <row r="393">
          <cell r="C393" t="str">
            <v>Cudahy - Los Angeles</v>
          </cell>
          <cell r="D393">
            <v>8.2166666666666666E-2</v>
          </cell>
          <cell r="E393">
            <v>1.1979999999999999E-2</v>
          </cell>
        </row>
        <row r="394">
          <cell r="C394" t="str">
            <v>Culver City - Los Angeles</v>
          </cell>
          <cell r="D394">
            <v>8.2166666666666666E-2</v>
          </cell>
          <cell r="E394">
            <v>1.1979999999999999E-2</v>
          </cell>
        </row>
        <row r="395">
          <cell r="C395" t="str">
            <v>Cummings - Mendocino</v>
          </cell>
          <cell r="D395">
            <v>6.5750000000000003E-2</v>
          </cell>
          <cell r="E395">
            <v>1.123E-2</v>
          </cell>
        </row>
        <row r="396">
          <cell r="C396" t="str">
            <v>Cupertino - Santa Clara</v>
          </cell>
          <cell r="D396">
            <v>5.4583333333333331E-2</v>
          </cell>
          <cell r="E396">
            <v>1.2030000000000001E-2</v>
          </cell>
        </row>
        <row r="397">
          <cell r="C397" t="str">
            <v>Curry Village - Mariposa</v>
          </cell>
          <cell r="D397">
            <v>7.5833333333333322E-2</v>
          </cell>
          <cell r="E397">
            <v>1.0059999999999999E-2</v>
          </cell>
        </row>
        <row r="398">
          <cell r="C398" t="str">
            <v>Cutler - Tulare</v>
          </cell>
          <cell r="D398">
            <v>0.12874999999999998</v>
          </cell>
          <cell r="E398">
            <v>1.0840000000000001E-2</v>
          </cell>
        </row>
        <row r="399">
          <cell r="C399" t="str">
            <v>Cutten - Humboldt</v>
          </cell>
          <cell r="D399">
            <v>7.3666666666666672E-2</v>
          </cell>
          <cell r="E399">
            <v>1.043E-2</v>
          </cell>
        </row>
        <row r="400">
          <cell r="C400" t="str">
            <v>Cuyama - Santa Barbara</v>
          </cell>
          <cell r="D400">
            <v>5.8999999999999997E-2</v>
          </cell>
          <cell r="E400">
            <v>1.055E-2</v>
          </cell>
        </row>
        <row r="401">
          <cell r="C401" t="str">
            <v xml:space="preserve">Cypress - Orange </v>
          </cell>
          <cell r="D401" t="e">
            <v>#N/A</v>
          </cell>
          <cell r="E401" t="e">
            <v>#N/A</v>
          </cell>
        </row>
        <row r="402">
          <cell r="C402" t="str">
            <v>Daggett - San Bernardino</v>
          </cell>
          <cell r="D402">
            <v>8.3833333333333329E-2</v>
          </cell>
          <cell r="E402">
            <v>1.149E-2</v>
          </cell>
        </row>
        <row r="403">
          <cell r="C403" t="str">
            <v>Dairy Farm - Solano</v>
          </cell>
          <cell r="D403">
            <v>6.9833333333333317E-2</v>
          </cell>
          <cell r="E403">
            <v>1.149E-2</v>
          </cell>
        </row>
        <row r="404">
          <cell r="C404" t="str">
            <v>Daly City - San Mateo</v>
          </cell>
          <cell r="D404">
            <v>4.3500000000000004E-2</v>
          </cell>
          <cell r="E404">
            <v>1.099E-2</v>
          </cell>
        </row>
        <row r="405">
          <cell r="C405" t="str">
            <v>Dana Point - Orange</v>
          </cell>
          <cell r="D405">
            <v>5.2749999999999991E-2</v>
          </cell>
          <cell r="E405">
            <v>1.061E-2</v>
          </cell>
        </row>
        <row r="406">
          <cell r="C406" t="str">
            <v>Danville - Contra Costa</v>
          </cell>
          <cell r="D406">
            <v>6.1416666666666668E-2</v>
          </cell>
          <cell r="E406">
            <v>1.1379999999999999E-2</v>
          </cell>
        </row>
        <row r="407">
          <cell r="C407" t="str">
            <v>Dardanelle - Tuolumne</v>
          </cell>
          <cell r="D407">
            <v>8.0750000000000016E-2</v>
          </cell>
          <cell r="E407">
            <v>1.061E-2</v>
          </cell>
        </row>
        <row r="408">
          <cell r="C408" t="str">
            <v>Darwin - Inyo</v>
          </cell>
          <cell r="D408">
            <v>7.1833333333333332E-2</v>
          </cell>
          <cell r="E408">
            <v>1.056E-2</v>
          </cell>
        </row>
        <row r="409">
          <cell r="C409" t="str">
            <v>Davenport - Santa Cruz</v>
          </cell>
          <cell r="D409">
            <v>8.1666666666666665E-2</v>
          </cell>
          <cell r="E409">
            <v>1.0940000000000002E-2</v>
          </cell>
        </row>
        <row r="410">
          <cell r="C410" t="str">
            <v>Davis - Yolo</v>
          </cell>
          <cell r="D410">
            <v>7.9750000000000001E-2</v>
          </cell>
          <cell r="E410">
            <v>1.0620000000000001E-2</v>
          </cell>
        </row>
        <row r="411">
          <cell r="C411" t="str">
            <v>Davis Creek - Modoc</v>
          </cell>
          <cell r="D411">
            <v>9.9749999999999991E-2</v>
          </cell>
          <cell r="E411">
            <v>1.027E-2</v>
          </cell>
        </row>
        <row r="412">
          <cell r="C412" t="str">
            <v>Death Valley - Inyo</v>
          </cell>
          <cell r="D412">
            <v>7.1833333333333332E-2</v>
          </cell>
          <cell r="E412">
            <v>1.056E-2</v>
          </cell>
        </row>
        <row r="413">
          <cell r="C413" t="str">
            <v>Death Valley Junction - Inyo</v>
          </cell>
          <cell r="D413">
            <v>7.1833333333333332E-2</v>
          </cell>
          <cell r="E413">
            <v>1.056E-2</v>
          </cell>
        </row>
        <row r="414">
          <cell r="C414" t="str">
            <v>Deer Park - Napa</v>
          </cell>
          <cell r="D414">
            <v>5.1833333333333328E-2</v>
          </cell>
          <cell r="E414">
            <v>1.0900000000000002E-2</v>
          </cell>
        </row>
        <row r="415">
          <cell r="C415" t="str">
            <v>Del Kern - Kern</v>
          </cell>
          <cell r="D415">
            <v>0.10558333333333332</v>
          </cell>
          <cell r="E415">
            <v>1.15E-2</v>
          </cell>
        </row>
        <row r="416">
          <cell r="C416" t="str">
            <v>Del Mar - San Diego</v>
          </cell>
          <cell r="D416">
            <v>6.2E-2</v>
          </cell>
          <cell r="E416">
            <v>1.1080000000000001E-2</v>
          </cell>
        </row>
        <row r="417">
          <cell r="C417" t="str">
            <v>Del Mar Heights - San Luis Obispo</v>
          </cell>
          <cell r="D417">
            <v>5.5916666666666656E-2</v>
          </cell>
          <cell r="E417">
            <v>1.0189999999999999E-2</v>
          </cell>
        </row>
        <row r="418">
          <cell r="C418" t="str">
            <v>Del Monte Park  - Monterey</v>
          </cell>
          <cell r="D418">
            <v>9.1249999999999998E-2</v>
          </cell>
          <cell r="E418">
            <v>1.085E-2</v>
          </cell>
        </row>
        <row r="419">
          <cell r="C419" t="str">
            <v>Del Rey - Fresno</v>
          </cell>
          <cell r="D419">
            <v>0.11366666666666669</v>
          </cell>
          <cell r="E419">
            <v>1.166E-2</v>
          </cell>
        </row>
        <row r="420">
          <cell r="C420" t="str">
            <v>Del Rey Oaks - Monterey</v>
          </cell>
          <cell r="D420">
            <v>9.1249999999999998E-2</v>
          </cell>
          <cell r="E420">
            <v>1.085E-2</v>
          </cell>
        </row>
        <row r="421">
          <cell r="C421" t="str">
            <v>Del Rosa - San Bernardino</v>
          </cell>
          <cell r="D421">
            <v>8.3833333333333329E-2</v>
          </cell>
          <cell r="E421">
            <v>1.149E-2</v>
          </cell>
        </row>
        <row r="422">
          <cell r="C422" t="str">
            <v>Del Sur - Los Angeles</v>
          </cell>
          <cell r="D422">
            <v>8.2166666666666666E-2</v>
          </cell>
          <cell r="E422">
            <v>1.1979999999999999E-2</v>
          </cell>
        </row>
        <row r="423">
          <cell r="C423" t="str">
            <v>Delano - Kern</v>
          </cell>
          <cell r="D423">
            <v>0.10558333333333332</v>
          </cell>
          <cell r="E423">
            <v>1.15E-2</v>
          </cell>
        </row>
        <row r="424">
          <cell r="C424" t="str">
            <v>Deleven - Colusa</v>
          </cell>
          <cell r="D424">
            <v>0.17433333333333334</v>
          </cell>
          <cell r="E424">
            <v>1.0540000000000001E-2</v>
          </cell>
        </row>
        <row r="425">
          <cell r="C425" t="str">
            <v>Delhi - Merced</v>
          </cell>
          <cell r="D425">
            <v>0.13066666666666668</v>
          </cell>
          <cell r="E425">
            <v>1.099E-2</v>
          </cell>
        </row>
        <row r="426">
          <cell r="C426" t="str">
            <v>Denair - Stanislaus</v>
          </cell>
          <cell r="D426">
            <v>0.114</v>
          </cell>
          <cell r="E426">
            <v>1.1180000000000001E-2</v>
          </cell>
        </row>
        <row r="427">
          <cell r="C427" t="str">
            <v>Denny - Trinity</v>
          </cell>
          <cell r="D427">
            <v>0.10183333333333332</v>
          </cell>
          <cell r="E427">
            <v>1.022E-2</v>
          </cell>
        </row>
        <row r="428">
          <cell r="C428" t="str">
            <v>Descanso - San Diego</v>
          </cell>
          <cell r="D428">
            <v>6.2E-2</v>
          </cell>
          <cell r="E428">
            <v>1.1080000000000001E-2</v>
          </cell>
        </row>
        <row r="429">
          <cell r="C429" t="str">
            <v>Desert Center - Riverside</v>
          </cell>
          <cell r="D429">
            <v>8.7000000000000008E-2</v>
          </cell>
          <cell r="E429">
            <v>1.0970000000000001E-2</v>
          </cell>
        </row>
        <row r="430">
          <cell r="C430" t="str">
            <v>Desert Hot Springs - Riverside</v>
          </cell>
          <cell r="D430">
            <v>8.7000000000000008E-2</v>
          </cell>
          <cell r="E430">
            <v>1.0970000000000001E-2</v>
          </cell>
        </row>
        <row r="431">
          <cell r="C431" t="str">
            <v>Di Giorgio - Kern</v>
          </cell>
          <cell r="D431">
            <v>0.10558333333333332</v>
          </cell>
          <cell r="E431">
            <v>1.15E-2</v>
          </cell>
        </row>
        <row r="432">
          <cell r="C432" t="str">
            <v>Diablo - Contra Costa</v>
          </cell>
          <cell r="D432">
            <v>6.1416666666666668E-2</v>
          </cell>
          <cell r="E432">
            <v>1.1379999999999999E-2</v>
          </cell>
        </row>
        <row r="433">
          <cell r="C433" t="str">
            <v>Diamond Bar - Los Angeles</v>
          </cell>
          <cell r="D433">
            <v>8.2166666666666666E-2</v>
          </cell>
          <cell r="E433">
            <v>1.1979999999999999E-2</v>
          </cell>
        </row>
        <row r="434">
          <cell r="C434" t="str">
            <v>Diamond Springs - El Dorado</v>
          </cell>
          <cell r="D434">
            <v>7.0916666666666683E-2</v>
          </cell>
          <cell r="E434">
            <v>1.0709999999999999E-2</v>
          </cell>
        </row>
        <row r="435">
          <cell r="C435" t="str">
            <v>Dillon Beach - Marin</v>
          </cell>
          <cell r="D435">
            <v>4.1499999999999995E-2</v>
          </cell>
          <cell r="E435">
            <v>1.1000000000000001E-2</v>
          </cell>
        </row>
        <row r="436">
          <cell r="C436" t="str">
            <v>Dinkey Creek - Fresno</v>
          </cell>
          <cell r="D436">
            <v>0.11366666666666669</v>
          </cell>
          <cell r="E436">
            <v>1.166E-2</v>
          </cell>
        </row>
        <row r="437">
          <cell r="C437" t="str">
            <v>Dinuba - Tulare</v>
          </cell>
          <cell r="D437">
            <v>0.12874999999999998</v>
          </cell>
          <cell r="E437">
            <v>1.0840000000000001E-2</v>
          </cell>
        </row>
        <row r="438">
          <cell r="C438" t="str">
            <v>Discovery Bay - Contra Costa</v>
          </cell>
          <cell r="D438">
            <v>6.1416666666666668E-2</v>
          </cell>
          <cell r="E438">
            <v>1.1379999999999999E-2</v>
          </cell>
        </row>
        <row r="439">
          <cell r="C439" t="str">
            <v>Dixon - Solano</v>
          </cell>
          <cell r="D439">
            <v>6.9833333333333317E-2</v>
          </cell>
          <cell r="E439">
            <v>1.149E-2</v>
          </cell>
        </row>
        <row r="440">
          <cell r="C440" t="str">
            <v>Dobbins - Yuba</v>
          </cell>
          <cell r="D440">
            <v>0.12291666666666666</v>
          </cell>
          <cell r="E440">
            <v>1.1180000000000001E-2</v>
          </cell>
        </row>
        <row r="441">
          <cell r="C441" t="str">
            <v>Dogtown - Marin</v>
          </cell>
          <cell r="D441">
            <v>4.1499999999999995E-2</v>
          </cell>
          <cell r="E441">
            <v>1.1000000000000001E-2</v>
          </cell>
        </row>
        <row r="442">
          <cell r="C442" t="str">
            <v>Dollar Ranch - Contra Costa</v>
          </cell>
          <cell r="D442">
            <v>6.1416666666666668E-2</v>
          </cell>
          <cell r="E442">
            <v>1.1379999999999999E-2</v>
          </cell>
        </row>
        <row r="443">
          <cell r="C443" t="str">
            <v>Dorris - Siskiyou</v>
          </cell>
          <cell r="D443">
            <v>0.11158333333333331</v>
          </cell>
          <cell r="E443">
            <v>1.0489999999999999E-2</v>
          </cell>
        </row>
        <row r="444">
          <cell r="C444" t="str">
            <v>Dos Palos - Merced</v>
          </cell>
          <cell r="D444">
            <v>0.13066666666666668</v>
          </cell>
          <cell r="E444">
            <v>1.099E-2</v>
          </cell>
        </row>
        <row r="445">
          <cell r="C445" t="str">
            <v>Dos Rios - Mendocino</v>
          </cell>
          <cell r="D445">
            <v>6.5750000000000003E-2</v>
          </cell>
          <cell r="E445">
            <v>1.123E-2</v>
          </cell>
        </row>
        <row r="446">
          <cell r="C446" t="str">
            <v>Douglas City - Trinity</v>
          </cell>
          <cell r="D446">
            <v>0.10183333333333332</v>
          </cell>
          <cell r="E446">
            <v>1.022E-2</v>
          </cell>
        </row>
        <row r="447">
          <cell r="C447" t="str">
            <v>Douglas Flat - Calaveras</v>
          </cell>
          <cell r="D447">
            <v>8.5416666666666655E-2</v>
          </cell>
          <cell r="E447">
            <v>1.1120000000000001E-2</v>
          </cell>
        </row>
        <row r="448">
          <cell r="C448" t="str">
            <v>Downey - Los Angeles</v>
          </cell>
          <cell r="D448">
            <v>8.2166666666666666E-2</v>
          </cell>
          <cell r="E448">
            <v>1.1979999999999999E-2</v>
          </cell>
        </row>
        <row r="449">
          <cell r="C449" t="str">
            <v>Downieville - Sierra</v>
          </cell>
          <cell r="D449">
            <v>0.10116666666666665</v>
          </cell>
          <cell r="E449">
            <v>9.5199999999999989E-3</v>
          </cell>
        </row>
        <row r="450">
          <cell r="C450" t="str">
            <v>Doyle - Lassen</v>
          </cell>
          <cell r="D450">
            <v>9.4750000000000001E-2</v>
          </cell>
          <cell r="E450">
            <v>1.027E-2</v>
          </cell>
        </row>
        <row r="451">
          <cell r="C451" t="str">
            <v>Drytown - Amador</v>
          </cell>
          <cell r="D451">
            <v>8.1583333333333327E-2</v>
          </cell>
          <cell r="E451">
            <v>1.0169999999999998E-2</v>
          </cell>
        </row>
        <row r="452">
          <cell r="C452" t="str">
            <v>Duarte - Los Angeles</v>
          </cell>
          <cell r="D452">
            <v>8.2166666666666666E-2</v>
          </cell>
          <cell r="E452">
            <v>1.1979999999999999E-2</v>
          </cell>
        </row>
        <row r="453">
          <cell r="C453" t="str">
            <v>Dublin - Alameda</v>
          </cell>
          <cell r="D453">
            <v>0.06</v>
          </cell>
          <cell r="E453">
            <v>1.214E-2</v>
          </cell>
        </row>
        <row r="454">
          <cell r="C454" t="str">
            <v>Ducor - Tulare</v>
          </cell>
          <cell r="D454">
            <v>0.12874999999999998</v>
          </cell>
          <cell r="E454">
            <v>1.0840000000000001E-2</v>
          </cell>
        </row>
        <row r="455">
          <cell r="C455" t="str">
            <v>Dulzura - San Diego</v>
          </cell>
          <cell r="D455">
            <v>6.2E-2</v>
          </cell>
          <cell r="E455">
            <v>1.1080000000000001E-2</v>
          </cell>
        </row>
        <row r="456">
          <cell r="C456" t="str">
            <v>Duncans Mills - Sonoma</v>
          </cell>
          <cell r="D456">
            <v>5.4333333333333324E-2</v>
          </cell>
          <cell r="E456">
            <v>1.1180000000000001E-2</v>
          </cell>
        </row>
        <row r="457">
          <cell r="C457" t="str">
            <v>Dunlap - Fresno</v>
          </cell>
          <cell r="D457">
            <v>0.11366666666666669</v>
          </cell>
          <cell r="E457">
            <v>1.166E-2</v>
          </cell>
        </row>
        <row r="458">
          <cell r="C458" t="str">
            <v>Dunnigan - Yolo</v>
          </cell>
          <cell r="D458">
            <v>7.9750000000000001E-2</v>
          </cell>
          <cell r="E458">
            <v>1.0620000000000001E-2</v>
          </cell>
        </row>
        <row r="459">
          <cell r="C459" t="str">
            <v>Dunsmuir - Siskiyou</v>
          </cell>
          <cell r="D459">
            <v>0.11158333333333331</v>
          </cell>
          <cell r="E459">
            <v>1.0489999999999999E-2</v>
          </cell>
        </row>
        <row r="460">
          <cell r="C460" t="str">
            <v>Durham - Butte</v>
          </cell>
          <cell r="D460">
            <v>8.4749999999999992E-2</v>
          </cell>
          <cell r="E460">
            <v>1.052E-2</v>
          </cell>
        </row>
        <row r="461">
          <cell r="C461" t="str">
            <v>Dutch Flat - Placer</v>
          </cell>
          <cell r="D461">
            <v>6.2166666666666662E-2</v>
          </cell>
          <cell r="E461">
            <v>1.0869999999999999E-2</v>
          </cell>
        </row>
        <row r="462">
          <cell r="C462" t="str">
            <v>Eagle Mountain - Riverside</v>
          </cell>
          <cell r="D462">
            <v>8.7000000000000008E-2</v>
          </cell>
          <cell r="E462">
            <v>1.0970000000000001E-2</v>
          </cell>
        </row>
        <row r="463">
          <cell r="C463" t="str">
            <v>Eagle Rock  - Los Angeles</v>
          </cell>
          <cell r="D463">
            <v>8.2166666666666666E-2</v>
          </cell>
          <cell r="E463">
            <v>1.1979999999999999E-2</v>
          </cell>
        </row>
        <row r="464">
          <cell r="C464" t="str">
            <v>Eagleville - Modoc</v>
          </cell>
          <cell r="D464">
            <v>9.9749999999999991E-2</v>
          </cell>
          <cell r="E464">
            <v>1.027E-2</v>
          </cell>
        </row>
        <row r="465">
          <cell r="C465" t="str">
            <v>Earlimart - Tulare</v>
          </cell>
          <cell r="D465">
            <v>0.12874999999999998</v>
          </cell>
          <cell r="E465">
            <v>1.0840000000000001E-2</v>
          </cell>
        </row>
        <row r="466">
          <cell r="C466" t="str">
            <v>Earp - San Bernardino</v>
          </cell>
          <cell r="D466">
            <v>8.3833333333333329E-2</v>
          </cell>
          <cell r="E466">
            <v>1.149E-2</v>
          </cell>
        </row>
        <row r="467">
          <cell r="C467" t="str">
            <v>East Highlands  - San Bernardino</v>
          </cell>
          <cell r="D467">
            <v>8.3833333333333329E-2</v>
          </cell>
          <cell r="E467">
            <v>1.149E-2</v>
          </cell>
        </row>
        <row r="468">
          <cell r="C468" t="str">
            <v>East Irvine - Orange</v>
          </cell>
          <cell r="D468">
            <v>5.2749999999999991E-2</v>
          </cell>
          <cell r="E468">
            <v>1.061E-2</v>
          </cell>
        </row>
        <row r="469">
          <cell r="C469" t="str">
            <v>East Los Angeles - Los Angeles</v>
          </cell>
          <cell r="D469">
            <v>8.2166666666666666E-2</v>
          </cell>
          <cell r="E469">
            <v>1.1979999999999999E-2</v>
          </cell>
        </row>
        <row r="470">
          <cell r="C470" t="str">
            <v>East Lynwood - Los Angeles</v>
          </cell>
          <cell r="D470">
            <v>8.2166666666666666E-2</v>
          </cell>
          <cell r="E470">
            <v>1.1979999999999999E-2</v>
          </cell>
        </row>
        <row r="471">
          <cell r="C471" t="str">
            <v>East Nicolaus - Sutter</v>
          </cell>
          <cell r="D471">
            <v>0.13508333333333333</v>
          </cell>
          <cell r="E471">
            <v>1.0900000000000002E-2</v>
          </cell>
        </row>
        <row r="472">
          <cell r="C472" t="str">
            <v>East Palo Alto - San Mateo</v>
          </cell>
          <cell r="D472">
            <v>4.3500000000000004E-2</v>
          </cell>
          <cell r="E472">
            <v>1.099E-2</v>
          </cell>
        </row>
        <row r="473">
          <cell r="C473" t="str">
            <v>East Porterville - Tulare</v>
          </cell>
          <cell r="D473">
            <v>0.12874999999999998</v>
          </cell>
          <cell r="E473">
            <v>1.0840000000000001E-2</v>
          </cell>
        </row>
        <row r="474">
          <cell r="C474" t="str">
            <v>East Rancho Dominguez - Los Angeles</v>
          </cell>
          <cell r="D474">
            <v>8.2166666666666666E-2</v>
          </cell>
          <cell r="E474">
            <v>1.1979999999999999E-2</v>
          </cell>
        </row>
        <row r="475">
          <cell r="C475" t="str">
            <v>East San Pedro - Los Angeles</v>
          </cell>
          <cell r="D475">
            <v>8.2166666666666666E-2</v>
          </cell>
          <cell r="E475">
            <v>1.1979999999999999E-2</v>
          </cell>
        </row>
        <row r="476">
          <cell r="C476" t="str">
            <v>Eastgate - Los Angeles</v>
          </cell>
          <cell r="D476">
            <v>8.2166666666666666E-2</v>
          </cell>
          <cell r="E476">
            <v>1.1979999999999999E-2</v>
          </cell>
        </row>
        <row r="477">
          <cell r="C477" t="str">
            <v>Easton - Fresno</v>
          </cell>
          <cell r="D477">
            <v>0.11366666666666669</v>
          </cell>
          <cell r="E477">
            <v>1.166E-2</v>
          </cell>
        </row>
        <row r="478">
          <cell r="C478" t="str">
            <v>Eastside - San Bernardino</v>
          </cell>
          <cell r="D478">
            <v>8.3833333333333329E-2</v>
          </cell>
          <cell r="E478">
            <v>1.149E-2</v>
          </cell>
        </row>
        <row r="479">
          <cell r="C479" t="str">
            <v>Echo Lake - El Dorado</v>
          </cell>
          <cell r="D479">
            <v>7.0916666666666683E-2</v>
          </cell>
          <cell r="E479">
            <v>1.0709999999999999E-2</v>
          </cell>
        </row>
        <row r="480">
          <cell r="C480" t="str">
            <v>Echo Park  - Los Angeles</v>
          </cell>
          <cell r="D480">
            <v>8.2166666666666666E-2</v>
          </cell>
          <cell r="E480">
            <v>1.1979999999999999E-2</v>
          </cell>
        </row>
        <row r="481">
          <cell r="C481" t="str">
            <v>Edgemont  - Riverside</v>
          </cell>
          <cell r="D481">
            <v>8.7000000000000008E-2</v>
          </cell>
          <cell r="E481">
            <v>1.0970000000000001E-2</v>
          </cell>
        </row>
        <row r="482">
          <cell r="C482" t="str">
            <v>Edgewood - Siskiyou</v>
          </cell>
          <cell r="D482">
            <v>0.11158333333333331</v>
          </cell>
          <cell r="E482">
            <v>1.0489999999999999E-2</v>
          </cell>
        </row>
        <row r="483">
          <cell r="C483" t="str">
            <v>Edison - Kern</v>
          </cell>
          <cell r="D483">
            <v>0.10558333333333332</v>
          </cell>
          <cell r="E483">
            <v>1.15E-2</v>
          </cell>
        </row>
        <row r="484">
          <cell r="C484" t="str">
            <v>Edwards - Kern</v>
          </cell>
          <cell r="D484">
            <v>0.10558333333333332</v>
          </cell>
          <cell r="E484">
            <v>1.15E-2</v>
          </cell>
        </row>
        <row r="485">
          <cell r="C485" t="str">
            <v>Edwards A.F.B. - Kern</v>
          </cell>
          <cell r="D485">
            <v>0.10558333333333332</v>
          </cell>
          <cell r="E485">
            <v>1.15E-2</v>
          </cell>
        </row>
        <row r="486">
          <cell r="C486" t="str">
            <v>El Cajon - San Diego</v>
          </cell>
          <cell r="D486">
            <v>6.2E-2</v>
          </cell>
          <cell r="E486">
            <v>1.1080000000000001E-2</v>
          </cell>
        </row>
        <row r="487">
          <cell r="C487" t="str">
            <v>El Centro - Imperial</v>
          </cell>
          <cell r="D487">
            <v>0.23408333333333331</v>
          </cell>
          <cell r="E487">
            <v>1.1299999999999999E-2</v>
          </cell>
        </row>
        <row r="488">
          <cell r="C488" t="str">
            <v>El Cerrito - Contra Costa</v>
          </cell>
          <cell r="D488">
            <v>6.1416666666666668E-2</v>
          </cell>
          <cell r="E488">
            <v>1.1379999999999999E-2</v>
          </cell>
        </row>
        <row r="489">
          <cell r="C489" t="str">
            <v>El Dorado - El Dorado</v>
          </cell>
          <cell r="D489">
            <v>7.0916666666666683E-2</v>
          </cell>
          <cell r="E489">
            <v>1.0709999999999999E-2</v>
          </cell>
        </row>
        <row r="490">
          <cell r="C490" t="str">
            <v>El Dorado Hills - El Dorado</v>
          </cell>
          <cell r="D490">
            <v>7.0916666666666683E-2</v>
          </cell>
          <cell r="E490">
            <v>1.0709999999999999E-2</v>
          </cell>
        </row>
        <row r="491">
          <cell r="C491" t="str">
            <v>El Granada - San Mateo</v>
          </cell>
          <cell r="D491">
            <v>4.3500000000000004E-2</v>
          </cell>
          <cell r="E491">
            <v>1.099E-2</v>
          </cell>
        </row>
        <row r="492">
          <cell r="C492" t="str">
            <v>El Macero - Yolo</v>
          </cell>
          <cell r="D492">
            <v>7.9750000000000001E-2</v>
          </cell>
          <cell r="E492">
            <v>1.0620000000000001E-2</v>
          </cell>
        </row>
        <row r="493">
          <cell r="C493" t="str">
            <v>El Modena - Orange</v>
          </cell>
          <cell r="D493">
            <v>5.2749999999999991E-2</v>
          </cell>
          <cell r="E493">
            <v>1.061E-2</v>
          </cell>
        </row>
        <row r="494">
          <cell r="C494" t="str">
            <v>El Monte - Los Angeles</v>
          </cell>
          <cell r="D494">
            <v>8.2166666666666666E-2</v>
          </cell>
          <cell r="E494">
            <v>1.1979999999999999E-2</v>
          </cell>
        </row>
        <row r="495">
          <cell r="C495" t="str">
            <v>El Nido - Merced</v>
          </cell>
          <cell r="D495">
            <v>0.13066666666666668</v>
          </cell>
          <cell r="E495">
            <v>1.099E-2</v>
          </cell>
        </row>
        <row r="496">
          <cell r="C496" t="str">
            <v>El Portal - Mariposa</v>
          </cell>
          <cell r="D496">
            <v>7.5833333333333322E-2</v>
          </cell>
          <cell r="E496">
            <v>1.0059999999999999E-2</v>
          </cell>
        </row>
        <row r="497">
          <cell r="C497" t="str">
            <v>El Segundo - Los Angeles</v>
          </cell>
          <cell r="D497">
            <v>8.2166666666666666E-2</v>
          </cell>
          <cell r="E497">
            <v>1.1979999999999999E-2</v>
          </cell>
        </row>
        <row r="498">
          <cell r="C498" t="str">
            <v>El Sobrante - Contra Costa</v>
          </cell>
          <cell r="D498">
            <v>6.1416666666666668E-2</v>
          </cell>
          <cell r="E498">
            <v>1.1379999999999999E-2</v>
          </cell>
        </row>
        <row r="499">
          <cell r="C499" t="str">
            <v>El Toro - Orange</v>
          </cell>
          <cell r="D499">
            <v>5.2749999999999991E-2</v>
          </cell>
          <cell r="E499">
            <v>1.061E-2</v>
          </cell>
        </row>
        <row r="500">
          <cell r="C500" t="str">
            <v>El Toro M.C.A.S. - Orange</v>
          </cell>
          <cell r="D500">
            <v>5.2749999999999991E-2</v>
          </cell>
          <cell r="E500">
            <v>1.061E-2</v>
          </cell>
        </row>
        <row r="501">
          <cell r="C501" t="str">
            <v>El Verano - Sonoma</v>
          </cell>
          <cell r="D501">
            <v>5.4333333333333324E-2</v>
          </cell>
          <cell r="E501">
            <v>1.1180000000000001E-2</v>
          </cell>
        </row>
        <row r="502">
          <cell r="C502" t="str">
            <v>El Viejo - Stanislaus</v>
          </cell>
          <cell r="D502">
            <v>0.114</v>
          </cell>
          <cell r="E502">
            <v>1.1180000000000001E-2</v>
          </cell>
        </row>
        <row r="503">
          <cell r="C503" t="str">
            <v>Eldridge - Sonoma</v>
          </cell>
          <cell r="D503">
            <v>5.4333333333333324E-2</v>
          </cell>
          <cell r="E503">
            <v>1.1180000000000001E-2</v>
          </cell>
        </row>
        <row r="504">
          <cell r="C504" t="str">
            <v>Elizabeth Lake - Los Angeles</v>
          </cell>
          <cell r="D504">
            <v>8.2166666666666666E-2</v>
          </cell>
          <cell r="E504">
            <v>1.1979999999999999E-2</v>
          </cell>
        </row>
        <row r="505">
          <cell r="C505" t="str">
            <v>Elk - Mendocino</v>
          </cell>
          <cell r="D505">
            <v>6.5750000000000003E-2</v>
          </cell>
          <cell r="E505">
            <v>1.123E-2</v>
          </cell>
        </row>
        <row r="506">
          <cell r="C506" t="str">
            <v>Elk Creek - Glenn</v>
          </cell>
          <cell r="D506">
            <v>0.10549999999999998</v>
          </cell>
          <cell r="E506">
            <v>1.0500000000000001E-2</v>
          </cell>
        </row>
        <row r="507">
          <cell r="C507" t="str">
            <v>Elk Grove - Sacramento</v>
          </cell>
          <cell r="D507">
            <v>7.2666666666666671E-2</v>
          </cell>
          <cell r="E507">
            <v>1.1169999999999999E-2</v>
          </cell>
        </row>
        <row r="508">
          <cell r="C508" t="str">
            <v>Elmira - Solano</v>
          </cell>
          <cell r="D508">
            <v>6.9833333333333317E-2</v>
          </cell>
          <cell r="E508">
            <v>1.149E-2</v>
          </cell>
        </row>
        <row r="509">
          <cell r="C509" t="str">
            <v>Elmwood - Alameda</v>
          </cell>
          <cell r="D509">
            <v>0.06</v>
          </cell>
          <cell r="E509">
            <v>1.214E-2</v>
          </cell>
        </row>
        <row r="510">
          <cell r="C510" t="str">
            <v>Elverta - Sacramento</v>
          </cell>
          <cell r="D510">
            <v>7.2666666666666671E-2</v>
          </cell>
          <cell r="E510">
            <v>1.1169999999999999E-2</v>
          </cell>
        </row>
        <row r="511">
          <cell r="C511" t="str">
            <v>Emerald Hills - San Mateo</v>
          </cell>
          <cell r="D511">
            <v>4.3500000000000004E-2</v>
          </cell>
          <cell r="E511">
            <v>1.099E-2</v>
          </cell>
        </row>
        <row r="512">
          <cell r="C512" t="str">
            <v>Emeryville - Alameda</v>
          </cell>
          <cell r="D512">
            <v>0.06</v>
          </cell>
          <cell r="E512">
            <v>1.214E-2</v>
          </cell>
        </row>
        <row r="513">
          <cell r="C513" t="str">
            <v>Emigrant Gap - Placer</v>
          </cell>
          <cell r="D513">
            <v>6.2166666666666662E-2</v>
          </cell>
          <cell r="E513">
            <v>1.0869999999999999E-2</v>
          </cell>
        </row>
        <row r="514">
          <cell r="C514" t="str">
            <v>Empire - Stanislaus</v>
          </cell>
          <cell r="D514">
            <v>0.114</v>
          </cell>
          <cell r="E514">
            <v>1.1180000000000001E-2</v>
          </cell>
        </row>
        <row r="515">
          <cell r="C515" t="str">
            <v>Encinitas - San Diego</v>
          </cell>
          <cell r="D515">
            <v>6.2E-2</v>
          </cell>
          <cell r="E515">
            <v>1.1080000000000001E-2</v>
          </cell>
        </row>
        <row r="516">
          <cell r="C516" t="str">
            <v>Encino  - Los Angeles</v>
          </cell>
          <cell r="D516">
            <v>8.2166666666666666E-2</v>
          </cell>
          <cell r="E516">
            <v>1.1979999999999999E-2</v>
          </cell>
        </row>
        <row r="517">
          <cell r="C517" t="str">
            <v>Enterprise - Shasta</v>
          </cell>
          <cell r="D517">
            <v>9.0499999999999983E-2</v>
          </cell>
          <cell r="E517">
            <v>1.085E-2</v>
          </cell>
        </row>
        <row r="518">
          <cell r="C518" t="str">
            <v>Escalon - San Joaquin</v>
          </cell>
          <cell r="D518">
            <v>0.11141666666666668</v>
          </cell>
          <cell r="E518">
            <v>1.107E-2</v>
          </cell>
        </row>
        <row r="519">
          <cell r="C519" t="str">
            <v>Escondido - San Diego</v>
          </cell>
          <cell r="D519">
            <v>6.2E-2</v>
          </cell>
          <cell r="E519">
            <v>1.1080000000000001E-2</v>
          </cell>
        </row>
        <row r="520">
          <cell r="C520" t="str">
            <v>Esparto - Yolo</v>
          </cell>
          <cell r="D520">
            <v>7.9750000000000001E-2</v>
          </cell>
          <cell r="E520">
            <v>1.0620000000000001E-2</v>
          </cell>
        </row>
        <row r="521">
          <cell r="C521" t="str">
            <v>Essex - San Bernardino</v>
          </cell>
          <cell r="D521">
            <v>8.3833333333333329E-2</v>
          </cell>
          <cell r="E521">
            <v>1.149E-2</v>
          </cell>
        </row>
        <row r="522">
          <cell r="C522" t="str">
            <v>Etiwanda  - San Bernardino</v>
          </cell>
          <cell r="D522">
            <v>8.3833333333333329E-2</v>
          </cell>
          <cell r="E522">
            <v>1.149E-2</v>
          </cell>
        </row>
        <row r="523">
          <cell r="C523" t="str">
            <v>Etna - Siskiyou</v>
          </cell>
          <cell r="D523">
            <v>0.11158333333333331</v>
          </cell>
          <cell r="E523">
            <v>1.0489999999999999E-2</v>
          </cell>
        </row>
        <row r="524">
          <cell r="C524" t="str">
            <v>Ettersburg - Humboldt</v>
          </cell>
          <cell r="D524">
            <v>7.3666666666666672E-2</v>
          </cell>
          <cell r="E524">
            <v>1.043E-2</v>
          </cell>
        </row>
        <row r="525">
          <cell r="C525" t="str">
            <v>Eureka - Humboldt</v>
          </cell>
          <cell r="D525">
            <v>7.3666666666666672E-2</v>
          </cell>
          <cell r="E525">
            <v>1.043E-2</v>
          </cell>
        </row>
        <row r="526">
          <cell r="C526" t="str">
            <v>Exeter - Tulare</v>
          </cell>
          <cell r="D526">
            <v>0.12874999999999998</v>
          </cell>
          <cell r="E526">
            <v>1.0840000000000001E-2</v>
          </cell>
        </row>
        <row r="527">
          <cell r="C527" t="str">
            <v>Fair Oaks  - Sacramento</v>
          </cell>
          <cell r="D527">
            <v>7.2666666666666671E-2</v>
          </cell>
          <cell r="E527">
            <v>1.1169999999999999E-2</v>
          </cell>
        </row>
        <row r="528">
          <cell r="C528" t="str">
            <v>Fairfax - Marin</v>
          </cell>
          <cell r="D528">
            <v>4.1499999999999995E-2</v>
          </cell>
          <cell r="E528">
            <v>1.1000000000000001E-2</v>
          </cell>
        </row>
        <row r="529">
          <cell r="C529" t="str">
            <v>Fairfield - Solano</v>
          </cell>
          <cell r="D529">
            <v>6.9833333333333317E-2</v>
          </cell>
          <cell r="E529">
            <v>1.149E-2</v>
          </cell>
        </row>
        <row r="530">
          <cell r="C530" t="str">
            <v>Fairmount - Contra Costa</v>
          </cell>
          <cell r="D530">
            <v>6.1416666666666668E-2</v>
          </cell>
          <cell r="E530">
            <v>1.1379999999999999E-2</v>
          </cell>
        </row>
        <row r="531">
          <cell r="C531" t="str">
            <v>Fall River Mills - Shasta</v>
          </cell>
          <cell r="D531">
            <v>9.0499999999999983E-2</v>
          </cell>
          <cell r="E531">
            <v>1.085E-2</v>
          </cell>
        </row>
        <row r="532">
          <cell r="C532" t="str">
            <v>Fallbrook  - San Diego</v>
          </cell>
          <cell r="D532">
            <v>6.2E-2</v>
          </cell>
          <cell r="E532">
            <v>1.1080000000000001E-2</v>
          </cell>
        </row>
        <row r="533">
          <cell r="C533" t="str">
            <v>Fallbrook Junction - San Diego</v>
          </cell>
          <cell r="D533">
            <v>6.2E-2</v>
          </cell>
          <cell r="E533">
            <v>1.1080000000000001E-2</v>
          </cell>
        </row>
        <row r="534">
          <cell r="C534" t="str">
            <v>Fallen Leaf - El Dorado</v>
          </cell>
          <cell r="D534">
            <v>7.0916666666666683E-2</v>
          </cell>
          <cell r="E534">
            <v>1.0709999999999999E-2</v>
          </cell>
        </row>
        <row r="535">
          <cell r="C535" t="str">
            <v>Fallon - Marin</v>
          </cell>
          <cell r="D535">
            <v>4.1499999999999995E-2</v>
          </cell>
          <cell r="E535">
            <v>1.1000000000000001E-2</v>
          </cell>
        </row>
        <row r="536">
          <cell r="C536" t="str">
            <v>Fancher - Fresno</v>
          </cell>
          <cell r="D536">
            <v>0.11366666666666669</v>
          </cell>
          <cell r="E536">
            <v>1.166E-2</v>
          </cell>
        </row>
        <row r="537">
          <cell r="C537" t="str">
            <v>Farmersville - Tulare</v>
          </cell>
          <cell r="D537">
            <v>0.12874999999999998</v>
          </cell>
          <cell r="E537">
            <v>1.0840000000000001E-2</v>
          </cell>
        </row>
        <row r="538">
          <cell r="C538" t="str">
            <v>Farmington - San Joaquin</v>
          </cell>
          <cell r="D538">
            <v>0.11141666666666668</v>
          </cell>
          <cell r="E538">
            <v>1.107E-2</v>
          </cell>
        </row>
        <row r="539">
          <cell r="C539" t="str">
            <v>Fawnskin - San Bernardino</v>
          </cell>
          <cell r="D539">
            <v>8.3833333333333329E-2</v>
          </cell>
          <cell r="E539">
            <v>1.149E-2</v>
          </cell>
        </row>
        <row r="540">
          <cell r="C540" t="str">
            <v>Feather Falls - Butte</v>
          </cell>
          <cell r="D540">
            <v>8.4749999999999992E-2</v>
          </cell>
          <cell r="E540">
            <v>1.052E-2</v>
          </cell>
        </row>
        <row r="541">
          <cell r="C541" t="str">
            <v>Fellows - Kern</v>
          </cell>
          <cell r="D541">
            <v>0.10558333333333332</v>
          </cell>
          <cell r="E541">
            <v>1.15E-2</v>
          </cell>
        </row>
        <row r="542">
          <cell r="C542" t="str">
            <v>Felton - Santa Cruz</v>
          </cell>
          <cell r="D542">
            <v>8.1666666666666665E-2</v>
          </cell>
          <cell r="E542">
            <v>1.0940000000000002E-2</v>
          </cell>
        </row>
        <row r="543">
          <cell r="C543" t="str">
            <v>Fenner - San Bernardino</v>
          </cell>
          <cell r="D543">
            <v>8.3833333333333329E-2</v>
          </cell>
          <cell r="E543">
            <v>1.149E-2</v>
          </cell>
        </row>
        <row r="544">
          <cell r="C544" t="str">
            <v>Fernbridge  - Humboldt</v>
          </cell>
          <cell r="D544">
            <v>7.3666666666666672E-2</v>
          </cell>
          <cell r="E544">
            <v>1.043E-2</v>
          </cell>
        </row>
        <row r="545">
          <cell r="C545" t="str">
            <v>Ferndale - Humboldt</v>
          </cell>
          <cell r="D545">
            <v>7.3666666666666672E-2</v>
          </cell>
          <cell r="E545">
            <v>1.043E-2</v>
          </cell>
        </row>
        <row r="546">
          <cell r="C546" t="str">
            <v>Fiddletown - Amador</v>
          </cell>
          <cell r="D546">
            <v>8.1583333333333327E-2</v>
          </cell>
          <cell r="E546">
            <v>1.0169999999999998E-2</v>
          </cell>
        </row>
        <row r="547">
          <cell r="C547" t="str">
            <v>Fields Landing - Humboldt</v>
          </cell>
          <cell r="D547">
            <v>7.3666666666666672E-2</v>
          </cell>
          <cell r="E547">
            <v>1.043E-2</v>
          </cell>
        </row>
        <row r="548">
          <cell r="C548" t="str">
            <v>Fig Garden Village - Fresno</v>
          </cell>
          <cell r="D548">
            <v>0.11366666666666669</v>
          </cell>
          <cell r="E548">
            <v>1.166E-2</v>
          </cell>
        </row>
        <row r="549">
          <cell r="C549" t="str">
            <v>Fillmore - Ventura</v>
          </cell>
          <cell r="D549">
            <v>6.6000000000000003E-2</v>
          </cell>
          <cell r="E549">
            <v>1.0920000000000001E-2</v>
          </cell>
        </row>
        <row r="550">
          <cell r="C550" t="str">
            <v>Finley - Lake</v>
          </cell>
          <cell r="D550">
            <v>9.9083333333333329E-2</v>
          </cell>
          <cell r="E550">
            <v>1.0800000000000001E-2</v>
          </cell>
        </row>
        <row r="551">
          <cell r="C551" t="str">
            <v>Firebaugh - Fresno</v>
          </cell>
          <cell r="D551">
            <v>0.11366666666666669</v>
          </cell>
          <cell r="E551">
            <v>1.166E-2</v>
          </cell>
        </row>
        <row r="552">
          <cell r="C552" t="str">
            <v>Fish Camp - Mariposa</v>
          </cell>
          <cell r="D552">
            <v>7.5833333333333322E-2</v>
          </cell>
          <cell r="E552">
            <v>1.0059999999999999E-2</v>
          </cell>
        </row>
        <row r="553">
          <cell r="C553" t="str">
            <v>Five Points - Fresno</v>
          </cell>
          <cell r="D553">
            <v>0.11366666666666669</v>
          </cell>
          <cell r="E553">
            <v>1.166E-2</v>
          </cell>
        </row>
        <row r="554">
          <cell r="C554" t="str">
            <v>Flinn Springs - San Diego</v>
          </cell>
          <cell r="D554">
            <v>6.2E-2</v>
          </cell>
          <cell r="E554">
            <v>1.1080000000000001E-2</v>
          </cell>
        </row>
        <row r="555">
          <cell r="C555" t="str">
            <v>Flintridge  - Los Angeles</v>
          </cell>
          <cell r="D555">
            <v>8.2166666666666666E-2</v>
          </cell>
          <cell r="E555">
            <v>1.1979999999999999E-2</v>
          </cell>
        </row>
        <row r="556">
          <cell r="C556" t="str">
            <v>Florence - Los Angeles</v>
          </cell>
          <cell r="D556">
            <v>8.2166666666666666E-2</v>
          </cell>
          <cell r="E556">
            <v>1.1979999999999999E-2</v>
          </cell>
        </row>
        <row r="557">
          <cell r="C557" t="str">
            <v>Floriston - Nevada</v>
          </cell>
          <cell r="D557">
            <v>6.4083333333333339E-2</v>
          </cell>
          <cell r="E557">
            <v>1.0529999999999999E-2</v>
          </cell>
        </row>
        <row r="558">
          <cell r="C558" t="str">
            <v>Flournoy - Tehama</v>
          </cell>
          <cell r="D558">
            <v>9.7333333333333327E-2</v>
          </cell>
          <cell r="E558">
            <v>1.023E-2</v>
          </cell>
        </row>
        <row r="559">
          <cell r="C559" t="str">
            <v>Folsom - Sacramento</v>
          </cell>
          <cell r="D559">
            <v>7.2666666666666671E-2</v>
          </cell>
          <cell r="E559">
            <v>1.1169999999999999E-2</v>
          </cell>
        </row>
        <row r="560">
          <cell r="C560" t="str">
            <v>Fontana - San Bernardino</v>
          </cell>
          <cell r="D560">
            <v>8.3833333333333329E-2</v>
          </cell>
          <cell r="E560">
            <v>1.149E-2</v>
          </cell>
        </row>
        <row r="561">
          <cell r="C561" t="str">
            <v>Foothill Ranch - Orange</v>
          </cell>
          <cell r="D561">
            <v>5.2749999999999991E-2</v>
          </cell>
          <cell r="E561">
            <v>1.061E-2</v>
          </cell>
        </row>
        <row r="562">
          <cell r="C562" t="str">
            <v>Forbestown - Butte</v>
          </cell>
          <cell r="D562">
            <v>8.4749999999999992E-2</v>
          </cell>
          <cell r="E562">
            <v>1.052E-2</v>
          </cell>
        </row>
        <row r="563">
          <cell r="C563" t="str">
            <v>Forest Falls - San Bernardino</v>
          </cell>
          <cell r="D563">
            <v>8.3833333333333329E-2</v>
          </cell>
          <cell r="E563">
            <v>1.149E-2</v>
          </cell>
        </row>
        <row r="564">
          <cell r="C564" t="str">
            <v>Forest Glen - Trinity</v>
          </cell>
          <cell r="D564">
            <v>0.10183333333333332</v>
          </cell>
          <cell r="E564">
            <v>1.022E-2</v>
          </cell>
        </row>
        <row r="565">
          <cell r="C565" t="str">
            <v>Forest Knolls - Marin</v>
          </cell>
          <cell r="D565">
            <v>4.1499999999999995E-2</v>
          </cell>
          <cell r="E565">
            <v>1.1000000000000001E-2</v>
          </cell>
        </row>
        <row r="566">
          <cell r="C566" t="str">
            <v>Forest Park - Los Angeles</v>
          </cell>
          <cell r="D566">
            <v>8.2166666666666666E-2</v>
          </cell>
          <cell r="E566">
            <v>1.1979999999999999E-2</v>
          </cell>
        </row>
        <row r="567">
          <cell r="C567" t="str">
            <v>Forest Ranch - Butte</v>
          </cell>
          <cell r="D567">
            <v>8.4749999999999992E-2</v>
          </cell>
          <cell r="E567">
            <v>1.052E-2</v>
          </cell>
        </row>
        <row r="568">
          <cell r="C568" t="str">
            <v>Foresthill - Placer</v>
          </cell>
          <cell r="D568">
            <v>6.2166666666666662E-2</v>
          </cell>
          <cell r="E568">
            <v>1.0869999999999999E-2</v>
          </cell>
        </row>
        <row r="569">
          <cell r="C569" t="str">
            <v>Forestville - Sonoma</v>
          </cell>
          <cell r="D569">
            <v>5.4333333333333324E-2</v>
          </cell>
          <cell r="E569">
            <v>1.1180000000000001E-2</v>
          </cell>
        </row>
        <row r="570">
          <cell r="C570" t="str">
            <v>Forks of Salmon - Siskiyou</v>
          </cell>
          <cell r="D570">
            <v>0.11158333333333331</v>
          </cell>
          <cell r="E570">
            <v>1.0489999999999999E-2</v>
          </cell>
        </row>
        <row r="571">
          <cell r="C571" t="str">
            <v>Fort Bidwell - Modoc</v>
          </cell>
          <cell r="D571">
            <v>9.9749999999999991E-2</v>
          </cell>
          <cell r="E571">
            <v>1.027E-2</v>
          </cell>
        </row>
        <row r="572">
          <cell r="C572" t="str">
            <v>Fort Bragg - Mendocino</v>
          </cell>
          <cell r="D572">
            <v>6.5750000000000003E-2</v>
          </cell>
          <cell r="E572">
            <v>1.123E-2</v>
          </cell>
        </row>
        <row r="573">
          <cell r="C573" t="str">
            <v>Fort Dick - Del Norte</v>
          </cell>
          <cell r="D573">
            <v>9.8666666666666653E-2</v>
          </cell>
          <cell r="E573">
            <v>1.0369999999999999E-2</v>
          </cell>
        </row>
        <row r="574">
          <cell r="C574" t="str">
            <v>Fort Irwin - San Bernardino</v>
          </cell>
          <cell r="D574">
            <v>8.3833333333333329E-2</v>
          </cell>
          <cell r="E574">
            <v>1.149E-2</v>
          </cell>
        </row>
        <row r="575">
          <cell r="C575" t="str">
            <v>Fort Jones - Siskiyou</v>
          </cell>
          <cell r="D575">
            <v>0.11158333333333331</v>
          </cell>
          <cell r="E575">
            <v>1.0489999999999999E-2</v>
          </cell>
        </row>
        <row r="576">
          <cell r="C576" t="str">
            <v>Fort Ord  - Monterey</v>
          </cell>
          <cell r="D576">
            <v>9.1249999999999998E-2</v>
          </cell>
          <cell r="E576">
            <v>1.085E-2</v>
          </cell>
        </row>
        <row r="577">
          <cell r="C577" t="str">
            <v>Fort Seward - Humboldt</v>
          </cell>
          <cell r="D577">
            <v>7.3666666666666672E-2</v>
          </cell>
          <cell r="E577">
            <v>1.043E-2</v>
          </cell>
        </row>
        <row r="578">
          <cell r="C578" t="str">
            <v>Fortuna - Humboldt</v>
          </cell>
          <cell r="D578">
            <v>7.3666666666666672E-2</v>
          </cell>
          <cell r="E578">
            <v>1.043E-2</v>
          </cell>
        </row>
        <row r="579">
          <cell r="C579" t="str">
            <v>Foster City - San Mateo</v>
          </cell>
          <cell r="D579">
            <v>4.3500000000000004E-2</v>
          </cell>
          <cell r="E579">
            <v>1.099E-2</v>
          </cell>
        </row>
        <row r="580">
          <cell r="C580" t="str">
            <v>Fountain Valley - Orange</v>
          </cell>
          <cell r="D580">
            <v>5.2749999999999991E-2</v>
          </cell>
          <cell r="E580">
            <v>1.061E-2</v>
          </cell>
        </row>
        <row r="581">
          <cell r="C581" t="str">
            <v>Fowler - Fresno</v>
          </cell>
          <cell r="D581">
            <v>0.11366666666666669</v>
          </cell>
          <cell r="E581">
            <v>1.166E-2</v>
          </cell>
        </row>
        <row r="582">
          <cell r="C582" t="str">
            <v>Frazier Park - Kern</v>
          </cell>
          <cell r="D582">
            <v>0.10558333333333332</v>
          </cell>
          <cell r="E582">
            <v>1.15E-2</v>
          </cell>
        </row>
        <row r="583">
          <cell r="C583" t="str">
            <v>Freedom - Santa Cruz</v>
          </cell>
          <cell r="D583">
            <v>8.1666666666666665E-2</v>
          </cell>
          <cell r="E583">
            <v>1.0940000000000002E-2</v>
          </cell>
        </row>
        <row r="584">
          <cell r="C584" t="str">
            <v>Freeport - Sacramento</v>
          </cell>
          <cell r="D584">
            <v>7.2666666666666671E-2</v>
          </cell>
          <cell r="E584">
            <v>1.1169999999999999E-2</v>
          </cell>
        </row>
        <row r="585">
          <cell r="C585" t="str">
            <v>Freestone - Sonoma</v>
          </cell>
          <cell r="D585">
            <v>5.4333333333333324E-2</v>
          </cell>
          <cell r="E585">
            <v>1.1180000000000001E-2</v>
          </cell>
        </row>
        <row r="586">
          <cell r="C586" t="str">
            <v>Fremont - Alameda</v>
          </cell>
          <cell r="D586">
            <v>0.06</v>
          </cell>
          <cell r="E586">
            <v>1.214E-2</v>
          </cell>
        </row>
        <row r="587">
          <cell r="C587" t="str">
            <v>French Camp - San Joaquin</v>
          </cell>
          <cell r="D587">
            <v>0.11141666666666668</v>
          </cell>
          <cell r="E587">
            <v>1.107E-2</v>
          </cell>
        </row>
        <row r="588">
          <cell r="C588" t="str">
            <v>French Gulch - Shasta</v>
          </cell>
          <cell r="D588">
            <v>9.0499999999999983E-2</v>
          </cell>
          <cell r="E588">
            <v>1.085E-2</v>
          </cell>
        </row>
        <row r="589">
          <cell r="C589" t="str">
            <v>Freshwater - Humboldt</v>
          </cell>
          <cell r="D589">
            <v>7.3666666666666672E-2</v>
          </cell>
          <cell r="E589">
            <v>1.043E-2</v>
          </cell>
        </row>
        <row r="590">
          <cell r="C590" t="str">
            <v>Fresno - Fresno</v>
          </cell>
          <cell r="D590">
            <v>0.11366666666666669</v>
          </cell>
          <cell r="E590">
            <v>1.166E-2</v>
          </cell>
        </row>
        <row r="591">
          <cell r="C591" t="str">
            <v>Friant - Fresno</v>
          </cell>
          <cell r="D591">
            <v>0.11366666666666669</v>
          </cell>
          <cell r="E591">
            <v>1.166E-2</v>
          </cell>
        </row>
        <row r="592">
          <cell r="C592" t="str">
            <v>Friendly Valley  - Los Angeles</v>
          </cell>
          <cell r="D592">
            <v>8.2166666666666666E-2</v>
          </cell>
          <cell r="E592">
            <v>1.1979999999999999E-2</v>
          </cell>
        </row>
        <row r="593">
          <cell r="C593" t="str">
            <v>Frontera - Riverside</v>
          </cell>
          <cell r="D593">
            <v>8.7000000000000008E-2</v>
          </cell>
          <cell r="E593">
            <v>1.0970000000000001E-2</v>
          </cell>
        </row>
        <row r="594">
          <cell r="C594" t="str">
            <v>Fullerton - Orange</v>
          </cell>
          <cell r="D594">
            <v>5.2749999999999991E-2</v>
          </cell>
          <cell r="E594">
            <v>1.061E-2</v>
          </cell>
        </row>
        <row r="595">
          <cell r="C595" t="str">
            <v>Fulton - Sonoma</v>
          </cell>
          <cell r="D595">
            <v>5.4333333333333324E-2</v>
          </cell>
          <cell r="E595">
            <v>1.1180000000000001E-2</v>
          </cell>
        </row>
        <row r="596">
          <cell r="C596" t="str">
            <v>Galt - Sacramento</v>
          </cell>
          <cell r="D596">
            <v>7.2666666666666671E-2</v>
          </cell>
          <cell r="E596">
            <v>1.1169999999999999E-2</v>
          </cell>
        </row>
        <row r="597">
          <cell r="C597" t="str">
            <v>Garberville - Humboldt</v>
          </cell>
          <cell r="D597">
            <v>7.3666666666666672E-2</v>
          </cell>
          <cell r="E597">
            <v>1.043E-2</v>
          </cell>
        </row>
        <row r="598">
          <cell r="C598" t="str">
            <v>Garden Grove - Orange</v>
          </cell>
          <cell r="D598">
            <v>5.2749999999999991E-2</v>
          </cell>
          <cell r="E598">
            <v>1.061E-2</v>
          </cell>
        </row>
        <row r="599">
          <cell r="C599" t="str">
            <v>Garden Valley - El Dorado</v>
          </cell>
          <cell r="D599">
            <v>7.0916666666666683E-2</v>
          </cell>
          <cell r="E599">
            <v>1.0709999999999999E-2</v>
          </cell>
        </row>
        <row r="600">
          <cell r="C600" t="str">
            <v>Gardena - Los Angeles</v>
          </cell>
          <cell r="D600">
            <v>8.2166666666666666E-2</v>
          </cell>
          <cell r="E600">
            <v>1.1979999999999999E-2</v>
          </cell>
        </row>
        <row r="601">
          <cell r="C601" t="str">
            <v>Garey - Santa Barbara</v>
          </cell>
          <cell r="D601">
            <v>5.8999999999999997E-2</v>
          </cell>
          <cell r="E601">
            <v>1.055E-2</v>
          </cell>
        </row>
        <row r="602">
          <cell r="C602" t="str">
            <v>Garnet - Riverside</v>
          </cell>
          <cell r="D602">
            <v>8.7000000000000008E-2</v>
          </cell>
          <cell r="E602">
            <v>1.0970000000000001E-2</v>
          </cell>
        </row>
        <row r="603">
          <cell r="C603" t="str">
            <v>Gasquet - Del Norte</v>
          </cell>
          <cell r="D603">
            <v>9.8666666666666653E-2</v>
          </cell>
          <cell r="E603">
            <v>1.0369999999999999E-2</v>
          </cell>
        </row>
        <row r="604">
          <cell r="C604" t="str">
            <v>Gaviota - Santa Barbara</v>
          </cell>
          <cell r="D604">
            <v>5.8999999999999997E-2</v>
          </cell>
          <cell r="E604">
            <v>1.055E-2</v>
          </cell>
        </row>
        <row r="605">
          <cell r="C605" t="str">
            <v>Gazelle - Siskiyou</v>
          </cell>
          <cell r="D605">
            <v>0.11158333333333331</v>
          </cell>
          <cell r="E605">
            <v>1.0489999999999999E-2</v>
          </cell>
        </row>
        <row r="606">
          <cell r="C606" t="str">
            <v>George A.F.B. - San Bernardino</v>
          </cell>
          <cell r="D606">
            <v>8.3833333333333329E-2</v>
          </cell>
          <cell r="E606">
            <v>1.149E-2</v>
          </cell>
        </row>
        <row r="607">
          <cell r="C607" t="str">
            <v>Georgetown - El Dorado</v>
          </cell>
          <cell r="D607">
            <v>7.0916666666666683E-2</v>
          </cell>
          <cell r="E607">
            <v>1.0709999999999999E-2</v>
          </cell>
        </row>
        <row r="608">
          <cell r="C608" t="str">
            <v>Gerber - Tehama</v>
          </cell>
          <cell r="D608">
            <v>9.7333333333333327E-2</v>
          </cell>
          <cell r="E608">
            <v>1.023E-2</v>
          </cell>
        </row>
        <row r="609">
          <cell r="C609" t="str">
            <v>Geyserville - Sonoma</v>
          </cell>
          <cell r="D609">
            <v>5.4333333333333324E-2</v>
          </cell>
          <cell r="E609">
            <v>1.1180000000000001E-2</v>
          </cell>
        </row>
        <row r="610">
          <cell r="C610" t="str">
            <v>Giant Forest - Tulare</v>
          </cell>
          <cell r="D610">
            <v>0.12874999999999998</v>
          </cell>
          <cell r="E610">
            <v>1.0840000000000001E-2</v>
          </cell>
        </row>
        <row r="611">
          <cell r="C611" t="str">
            <v>Gillman Hot Springs - Riverside</v>
          </cell>
          <cell r="D611">
            <v>8.7000000000000008E-2</v>
          </cell>
          <cell r="E611">
            <v>1.0970000000000001E-2</v>
          </cell>
        </row>
        <row r="612">
          <cell r="C612" t="str">
            <v>Gilroy - Santa Clara</v>
          </cell>
          <cell r="D612">
            <v>5.4583333333333331E-2</v>
          </cell>
          <cell r="E612">
            <v>1.2030000000000001E-2</v>
          </cell>
        </row>
        <row r="613">
          <cell r="C613" t="str">
            <v>Glassell Park - Los Angeles</v>
          </cell>
          <cell r="D613">
            <v>8.2166666666666666E-2</v>
          </cell>
          <cell r="E613">
            <v>1.1979999999999999E-2</v>
          </cell>
        </row>
        <row r="614">
          <cell r="C614" t="str">
            <v>Glen Avon - Riverside</v>
          </cell>
          <cell r="D614">
            <v>8.7000000000000008E-2</v>
          </cell>
          <cell r="E614">
            <v>1.0970000000000001E-2</v>
          </cell>
        </row>
        <row r="615">
          <cell r="C615" t="str">
            <v>Glen Ellen - Sonoma</v>
          </cell>
          <cell r="D615">
            <v>5.4333333333333324E-2</v>
          </cell>
          <cell r="E615">
            <v>1.1180000000000001E-2</v>
          </cell>
        </row>
        <row r="616">
          <cell r="C616" t="str">
            <v>Glenburn - Shasta</v>
          </cell>
          <cell r="D616">
            <v>9.0499999999999983E-2</v>
          </cell>
          <cell r="E616">
            <v>1.085E-2</v>
          </cell>
        </row>
        <row r="617">
          <cell r="C617" t="str">
            <v>Glencoe - Calaveras</v>
          </cell>
          <cell r="D617">
            <v>8.5416666666666655E-2</v>
          </cell>
          <cell r="E617">
            <v>1.1120000000000001E-2</v>
          </cell>
        </row>
        <row r="618">
          <cell r="C618" t="str">
            <v>Glendale - Los Angeles</v>
          </cell>
          <cell r="D618">
            <v>8.2166666666666666E-2</v>
          </cell>
          <cell r="E618">
            <v>1.1979999999999999E-2</v>
          </cell>
        </row>
        <row r="619">
          <cell r="C619" t="str">
            <v>Glendora - Los Angeles</v>
          </cell>
          <cell r="D619">
            <v>8.2166666666666666E-2</v>
          </cell>
          <cell r="E619">
            <v>1.1979999999999999E-2</v>
          </cell>
        </row>
        <row r="620">
          <cell r="C620" t="str">
            <v>Glenhaven - Lake</v>
          </cell>
          <cell r="D620">
            <v>9.9083333333333329E-2</v>
          </cell>
          <cell r="E620">
            <v>1.0800000000000001E-2</v>
          </cell>
        </row>
        <row r="621">
          <cell r="C621" t="str">
            <v>Glenn - Glenn</v>
          </cell>
          <cell r="D621">
            <v>0.10549999999999998</v>
          </cell>
          <cell r="E621">
            <v>1.0500000000000001E-2</v>
          </cell>
        </row>
        <row r="622">
          <cell r="C622" t="str">
            <v>Glennville - Kern</v>
          </cell>
          <cell r="D622">
            <v>0.10558333333333332</v>
          </cell>
          <cell r="E622">
            <v>1.15E-2</v>
          </cell>
        </row>
        <row r="623">
          <cell r="C623" t="str">
            <v>Gold River  - Sacramento</v>
          </cell>
          <cell r="D623">
            <v>7.2666666666666671E-2</v>
          </cell>
          <cell r="E623">
            <v>1.1169999999999999E-2</v>
          </cell>
        </row>
        <row r="624">
          <cell r="C624" t="str">
            <v>Gold Run - Placer</v>
          </cell>
          <cell r="D624">
            <v>6.2166666666666662E-2</v>
          </cell>
          <cell r="E624">
            <v>1.0869999999999999E-2</v>
          </cell>
        </row>
        <row r="625">
          <cell r="C625" t="str">
            <v>Golden Hills - Kern</v>
          </cell>
          <cell r="D625">
            <v>0.10558333333333332</v>
          </cell>
          <cell r="E625">
            <v>1.15E-2</v>
          </cell>
        </row>
        <row r="626">
          <cell r="C626" t="str">
            <v>Goleta - Santa Barbara</v>
          </cell>
          <cell r="D626">
            <v>5.8999999999999997E-2</v>
          </cell>
          <cell r="E626">
            <v>1.055E-2</v>
          </cell>
        </row>
        <row r="627">
          <cell r="C627" t="str">
            <v>Gonzales - Monterey</v>
          </cell>
          <cell r="D627">
            <v>9.1249999999999998E-2</v>
          </cell>
          <cell r="E627">
            <v>1.085E-2</v>
          </cell>
        </row>
        <row r="628">
          <cell r="C628" t="str">
            <v>Goodyears Bar - Sierra</v>
          </cell>
          <cell r="D628">
            <v>0.10116666666666665</v>
          </cell>
          <cell r="E628">
            <v>9.5199999999999989E-3</v>
          </cell>
        </row>
        <row r="629">
          <cell r="C629" t="str">
            <v>Gorman - Los Angeles</v>
          </cell>
          <cell r="D629">
            <v>8.2166666666666666E-2</v>
          </cell>
          <cell r="E629">
            <v>1.1979999999999999E-2</v>
          </cell>
        </row>
        <row r="630">
          <cell r="C630" t="str">
            <v>Goshen - Tulare</v>
          </cell>
          <cell r="D630">
            <v>0.12874999999999998</v>
          </cell>
          <cell r="E630">
            <v>1.0840000000000001E-2</v>
          </cell>
        </row>
        <row r="631">
          <cell r="C631" t="str">
            <v>Government Island - Alameda</v>
          </cell>
          <cell r="D631">
            <v>0.06</v>
          </cell>
          <cell r="E631">
            <v>1.214E-2</v>
          </cell>
        </row>
        <row r="632">
          <cell r="C632" t="str">
            <v>Graeagle - Plumas</v>
          </cell>
          <cell r="D632">
            <v>0.10208333333333332</v>
          </cell>
          <cell r="E632">
            <v>1.0369999999999999E-2</v>
          </cell>
        </row>
        <row r="633">
          <cell r="C633" t="str">
            <v>Granada Hills  - Los Angeles</v>
          </cell>
          <cell r="D633">
            <v>8.2166666666666666E-2</v>
          </cell>
          <cell r="E633">
            <v>1.1979999999999999E-2</v>
          </cell>
        </row>
        <row r="634">
          <cell r="C634" t="str">
            <v>Grand Terrace - San Bernardino</v>
          </cell>
          <cell r="D634">
            <v>8.3833333333333329E-2</v>
          </cell>
          <cell r="E634">
            <v>1.149E-2</v>
          </cell>
        </row>
        <row r="635">
          <cell r="C635" t="str">
            <v>Granite Bay - Placer</v>
          </cell>
          <cell r="D635">
            <v>6.2166666666666662E-2</v>
          </cell>
          <cell r="E635">
            <v>1.0869999999999999E-2</v>
          </cell>
        </row>
        <row r="636">
          <cell r="C636" t="str">
            <v>Grass Valley - Nevada</v>
          </cell>
          <cell r="D636">
            <v>6.4083333333333339E-2</v>
          </cell>
          <cell r="E636">
            <v>1.0529999999999999E-2</v>
          </cell>
        </row>
        <row r="637">
          <cell r="C637" t="str">
            <v>Graton - Sonoma</v>
          </cell>
          <cell r="D637">
            <v>5.4333333333333324E-2</v>
          </cell>
          <cell r="E637">
            <v>1.1180000000000001E-2</v>
          </cell>
        </row>
        <row r="638">
          <cell r="C638" t="str">
            <v>Green Valley - Los Angeles</v>
          </cell>
          <cell r="D638">
            <v>8.2166666666666666E-2</v>
          </cell>
          <cell r="E638">
            <v>1.1979999999999999E-2</v>
          </cell>
        </row>
        <row r="639">
          <cell r="C639" t="str">
            <v>Green Valley Lake - San Bernardino</v>
          </cell>
          <cell r="D639">
            <v>8.3833333333333329E-2</v>
          </cell>
          <cell r="E639">
            <v>1.149E-2</v>
          </cell>
        </row>
        <row r="640">
          <cell r="C640" t="str">
            <v>Greenacres - Kern</v>
          </cell>
          <cell r="D640">
            <v>0.10558333333333332</v>
          </cell>
          <cell r="E640">
            <v>1.15E-2</v>
          </cell>
        </row>
        <row r="641">
          <cell r="C641" t="str">
            <v>Greenbrae  - Marin</v>
          </cell>
          <cell r="D641">
            <v>4.1499999999999995E-2</v>
          </cell>
          <cell r="E641">
            <v>1.1000000000000001E-2</v>
          </cell>
        </row>
        <row r="642">
          <cell r="C642" t="str">
            <v>Greenfield - Monterey</v>
          </cell>
          <cell r="D642">
            <v>9.1249999999999998E-2</v>
          </cell>
          <cell r="E642">
            <v>1.085E-2</v>
          </cell>
        </row>
        <row r="643">
          <cell r="C643" t="str">
            <v>Greenview - Siskiyou</v>
          </cell>
          <cell r="D643">
            <v>0.11158333333333331</v>
          </cell>
          <cell r="E643">
            <v>1.0489999999999999E-2</v>
          </cell>
        </row>
        <row r="644">
          <cell r="C644" t="str">
            <v>Greenville - Plumas</v>
          </cell>
          <cell r="D644">
            <v>0.10208333333333332</v>
          </cell>
          <cell r="E644">
            <v>1.0369999999999999E-2</v>
          </cell>
        </row>
        <row r="645">
          <cell r="C645" t="str">
            <v>Greenwood - El Dorado</v>
          </cell>
          <cell r="D645">
            <v>7.0916666666666683E-2</v>
          </cell>
          <cell r="E645">
            <v>1.0709999999999999E-2</v>
          </cell>
        </row>
        <row r="646">
          <cell r="C646" t="str">
            <v>Grenada - Siskiyou</v>
          </cell>
          <cell r="D646">
            <v>0.11158333333333331</v>
          </cell>
          <cell r="E646">
            <v>1.0489999999999999E-2</v>
          </cell>
        </row>
        <row r="647">
          <cell r="C647" t="str">
            <v>Gridley - Butte</v>
          </cell>
          <cell r="D647">
            <v>8.4749999999999992E-2</v>
          </cell>
          <cell r="E647">
            <v>1.052E-2</v>
          </cell>
        </row>
        <row r="648">
          <cell r="C648" t="str">
            <v>Grimes - Colusa</v>
          </cell>
          <cell r="D648">
            <v>0.17433333333333334</v>
          </cell>
          <cell r="E648">
            <v>1.0540000000000001E-2</v>
          </cell>
        </row>
        <row r="649">
          <cell r="C649" t="str">
            <v>Grizzly Flats - El Dorado</v>
          </cell>
          <cell r="D649">
            <v>7.0916666666666683E-2</v>
          </cell>
          <cell r="E649">
            <v>1.0709999999999999E-2</v>
          </cell>
        </row>
        <row r="650">
          <cell r="C650" t="str">
            <v>Groveland - Tuolumne</v>
          </cell>
          <cell r="D650">
            <v>8.0750000000000016E-2</v>
          </cell>
          <cell r="E650">
            <v>1.061E-2</v>
          </cell>
        </row>
        <row r="651">
          <cell r="C651" t="str">
            <v>Grover Beach - San Luis Obispo</v>
          </cell>
          <cell r="D651">
            <v>5.5916666666666656E-2</v>
          </cell>
          <cell r="E651">
            <v>1.0189999999999999E-2</v>
          </cell>
        </row>
        <row r="652">
          <cell r="C652" t="str">
            <v>Guadalupe - Santa Barbara</v>
          </cell>
          <cell r="D652">
            <v>5.8999999999999997E-2</v>
          </cell>
          <cell r="E652">
            <v>1.055E-2</v>
          </cell>
        </row>
        <row r="653">
          <cell r="C653" t="str">
            <v>Gualala - Mendocino</v>
          </cell>
          <cell r="D653">
            <v>6.5750000000000003E-2</v>
          </cell>
          <cell r="E653">
            <v>1.123E-2</v>
          </cell>
        </row>
        <row r="654">
          <cell r="C654" t="str">
            <v>Guasti - San Bernardino</v>
          </cell>
          <cell r="D654">
            <v>8.3833333333333329E-2</v>
          </cell>
          <cell r="E654">
            <v>1.149E-2</v>
          </cell>
        </row>
        <row r="655">
          <cell r="C655" t="str">
            <v>Guatay - San Diego</v>
          </cell>
          <cell r="D655">
            <v>6.2E-2</v>
          </cell>
          <cell r="E655">
            <v>1.1080000000000001E-2</v>
          </cell>
        </row>
        <row r="656">
          <cell r="C656" t="str">
            <v>Guerneville - Sonoma</v>
          </cell>
          <cell r="D656">
            <v>5.4333333333333324E-2</v>
          </cell>
          <cell r="E656">
            <v>1.1180000000000001E-2</v>
          </cell>
        </row>
        <row r="657">
          <cell r="C657" t="str">
            <v>Guinda - Yolo</v>
          </cell>
          <cell r="D657">
            <v>7.9750000000000001E-2</v>
          </cell>
          <cell r="E657">
            <v>1.0620000000000001E-2</v>
          </cell>
        </row>
        <row r="658">
          <cell r="C658" t="str">
            <v>Gustine - Merced</v>
          </cell>
          <cell r="D658">
            <v>0.13066666666666668</v>
          </cell>
          <cell r="E658">
            <v>1.099E-2</v>
          </cell>
        </row>
        <row r="659">
          <cell r="C659" t="str">
            <v>Hacienda Heights - Los Angeles</v>
          </cell>
          <cell r="D659">
            <v>8.2166666666666666E-2</v>
          </cell>
          <cell r="E659">
            <v>1.1979999999999999E-2</v>
          </cell>
        </row>
        <row r="660">
          <cell r="C660" t="str">
            <v>Halcyon - San Luis Obispo</v>
          </cell>
          <cell r="D660">
            <v>5.5916666666666656E-2</v>
          </cell>
          <cell r="E660">
            <v>1.0189999999999999E-2</v>
          </cell>
        </row>
        <row r="661">
          <cell r="C661" t="str">
            <v>Half Moon Bay - San Mateo</v>
          </cell>
          <cell r="D661">
            <v>4.3500000000000004E-2</v>
          </cell>
          <cell r="E661">
            <v>1.099E-2</v>
          </cell>
        </row>
        <row r="662">
          <cell r="C662" t="str">
            <v>Hamilton A.F.B.  - Marin</v>
          </cell>
          <cell r="D662">
            <v>4.1499999999999995E-2</v>
          </cell>
          <cell r="E662">
            <v>1.1000000000000001E-2</v>
          </cell>
        </row>
        <row r="663">
          <cell r="C663" t="str">
            <v>Hamilton City - Glenn</v>
          </cell>
          <cell r="D663">
            <v>0.10549999999999998</v>
          </cell>
          <cell r="E663">
            <v>1.0500000000000001E-2</v>
          </cell>
        </row>
        <row r="664">
          <cell r="C664" t="str">
            <v>Hanford - Kings</v>
          </cell>
          <cell r="D664">
            <v>0.12166666666666666</v>
          </cell>
          <cell r="E664">
            <v>1.026E-2</v>
          </cell>
        </row>
        <row r="665">
          <cell r="C665" t="str">
            <v>Happy Camp - Siskiyou</v>
          </cell>
          <cell r="D665">
            <v>0.11158333333333331</v>
          </cell>
          <cell r="E665">
            <v>1.0489999999999999E-2</v>
          </cell>
        </row>
        <row r="666">
          <cell r="C666" t="str">
            <v>Harbor City  - Los Angeles</v>
          </cell>
          <cell r="D666">
            <v>8.2166666666666666E-2</v>
          </cell>
          <cell r="E666">
            <v>1.1979999999999999E-2</v>
          </cell>
        </row>
        <row r="667">
          <cell r="C667" t="str">
            <v>Harmony - San Luis Obispo</v>
          </cell>
          <cell r="D667">
            <v>5.5916666666666656E-2</v>
          </cell>
          <cell r="E667">
            <v>1.0189999999999999E-2</v>
          </cell>
        </row>
        <row r="668">
          <cell r="C668" t="str">
            <v>Harris - Humboldt</v>
          </cell>
          <cell r="D668">
            <v>7.3666666666666672E-2</v>
          </cell>
          <cell r="E668">
            <v>1.043E-2</v>
          </cell>
        </row>
        <row r="669">
          <cell r="C669" t="str">
            <v>Hat Creek - Shasta</v>
          </cell>
          <cell r="D669">
            <v>9.0499999999999983E-2</v>
          </cell>
          <cell r="E669">
            <v>1.085E-2</v>
          </cell>
        </row>
        <row r="670">
          <cell r="C670" t="str">
            <v>Hathaway Pines - Calaveras</v>
          </cell>
          <cell r="D670">
            <v>8.5416666666666655E-2</v>
          </cell>
          <cell r="E670">
            <v>1.1120000000000001E-2</v>
          </cell>
        </row>
        <row r="671">
          <cell r="C671" t="str">
            <v>Havasu Lake - San Bernardino</v>
          </cell>
          <cell r="D671">
            <v>8.3833333333333329E-2</v>
          </cell>
          <cell r="E671">
            <v>1.149E-2</v>
          </cell>
        </row>
        <row r="672">
          <cell r="C672" t="str">
            <v>Hawaiian Gardens - Los Angeles</v>
          </cell>
          <cell r="D672">
            <v>8.2166666666666666E-2</v>
          </cell>
          <cell r="E672">
            <v>1.1979999999999999E-2</v>
          </cell>
        </row>
        <row r="673">
          <cell r="C673" t="str">
            <v>Hawthorne - Los Angeles</v>
          </cell>
          <cell r="D673">
            <v>8.2166666666666666E-2</v>
          </cell>
          <cell r="E673">
            <v>1.1979999999999999E-2</v>
          </cell>
        </row>
        <row r="674">
          <cell r="C674" t="str">
            <v>Hayfork - Trinity</v>
          </cell>
          <cell r="D674">
            <v>0.10183333333333332</v>
          </cell>
          <cell r="E674">
            <v>1.022E-2</v>
          </cell>
        </row>
        <row r="675">
          <cell r="C675" t="str">
            <v>Hayward - Alameda</v>
          </cell>
          <cell r="D675">
            <v>0.06</v>
          </cell>
          <cell r="E675">
            <v>1.214E-2</v>
          </cell>
        </row>
        <row r="676">
          <cell r="C676" t="str">
            <v>Hazard - Los Angeles</v>
          </cell>
          <cell r="D676">
            <v>8.2166666666666666E-2</v>
          </cell>
          <cell r="E676">
            <v>1.1979999999999999E-2</v>
          </cell>
        </row>
        <row r="677">
          <cell r="C677" t="str">
            <v>Healdsburg - Sonoma</v>
          </cell>
          <cell r="D677">
            <v>5.4333333333333324E-2</v>
          </cell>
          <cell r="E677">
            <v>1.1180000000000001E-2</v>
          </cell>
        </row>
        <row r="678">
          <cell r="C678" t="str">
            <v>Heber - Imperial</v>
          </cell>
          <cell r="D678">
            <v>0.23408333333333331</v>
          </cell>
          <cell r="E678">
            <v>1.1299999999999999E-2</v>
          </cell>
        </row>
        <row r="679">
          <cell r="C679" t="str">
            <v>Helena - Trinity</v>
          </cell>
          <cell r="D679">
            <v>0.10183333333333332</v>
          </cell>
          <cell r="E679">
            <v>1.022E-2</v>
          </cell>
        </row>
        <row r="680">
          <cell r="C680" t="str">
            <v>Helendale - San Bernardino</v>
          </cell>
          <cell r="D680">
            <v>8.3833333333333329E-2</v>
          </cell>
          <cell r="E680">
            <v>1.149E-2</v>
          </cell>
        </row>
        <row r="681">
          <cell r="C681" t="str">
            <v>Helm - Fresno</v>
          </cell>
          <cell r="D681">
            <v>0.11366666666666669</v>
          </cell>
          <cell r="E681">
            <v>1.166E-2</v>
          </cell>
        </row>
        <row r="682">
          <cell r="C682" t="str">
            <v>Hemet - Riverside</v>
          </cell>
          <cell r="D682">
            <v>8.7000000000000008E-2</v>
          </cell>
          <cell r="E682">
            <v>1.0970000000000001E-2</v>
          </cell>
        </row>
        <row r="683">
          <cell r="C683" t="str">
            <v>Herald - Sacramento</v>
          </cell>
          <cell r="D683">
            <v>7.2666666666666671E-2</v>
          </cell>
          <cell r="E683">
            <v>1.1169999999999999E-2</v>
          </cell>
        </row>
        <row r="684">
          <cell r="C684" t="str">
            <v>Hercules - Contra Costa</v>
          </cell>
          <cell r="D684">
            <v>6.1416666666666668E-2</v>
          </cell>
          <cell r="E684">
            <v>1.1379999999999999E-2</v>
          </cell>
        </row>
        <row r="685">
          <cell r="C685" t="str">
            <v>Herlong - Lassen</v>
          </cell>
          <cell r="D685">
            <v>9.4750000000000001E-2</v>
          </cell>
          <cell r="E685">
            <v>1.027E-2</v>
          </cell>
        </row>
        <row r="686">
          <cell r="C686" t="str">
            <v>Hermosa Beach - Los Angeles</v>
          </cell>
          <cell r="D686">
            <v>8.2166666666666666E-2</v>
          </cell>
          <cell r="E686">
            <v>1.1979999999999999E-2</v>
          </cell>
        </row>
        <row r="687">
          <cell r="C687" t="str">
            <v>Herndon - Fresno</v>
          </cell>
          <cell r="D687">
            <v>0.11366666666666669</v>
          </cell>
          <cell r="E687">
            <v>1.166E-2</v>
          </cell>
        </row>
        <row r="688">
          <cell r="C688" t="str">
            <v>Hesperia - San Bernardino</v>
          </cell>
          <cell r="D688">
            <v>8.3833333333333329E-2</v>
          </cell>
          <cell r="E688">
            <v>1.149E-2</v>
          </cell>
        </row>
        <row r="689">
          <cell r="C689" t="str">
            <v>Heyer - Alameda</v>
          </cell>
          <cell r="D689">
            <v>0.06</v>
          </cell>
          <cell r="E689">
            <v>1.214E-2</v>
          </cell>
        </row>
        <row r="690">
          <cell r="C690" t="str">
            <v>Hickman - Stanislaus</v>
          </cell>
          <cell r="D690">
            <v>0.114</v>
          </cell>
          <cell r="E690">
            <v>1.1180000000000001E-2</v>
          </cell>
        </row>
        <row r="691">
          <cell r="C691" t="str">
            <v>Hidden Hills - Los Angeles</v>
          </cell>
          <cell r="D691">
            <v>8.2166666666666666E-2</v>
          </cell>
          <cell r="E691">
            <v>1.1979999999999999E-2</v>
          </cell>
        </row>
        <row r="692">
          <cell r="C692" t="str">
            <v>Highgrove - Riverside</v>
          </cell>
          <cell r="D692">
            <v>8.7000000000000008E-2</v>
          </cell>
          <cell r="E692">
            <v>1.0970000000000001E-2</v>
          </cell>
        </row>
        <row r="693">
          <cell r="C693" t="str">
            <v>Highland - San Bernardino</v>
          </cell>
          <cell r="D693">
            <v>8.3833333333333329E-2</v>
          </cell>
          <cell r="E693">
            <v>1.149E-2</v>
          </cell>
        </row>
        <row r="694">
          <cell r="C694" t="str">
            <v>Highland Park  - Los Angeles</v>
          </cell>
          <cell r="D694">
            <v>8.2166666666666666E-2</v>
          </cell>
          <cell r="E694">
            <v>1.1979999999999999E-2</v>
          </cell>
        </row>
        <row r="695">
          <cell r="C695" t="str">
            <v>Highway City  - Fresno</v>
          </cell>
          <cell r="D695">
            <v>0.11366666666666669</v>
          </cell>
          <cell r="E695">
            <v>1.166E-2</v>
          </cell>
        </row>
        <row r="696">
          <cell r="C696" t="str">
            <v>Hillcrest  - San Diego</v>
          </cell>
          <cell r="D696">
            <v>6.2E-2</v>
          </cell>
          <cell r="E696">
            <v>1.1080000000000001E-2</v>
          </cell>
        </row>
        <row r="697">
          <cell r="C697" t="str">
            <v>Hillsborough - San Mateo</v>
          </cell>
          <cell r="D697">
            <v>4.3500000000000004E-2</v>
          </cell>
          <cell r="E697">
            <v>1.099E-2</v>
          </cell>
        </row>
        <row r="698">
          <cell r="C698" t="str">
            <v>Hillsdale  - San Mateo</v>
          </cell>
          <cell r="D698">
            <v>4.3500000000000004E-2</v>
          </cell>
          <cell r="E698">
            <v>1.099E-2</v>
          </cell>
        </row>
        <row r="699">
          <cell r="C699" t="str">
            <v>Hilmar - Merced</v>
          </cell>
          <cell r="D699">
            <v>0.13066666666666668</v>
          </cell>
          <cell r="E699">
            <v>1.099E-2</v>
          </cell>
        </row>
        <row r="700">
          <cell r="C700" t="str">
            <v>Hilt - Siskiyou</v>
          </cell>
          <cell r="D700">
            <v>0.11158333333333331</v>
          </cell>
          <cell r="E700">
            <v>1.0489999999999999E-2</v>
          </cell>
        </row>
        <row r="701">
          <cell r="C701" t="str">
            <v>Hinkley - San Bernardino</v>
          </cell>
          <cell r="D701">
            <v>8.3833333333333329E-2</v>
          </cell>
          <cell r="E701">
            <v>1.149E-2</v>
          </cell>
        </row>
        <row r="702">
          <cell r="C702" t="str">
            <v>Hobergs - Lake</v>
          </cell>
          <cell r="D702">
            <v>9.9083333333333329E-2</v>
          </cell>
          <cell r="E702">
            <v>1.0800000000000001E-2</v>
          </cell>
        </row>
        <row r="703">
          <cell r="C703" t="str">
            <v>Hollister - San Benito</v>
          </cell>
          <cell r="D703">
            <v>9.3250000000000013E-2</v>
          </cell>
          <cell r="E703">
            <v>1.1550000000000001E-2</v>
          </cell>
        </row>
        <row r="704">
          <cell r="C704" t="str">
            <v>Hollywood  - Los Angeles</v>
          </cell>
          <cell r="D704">
            <v>8.2166666666666666E-2</v>
          </cell>
          <cell r="E704">
            <v>1.1979999999999999E-2</v>
          </cell>
        </row>
        <row r="705">
          <cell r="C705" t="str">
            <v>Holmes - Humboldt</v>
          </cell>
          <cell r="D705">
            <v>7.3666666666666672E-2</v>
          </cell>
          <cell r="E705">
            <v>1.043E-2</v>
          </cell>
        </row>
        <row r="706">
          <cell r="C706" t="str">
            <v>Holt - San Joaquin</v>
          </cell>
          <cell r="D706">
            <v>0.11141666666666668</v>
          </cell>
          <cell r="E706">
            <v>1.107E-2</v>
          </cell>
        </row>
        <row r="707">
          <cell r="C707" t="str">
            <v>Holtville - Imperial</v>
          </cell>
          <cell r="D707">
            <v>0.23408333333333331</v>
          </cell>
          <cell r="E707">
            <v>1.1299999999999999E-2</v>
          </cell>
        </row>
        <row r="708">
          <cell r="C708" t="str">
            <v>Holy City - Santa Clara</v>
          </cell>
          <cell r="D708">
            <v>5.4583333333333331E-2</v>
          </cell>
          <cell r="E708">
            <v>1.2030000000000001E-2</v>
          </cell>
        </row>
        <row r="709">
          <cell r="C709" t="str">
            <v>Homeland - Riverside</v>
          </cell>
          <cell r="D709">
            <v>8.7000000000000008E-2</v>
          </cell>
          <cell r="E709">
            <v>1.0970000000000001E-2</v>
          </cell>
        </row>
        <row r="710">
          <cell r="C710" t="str">
            <v>Homestead - Kern</v>
          </cell>
          <cell r="D710">
            <v>0.10558333333333332</v>
          </cell>
          <cell r="E710">
            <v>1.15E-2</v>
          </cell>
        </row>
        <row r="711">
          <cell r="C711" t="str">
            <v>Homestead - Riverside</v>
          </cell>
          <cell r="D711">
            <v>8.7000000000000008E-2</v>
          </cell>
          <cell r="E711">
            <v>1.0970000000000001E-2</v>
          </cell>
        </row>
        <row r="712">
          <cell r="C712" t="str">
            <v>Homewood - Placer</v>
          </cell>
          <cell r="D712">
            <v>6.2166666666666662E-2</v>
          </cell>
          <cell r="E712">
            <v>1.0869999999999999E-2</v>
          </cell>
        </row>
        <row r="713">
          <cell r="C713" t="str">
            <v>Honby - Los Angeles</v>
          </cell>
          <cell r="D713">
            <v>8.2166666666666666E-2</v>
          </cell>
          <cell r="E713">
            <v>1.1979999999999999E-2</v>
          </cell>
        </row>
        <row r="714">
          <cell r="C714" t="str">
            <v>Honeydew - Humboldt</v>
          </cell>
          <cell r="D714">
            <v>7.3666666666666672E-2</v>
          </cell>
          <cell r="E714">
            <v>1.043E-2</v>
          </cell>
        </row>
        <row r="715">
          <cell r="C715" t="str">
            <v>Hood - Sacramento</v>
          </cell>
          <cell r="D715">
            <v>7.2666666666666671E-2</v>
          </cell>
          <cell r="E715">
            <v>1.1169999999999999E-2</v>
          </cell>
        </row>
        <row r="716">
          <cell r="C716" t="str">
            <v>Hoopa - Humboldt</v>
          </cell>
          <cell r="D716">
            <v>7.3666666666666672E-2</v>
          </cell>
          <cell r="E716">
            <v>1.043E-2</v>
          </cell>
        </row>
        <row r="717">
          <cell r="C717" t="str">
            <v>Hope Valley  - Alpine</v>
          </cell>
          <cell r="D717">
            <v>0.10216666666666667</v>
          </cell>
          <cell r="E717">
            <v>0.01</v>
          </cell>
        </row>
        <row r="718">
          <cell r="C718" t="str">
            <v>Hopland - Mendocino</v>
          </cell>
          <cell r="D718">
            <v>6.5750000000000003E-2</v>
          </cell>
          <cell r="E718">
            <v>1.123E-2</v>
          </cell>
        </row>
        <row r="719">
          <cell r="C719" t="str">
            <v>Hornbrook - Siskiyou</v>
          </cell>
          <cell r="D719">
            <v>0.11158333333333331</v>
          </cell>
          <cell r="E719">
            <v>1.0489999999999999E-2</v>
          </cell>
        </row>
        <row r="720">
          <cell r="C720" t="str">
            <v>Hornitos - Mariposa</v>
          </cell>
          <cell r="D720">
            <v>7.5833333333333322E-2</v>
          </cell>
          <cell r="E720">
            <v>1.0059999999999999E-2</v>
          </cell>
        </row>
        <row r="721">
          <cell r="C721" t="str">
            <v>Horse Creek - Siskiyou</v>
          </cell>
          <cell r="D721">
            <v>0.11158333333333331</v>
          </cell>
          <cell r="E721">
            <v>1.0489999999999999E-2</v>
          </cell>
        </row>
        <row r="722">
          <cell r="C722" t="str">
            <v>Horse Lake - Lassen</v>
          </cell>
          <cell r="D722">
            <v>9.4750000000000001E-2</v>
          </cell>
          <cell r="E722">
            <v>1.027E-2</v>
          </cell>
        </row>
        <row r="723">
          <cell r="C723" t="str">
            <v>Hughson - Stanislaus</v>
          </cell>
          <cell r="D723">
            <v>0.114</v>
          </cell>
          <cell r="E723">
            <v>1.1180000000000001E-2</v>
          </cell>
        </row>
        <row r="724">
          <cell r="C724" t="str">
            <v>Hume - Fresno</v>
          </cell>
          <cell r="D724">
            <v>0.11366666666666669</v>
          </cell>
          <cell r="E724">
            <v>1.166E-2</v>
          </cell>
        </row>
        <row r="725">
          <cell r="C725" t="str">
            <v>Huntington - Orange</v>
          </cell>
          <cell r="D725">
            <v>5.2749999999999991E-2</v>
          </cell>
          <cell r="E725">
            <v>1.061E-2</v>
          </cell>
        </row>
        <row r="726">
          <cell r="C726" t="str">
            <v>Huntington Beach - Orange</v>
          </cell>
          <cell r="D726">
            <v>5.2749999999999991E-2</v>
          </cell>
          <cell r="E726">
            <v>1.061E-2</v>
          </cell>
        </row>
        <row r="727">
          <cell r="C727" t="str">
            <v>Huntington Lake - Fresno</v>
          </cell>
          <cell r="D727">
            <v>0.11366666666666669</v>
          </cell>
          <cell r="E727">
            <v>1.166E-2</v>
          </cell>
        </row>
        <row r="728">
          <cell r="C728" t="str">
            <v>Huntington Park - Los Angeles</v>
          </cell>
          <cell r="D728">
            <v>8.2166666666666666E-2</v>
          </cell>
          <cell r="E728">
            <v>1.1979999999999999E-2</v>
          </cell>
        </row>
        <row r="729">
          <cell r="C729" t="str">
            <v>Huron - Fresno</v>
          </cell>
          <cell r="D729">
            <v>0.11366666666666669</v>
          </cell>
          <cell r="E729">
            <v>1.166E-2</v>
          </cell>
        </row>
        <row r="730">
          <cell r="C730" t="str">
            <v>Hyampom - Trinity</v>
          </cell>
          <cell r="D730">
            <v>0.10183333333333332</v>
          </cell>
          <cell r="E730">
            <v>1.022E-2</v>
          </cell>
        </row>
        <row r="731">
          <cell r="C731" t="str">
            <v>Hyde Park  - Los Angeles</v>
          </cell>
          <cell r="D731">
            <v>8.2166666666666666E-2</v>
          </cell>
          <cell r="E731">
            <v>1.1979999999999999E-2</v>
          </cell>
        </row>
        <row r="732">
          <cell r="C732" t="str">
            <v>Hydesville - Humboldt</v>
          </cell>
          <cell r="D732">
            <v>7.3666666666666672E-2</v>
          </cell>
          <cell r="E732">
            <v>1.043E-2</v>
          </cell>
        </row>
        <row r="733">
          <cell r="C733" t="str">
            <v>Idria - San Benito</v>
          </cell>
          <cell r="D733">
            <v>9.3250000000000013E-2</v>
          </cell>
          <cell r="E733">
            <v>1.1550000000000001E-2</v>
          </cell>
        </row>
        <row r="734">
          <cell r="C734" t="str">
            <v>Idyllwild - Riverside</v>
          </cell>
          <cell r="D734">
            <v>8.7000000000000008E-2</v>
          </cell>
          <cell r="E734">
            <v>1.0970000000000001E-2</v>
          </cell>
        </row>
        <row r="735">
          <cell r="C735" t="str">
            <v>Ignacio  - Marin</v>
          </cell>
          <cell r="D735">
            <v>4.1499999999999995E-2</v>
          </cell>
          <cell r="E735">
            <v>1.1000000000000001E-2</v>
          </cell>
        </row>
        <row r="736">
          <cell r="C736" t="str">
            <v>Igo - Shasta</v>
          </cell>
          <cell r="D736">
            <v>9.0499999999999983E-2</v>
          </cell>
          <cell r="E736">
            <v>1.085E-2</v>
          </cell>
        </row>
        <row r="737">
          <cell r="C737" t="str">
            <v>Imola  - Napa</v>
          </cell>
          <cell r="D737">
            <v>5.1833333333333328E-2</v>
          </cell>
          <cell r="E737">
            <v>1.0900000000000002E-2</v>
          </cell>
        </row>
        <row r="738">
          <cell r="C738" t="str">
            <v>Imperial - Imperial</v>
          </cell>
          <cell r="D738">
            <v>0.23408333333333331</v>
          </cell>
          <cell r="E738">
            <v>1.1299999999999999E-2</v>
          </cell>
        </row>
        <row r="739">
          <cell r="C739" t="str">
            <v>Imperial Beach - San Diego</v>
          </cell>
          <cell r="D739">
            <v>6.2E-2</v>
          </cell>
          <cell r="E739">
            <v>1.1080000000000001E-2</v>
          </cell>
        </row>
        <row r="740">
          <cell r="C740" t="str">
            <v>Independence - Inyo</v>
          </cell>
          <cell r="D740">
            <v>7.1833333333333332E-2</v>
          </cell>
          <cell r="E740">
            <v>1.056E-2</v>
          </cell>
        </row>
        <row r="741">
          <cell r="C741" t="str">
            <v>Indian Wells - Riverside</v>
          </cell>
          <cell r="D741">
            <v>8.7000000000000008E-2</v>
          </cell>
          <cell r="E741">
            <v>1.0970000000000001E-2</v>
          </cell>
        </row>
        <row r="742">
          <cell r="C742" t="str">
            <v>Indio - Riverside</v>
          </cell>
          <cell r="D742">
            <v>8.7000000000000008E-2</v>
          </cell>
          <cell r="E742">
            <v>1.0970000000000001E-2</v>
          </cell>
        </row>
        <row r="743">
          <cell r="C743" t="str">
            <v>Industry - Los Angeles</v>
          </cell>
          <cell r="D743">
            <v>8.2166666666666666E-2</v>
          </cell>
          <cell r="E743">
            <v>1.1979999999999999E-2</v>
          </cell>
        </row>
        <row r="744">
          <cell r="C744" t="str">
            <v>Inglewood - Los Angeles</v>
          </cell>
          <cell r="D744">
            <v>8.2166666666666666E-2</v>
          </cell>
          <cell r="E744">
            <v>1.1979999999999999E-2</v>
          </cell>
        </row>
        <row r="745">
          <cell r="C745" t="str">
            <v>Inverness - Marin</v>
          </cell>
          <cell r="D745">
            <v>4.1499999999999995E-2</v>
          </cell>
          <cell r="E745">
            <v>1.1000000000000001E-2</v>
          </cell>
        </row>
        <row r="746">
          <cell r="C746" t="str">
            <v>Inyo - Inyo</v>
          </cell>
          <cell r="D746">
            <v>7.1833333333333332E-2</v>
          </cell>
          <cell r="E746">
            <v>1.056E-2</v>
          </cell>
        </row>
        <row r="747">
          <cell r="C747" t="str">
            <v>Inyokern - Kern</v>
          </cell>
          <cell r="D747">
            <v>0.10558333333333332</v>
          </cell>
          <cell r="E747">
            <v>1.15E-2</v>
          </cell>
        </row>
        <row r="748">
          <cell r="C748" t="str">
            <v>Ione - Amador</v>
          </cell>
          <cell r="D748">
            <v>8.1583333333333327E-2</v>
          </cell>
          <cell r="E748">
            <v>1.0169999999999998E-2</v>
          </cell>
        </row>
        <row r="749">
          <cell r="C749" t="str">
            <v>Iowa Hill - Placer</v>
          </cell>
          <cell r="D749">
            <v>6.2166666666666662E-2</v>
          </cell>
          <cell r="E749">
            <v>1.0869999999999999E-2</v>
          </cell>
        </row>
        <row r="750">
          <cell r="C750" t="str">
            <v>Irvine - Orange</v>
          </cell>
          <cell r="D750">
            <v>5.2749999999999991E-2</v>
          </cell>
          <cell r="E750">
            <v>1.061E-2</v>
          </cell>
        </row>
        <row r="751">
          <cell r="C751" t="str">
            <v>Irwindale - Los Angeles</v>
          </cell>
          <cell r="D751">
            <v>8.2166666666666666E-2</v>
          </cell>
          <cell r="E751">
            <v>1.1979999999999999E-2</v>
          </cell>
        </row>
        <row r="752">
          <cell r="C752" t="str">
            <v>Isla Vista - Santa Barbara</v>
          </cell>
          <cell r="D752">
            <v>5.8999999999999997E-2</v>
          </cell>
          <cell r="E752">
            <v>1.055E-2</v>
          </cell>
        </row>
        <row r="753">
          <cell r="C753" t="str">
            <v>Island Mountain - Trinity</v>
          </cell>
          <cell r="D753">
            <v>0.10183333333333332</v>
          </cell>
          <cell r="E753">
            <v>1.022E-2</v>
          </cell>
        </row>
        <row r="754">
          <cell r="C754" t="str">
            <v>Isleton - Sacramento</v>
          </cell>
          <cell r="D754">
            <v>7.2666666666666671E-2</v>
          </cell>
          <cell r="E754">
            <v>1.1169999999999999E-2</v>
          </cell>
        </row>
        <row r="755">
          <cell r="C755" t="str">
            <v>Ivanhoe - Tulare</v>
          </cell>
          <cell r="D755">
            <v>0.12874999999999998</v>
          </cell>
          <cell r="E755">
            <v>1.0840000000000001E-2</v>
          </cell>
        </row>
        <row r="756">
          <cell r="C756" t="str">
            <v>Ivanpah - San Bernardino</v>
          </cell>
          <cell r="D756">
            <v>8.3833333333333329E-2</v>
          </cell>
          <cell r="E756">
            <v>1.149E-2</v>
          </cell>
        </row>
        <row r="757">
          <cell r="C757" t="str">
            <v>Jackson - Amador</v>
          </cell>
          <cell r="D757">
            <v>8.1583333333333327E-2</v>
          </cell>
          <cell r="E757">
            <v>1.0169999999999998E-2</v>
          </cell>
        </row>
        <row r="758">
          <cell r="C758" t="str">
            <v>Jacumba - San Diego</v>
          </cell>
          <cell r="D758">
            <v>6.2E-2</v>
          </cell>
          <cell r="E758">
            <v>1.1080000000000001E-2</v>
          </cell>
        </row>
        <row r="759">
          <cell r="C759" t="str">
            <v>Jamacha - San Diego</v>
          </cell>
          <cell r="D759">
            <v>6.2E-2</v>
          </cell>
          <cell r="E759">
            <v>1.1080000000000001E-2</v>
          </cell>
        </row>
        <row r="760">
          <cell r="C760" t="str">
            <v>Jamestown - Tuolumne</v>
          </cell>
          <cell r="D760">
            <v>8.0750000000000016E-2</v>
          </cell>
          <cell r="E760">
            <v>1.061E-2</v>
          </cell>
        </row>
        <row r="761">
          <cell r="C761" t="str">
            <v>Jamul - San Diego</v>
          </cell>
          <cell r="D761">
            <v>6.2E-2</v>
          </cell>
          <cell r="E761">
            <v>1.1080000000000001E-2</v>
          </cell>
        </row>
        <row r="762">
          <cell r="C762" t="str">
            <v>Janesville - Lassen</v>
          </cell>
          <cell r="D762">
            <v>9.4750000000000001E-2</v>
          </cell>
          <cell r="E762">
            <v>1.027E-2</v>
          </cell>
        </row>
        <row r="763">
          <cell r="C763" t="str">
            <v>Jenner - Sonoma</v>
          </cell>
          <cell r="D763">
            <v>5.4333333333333324E-2</v>
          </cell>
          <cell r="E763">
            <v>1.1180000000000001E-2</v>
          </cell>
        </row>
        <row r="764">
          <cell r="C764" t="str">
            <v>Johannesburg - Kern</v>
          </cell>
          <cell r="D764">
            <v>0.10558333333333332</v>
          </cell>
          <cell r="E764">
            <v>1.15E-2</v>
          </cell>
        </row>
        <row r="765">
          <cell r="C765" t="str">
            <v>Johnsondale - Tulare</v>
          </cell>
          <cell r="D765">
            <v>0.12874999999999998</v>
          </cell>
          <cell r="E765">
            <v>1.0840000000000001E-2</v>
          </cell>
        </row>
        <row r="766">
          <cell r="C766" t="str">
            <v>Johnstonville - Lassen</v>
          </cell>
          <cell r="D766">
            <v>9.4750000000000001E-2</v>
          </cell>
          <cell r="E766">
            <v>1.027E-2</v>
          </cell>
        </row>
        <row r="767">
          <cell r="C767" t="str">
            <v>Johnstown - San Diego</v>
          </cell>
          <cell r="D767">
            <v>6.2E-2</v>
          </cell>
          <cell r="E767">
            <v>1.1080000000000001E-2</v>
          </cell>
        </row>
        <row r="768">
          <cell r="C768" t="str">
            <v>Jolon - Monterey</v>
          </cell>
          <cell r="D768">
            <v>9.1249999999999998E-2</v>
          </cell>
          <cell r="E768">
            <v>1.085E-2</v>
          </cell>
        </row>
        <row r="769">
          <cell r="C769" t="str">
            <v>Joshua Tree - San Bernardino</v>
          </cell>
          <cell r="D769">
            <v>8.3833333333333329E-2</v>
          </cell>
          <cell r="E769">
            <v>1.149E-2</v>
          </cell>
        </row>
        <row r="770">
          <cell r="C770" t="str">
            <v>Julian - San Diego</v>
          </cell>
          <cell r="D770">
            <v>6.2E-2</v>
          </cell>
          <cell r="E770">
            <v>1.1080000000000001E-2</v>
          </cell>
        </row>
        <row r="771">
          <cell r="C771" t="str">
            <v>Junction City - Trinity</v>
          </cell>
          <cell r="D771">
            <v>0.10183333333333332</v>
          </cell>
          <cell r="E771">
            <v>1.022E-2</v>
          </cell>
        </row>
        <row r="772">
          <cell r="C772" t="str">
            <v>June Lake - Mono</v>
          </cell>
          <cell r="D772">
            <v>7.3249999999999996E-2</v>
          </cell>
          <cell r="E772">
            <v>1.1240000000000002E-2</v>
          </cell>
        </row>
        <row r="773">
          <cell r="C773" t="str">
            <v>Juniper - Lassen</v>
          </cell>
          <cell r="D773">
            <v>9.4750000000000001E-2</v>
          </cell>
          <cell r="E773">
            <v>1.027E-2</v>
          </cell>
        </row>
        <row r="774">
          <cell r="C774" t="str">
            <v>Kagel Canyon - Los Angeles</v>
          </cell>
          <cell r="D774">
            <v>8.2166666666666666E-2</v>
          </cell>
          <cell r="E774">
            <v>1.1979999999999999E-2</v>
          </cell>
        </row>
        <row r="775">
          <cell r="C775" t="str">
            <v>Kaweah - Tulare</v>
          </cell>
          <cell r="D775">
            <v>0.12874999999999998</v>
          </cell>
          <cell r="E775">
            <v>1.0840000000000001E-2</v>
          </cell>
        </row>
        <row r="776">
          <cell r="C776" t="str">
            <v>Keddie - Plumas</v>
          </cell>
          <cell r="D776">
            <v>0.10208333333333332</v>
          </cell>
          <cell r="E776">
            <v>1.0369999999999999E-2</v>
          </cell>
        </row>
        <row r="777">
          <cell r="C777" t="str">
            <v>Keeler - Inyo</v>
          </cell>
          <cell r="D777">
            <v>7.1833333333333332E-2</v>
          </cell>
          <cell r="E777">
            <v>1.056E-2</v>
          </cell>
        </row>
        <row r="778">
          <cell r="C778" t="str">
            <v>Keene - Kern</v>
          </cell>
          <cell r="D778">
            <v>0.10558333333333332</v>
          </cell>
          <cell r="E778">
            <v>1.15E-2</v>
          </cell>
        </row>
        <row r="779">
          <cell r="C779" t="str">
            <v>Kelsey - El Dorado</v>
          </cell>
          <cell r="D779">
            <v>7.0916666666666683E-2</v>
          </cell>
          <cell r="E779">
            <v>1.0709999999999999E-2</v>
          </cell>
        </row>
        <row r="780">
          <cell r="C780" t="str">
            <v>Kelseyville - Lake</v>
          </cell>
          <cell r="D780">
            <v>9.9083333333333329E-2</v>
          </cell>
          <cell r="E780">
            <v>1.0800000000000001E-2</v>
          </cell>
        </row>
        <row r="781">
          <cell r="C781" t="str">
            <v>Kelso - San Bernardino</v>
          </cell>
          <cell r="D781">
            <v>8.3833333333333329E-2</v>
          </cell>
          <cell r="E781">
            <v>1.149E-2</v>
          </cell>
        </row>
        <row r="782">
          <cell r="C782" t="str">
            <v>Kensington - Contra Costa</v>
          </cell>
          <cell r="D782">
            <v>6.1416666666666668E-2</v>
          </cell>
          <cell r="E782">
            <v>1.1379999999999999E-2</v>
          </cell>
        </row>
        <row r="783">
          <cell r="C783" t="str">
            <v>Kentfield - Marin</v>
          </cell>
          <cell r="D783">
            <v>4.1499999999999995E-2</v>
          </cell>
          <cell r="E783">
            <v>1.1000000000000001E-2</v>
          </cell>
        </row>
        <row r="784">
          <cell r="C784" t="str">
            <v>Kenwood - Sonoma</v>
          </cell>
          <cell r="D784">
            <v>5.4333333333333324E-2</v>
          </cell>
          <cell r="E784">
            <v>1.1180000000000001E-2</v>
          </cell>
        </row>
        <row r="785">
          <cell r="C785" t="str">
            <v>Kerman - Fresno</v>
          </cell>
          <cell r="D785">
            <v>0.11366666666666669</v>
          </cell>
          <cell r="E785">
            <v>1.166E-2</v>
          </cell>
        </row>
        <row r="786">
          <cell r="C786" t="str">
            <v>Kernville - Kern</v>
          </cell>
          <cell r="D786">
            <v>0.10558333333333332</v>
          </cell>
          <cell r="E786">
            <v>1.15E-2</v>
          </cell>
        </row>
        <row r="787">
          <cell r="C787" t="str">
            <v>Keswick - Shasta</v>
          </cell>
          <cell r="D787">
            <v>9.0499999999999983E-2</v>
          </cell>
          <cell r="E787">
            <v>1.085E-2</v>
          </cell>
        </row>
        <row r="788">
          <cell r="C788" t="str">
            <v>Kettleman City - Kings</v>
          </cell>
          <cell r="D788">
            <v>0.12166666666666666</v>
          </cell>
          <cell r="E788">
            <v>1.026E-2</v>
          </cell>
        </row>
        <row r="789">
          <cell r="C789" t="str">
            <v>Keyes - Stanislaus</v>
          </cell>
          <cell r="D789">
            <v>0.114</v>
          </cell>
          <cell r="E789">
            <v>1.1180000000000001E-2</v>
          </cell>
        </row>
        <row r="790">
          <cell r="C790" t="str">
            <v>King City - Monterey</v>
          </cell>
          <cell r="D790">
            <v>9.1249999999999998E-2</v>
          </cell>
          <cell r="E790">
            <v>1.085E-2</v>
          </cell>
        </row>
        <row r="791">
          <cell r="C791" t="str">
            <v>Kings Beach - Placer</v>
          </cell>
          <cell r="D791">
            <v>6.2166666666666662E-2</v>
          </cell>
          <cell r="E791">
            <v>1.0869999999999999E-2</v>
          </cell>
        </row>
        <row r="792">
          <cell r="C792" t="str">
            <v>Kings Canyon National Park - Tulare</v>
          </cell>
          <cell r="D792">
            <v>0.12874999999999998</v>
          </cell>
          <cell r="E792">
            <v>1.0840000000000001E-2</v>
          </cell>
        </row>
        <row r="793">
          <cell r="C793" t="str">
            <v>Kingsburg - Fresno</v>
          </cell>
          <cell r="D793">
            <v>0.11366666666666669</v>
          </cell>
          <cell r="E793">
            <v>1.166E-2</v>
          </cell>
        </row>
        <row r="794">
          <cell r="C794" t="str">
            <v>Kinyon - Siskiyou</v>
          </cell>
          <cell r="D794">
            <v>0.11158333333333331</v>
          </cell>
          <cell r="E794">
            <v>1.0489999999999999E-2</v>
          </cell>
        </row>
        <row r="795">
          <cell r="C795" t="str">
            <v>Kirkwood - Alpine</v>
          </cell>
          <cell r="D795">
            <v>0.10216666666666667</v>
          </cell>
          <cell r="E795">
            <v>0.01</v>
          </cell>
        </row>
        <row r="796">
          <cell r="C796" t="str">
            <v>Kit Carson - Amador</v>
          </cell>
          <cell r="D796">
            <v>8.1583333333333327E-2</v>
          </cell>
          <cell r="E796">
            <v>1.0169999999999998E-2</v>
          </cell>
        </row>
        <row r="797">
          <cell r="C797" t="str">
            <v>Klamath - Del Norte</v>
          </cell>
          <cell r="D797">
            <v>9.8666666666666653E-2</v>
          </cell>
          <cell r="E797">
            <v>1.0369999999999999E-2</v>
          </cell>
        </row>
        <row r="798">
          <cell r="C798" t="str">
            <v>Klamath River - Siskiyou</v>
          </cell>
          <cell r="D798">
            <v>0.11158333333333331</v>
          </cell>
          <cell r="E798">
            <v>1.0489999999999999E-2</v>
          </cell>
        </row>
        <row r="799">
          <cell r="C799" t="str">
            <v>Kneeland - Humboldt</v>
          </cell>
          <cell r="D799">
            <v>7.3666666666666672E-2</v>
          </cell>
          <cell r="E799">
            <v>1.043E-2</v>
          </cell>
        </row>
        <row r="800">
          <cell r="C800" t="str">
            <v>Knights Ferry - Stanislaus</v>
          </cell>
          <cell r="D800">
            <v>0.114</v>
          </cell>
          <cell r="E800">
            <v>1.1180000000000001E-2</v>
          </cell>
        </row>
        <row r="801">
          <cell r="C801" t="str">
            <v>Knights Landing - Yolo</v>
          </cell>
          <cell r="D801">
            <v>7.9750000000000001E-2</v>
          </cell>
          <cell r="E801">
            <v>1.0620000000000001E-2</v>
          </cell>
        </row>
        <row r="802">
          <cell r="C802" t="str">
            <v>Knightsen - Contra Costa</v>
          </cell>
          <cell r="D802">
            <v>6.1416666666666668E-2</v>
          </cell>
          <cell r="E802">
            <v>1.1379999999999999E-2</v>
          </cell>
        </row>
        <row r="803">
          <cell r="C803" t="str">
            <v>Korbel - Humboldt</v>
          </cell>
          <cell r="D803">
            <v>7.3666666666666672E-2</v>
          </cell>
          <cell r="E803">
            <v>1.043E-2</v>
          </cell>
        </row>
        <row r="804">
          <cell r="C804" t="str">
            <v>Korbel - Sonoma</v>
          </cell>
          <cell r="D804">
            <v>5.4333333333333324E-2</v>
          </cell>
          <cell r="E804">
            <v>1.1180000000000001E-2</v>
          </cell>
        </row>
        <row r="805">
          <cell r="C805" t="str">
            <v>Kyburz - El Dorado</v>
          </cell>
          <cell r="D805">
            <v>7.0916666666666683E-2</v>
          </cell>
          <cell r="E805">
            <v>1.0709999999999999E-2</v>
          </cell>
        </row>
        <row r="806">
          <cell r="C806" t="str">
            <v>L.A. Airport  - Los Angeles</v>
          </cell>
          <cell r="D806">
            <v>8.2166666666666666E-2</v>
          </cell>
          <cell r="E806">
            <v>1.1979999999999999E-2</v>
          </cell>
        </row>
        <row r="807">
          <cell r="C807" t="str">
            <v>La Canada- Flintridge - Los Angeles</v>
          </cell>
          <cell r="D807">
            <v>8.2166666666666666E-2</v>
          </cell>
          <cell r="E807">
            <v>1.1979999999999999E-2</v>
          </cell>
        </row>
        <row r="808">
          <cell r="C808" t="str">
            <v>La Crescenta - Los Angeles</v>
          </cell>
          <cell r="D808">
            <v>8.2166666666666666E-2</v>
          </cell>
          <cell r="E808">
            <v>1.1979999999999999E-2</v>
          </cell>
        </row>
        <row r="809">
          <cell r="C809" t="str">
            <v>La Cresta Village - Kern</v>
          </cell>
          <cell r="D809">
            <v>0.10558333333333332</v>
          </cell>
          <cell r="E809">
            <v>1.15E-2</v>
          </cell>
        </row>
        <row r="810">
          <cell r="C810" t="str">
            <v>La Grange - Stanislaus</v>
          </cell>
          <cell r="D810">
            <v>0.114</v>
          </cell>
          <cell r="E810">
            <v>1.1180000000000001E-2</v>
          </cell>
        </row>
        <row r="811">
          <cell r="C811" t="str">
            <v>La Habra - Orange</v>
          </cell>
          <cell r="D811">
            <v>5.2749999999999991E-2</v>
          </cell>
          <cell r="E811">
            <v>1.061E-2</v>
          </cell>
        </row>
        <row r="812">
          <cell r="C812" t="str">
            <v>La Habra Heights - Los Angeles</v>
          </cell>
          <cell r="D812">
            <v>8.2166666666666666E-2</v>
          </cell>
          <cell r="E812">
            <v>1.1979999999999999E-2</v>
          </cell>
        </row>
        <row r="813">
          <cell r="C813" t="str">
            <v>La Honda - San Mateo</v>
          </cell>
          <cell r="D813">
            <v>4.3500000000000004E-2</v>
          </cell>
          <cell r="E813">
            <v>1.099E-2</v>
          </cell>
        </row>
        <row r="814">
          <cell r="C814" t="str">
            <v>La Jolla  - San Diego</v>
          </cell>
          <cell r="D814">
            <v>6.2E-2</v>
          </cell>
          <cell r="E814">
            <v>1.1080000000000001E-2</v>
          </cell>
        </row>
        <row r="815">
          <cell r="C815" t="str">
            <v>La Mesa - San Diego</v>
          </cell>
          <cell r="D815">
            <v>6.2E-2</v>
          </cell>
          <cell r="E815">
            <v>1.1080000000000001E-2</v>
          </cell>
        </row>
        <row r="816">
          <cell r="C816" t="str">
            <v>La Mirada - Los Angeles</v>
          </cell>
          <cell r="D816">
            <v>8.2166666666666666E-2</v>
          </cell>
          <cell r="E816">
            <v>1.1979999999999999E-2</v>
          </cell>
        </row>
        <row r="817">
          <cell r="C817" t="str">
            <v>La Palma - Orange</v>
          </cell>
          <cell r="D817">
            <v>5.2749999999999991E-2</v>
          </cell>
          <cell r="E817">
            <v>1.061E-2</v>
          </cell>
        </row>
        <row r="818">
          <cell r="C818" t="str">
            <v>La Porte - Plumas</v>
          </cell>
          <cell r="D818">
            <v>0.10208333333333332</v>
          </cell>
          <cell r="E818">
            <v>1.0369999999999999E-2</v>
          </cell>
        </row>
        <row r="819">
          <cell r="C819" t="str">
            <v>La Puente - Los Angeles</v>
          </cell>
          <cell r="D819">
            <v>8.2166666666666666E-2</v>
          </cell>
          <cell r="E819">
            <v>1.1979999999999999E-2</v>
          </cell>
        </row>
        <row r="820">
          <cell r="C820" t="str">
            <v>La Quinta - Riverside</v>
          </cell>
          <cell r="D820">
            <v>8.7000000000000008E-2</v>
          </cell>
          <cell r="E820">
            <v>1.0970000000000001E-2</v>
          </cell>
        </row>
        <row r="821">
          <cell r="C821" t="str">
            <v>La Selva Beach - Santa Cruz</v>
          </cell>
          <cell r="D821">
            <v>8.1666666666666665E-2</v>
          </cell>
          <cell r="E821">
            <v>1.0940000000000002E-2</v>
          </cell>
        </row>
        <row r="822">
          <cell r="C822" t="str">
            <v>La Verne - Los Angeles</v>
          </cell>
          <cell r="D822">
            <v>8.2166666666666666E-2</v>
          </cell>
          <cell r="E822">
            <v>1.1979999999999999E-2</v>
          </cell>
        </row>
        <row r="823">
          <cell r="C823" t="str">
            <v>La Vina - Los Angeles</v>
          </cell>
          <cell r="D823">
            <v>8.2166666666666666E-2</v>
          </cell>
          <cell r="E823">
            <v>1.1979999999999999E-2</v>
          </cell>
        </row>
        <row r="824">
          <cell r="C824" t="str">
            <v>Ladera - San Mateo</v>
          </cell>
          <cell r="D824">
            <v>4.3500000000000004E-2</v>
          </cell>
          <cell r="E824">
            <v>1.099E-2</v>
          </cell>
        </row>
        <row r="825">
          <cell r="C825" t="str">
            <v>Ladera Heights - Los Angeles</v>
          </cell>
          <cell r="D825">
            <v>8.2166666666666666E-2</v>
          </cell>
          <cell r="E825">
            <v>1.1979999999999999E-2</v>
          </cell>
        </row>
        <row r="826">
          <cell r="C826" t="str">
            <v>Ladera Ranch - Orange</v>
          </cell>
          <cell r="D826">
            <v>5.2749999999999991E-2</v>
          </cell>
          <cell r="E826">
            <v>1.061E-2</v>
          </cell>
        </row>
        <row r="827">
          <cell r="C827" t="str">
            <v>Lafayette - Contra Costa</v>
          </cell>
          <cell r="D827">
            <v>6.1416666666666668E-2</v>
          </cell>
          <cell r="E827">
            <v>1.1379999999999999E-2</v>
          </cell>
        </row>
        <row r="828">
          <cell r="C828" t="str">
            <v>Laguna Beach - Orange</v>
          </cell>
          <cell r="D828">
            <v>5.2749999999999991E-2</v>
          </cell>
          <cell r="E828">
            <v>1.061E-2</v>
          </cell>
        </row>
        <row r="829">
          <cell r="C829" t="str">
            <v>Laguna Hills - Orange</v>
          </cell>
          <cell r="D829">
            <v>5.2749999999999991E-2</v>
          </cell>
          <cell r="E829">
            <v>1.061E-2</v>
          </cell>
        </row>
        <row r="830">
          <cell r="C830" t="str">
            <v>Laguna Niguel - Orange</v>
          </cell>
          <cell r="D830">
            <v>5.2749999999999991E-2</v>
          </cell>
          <cell r="E830">
            <v>1.061E-2</v>
          </cell>
        </row>
        <row r="831">
          <cell r="C831" t="str">
            <v>Laguna Woods - Orange</v>
          </cell>
          <cell r="D831">
            <v>5.2749999999999991E-2</v>
          </cell>
          <cell r="E831">
            <v>1.061E-2</v>
          </cell>
        </row>
        <row r="832">
          <cell r="C832" t="str">
            <v>Lagunitas - Marin</v>
          </cell>
          <cell r="D832">
            <v>4.1499999999999995E-2</v>
          </cell>
          <cell r="E832">
            <v>1.1000000000000001E-2</v>
          </cell>
        </row>
        <row r="833">
          <cell r="C833" t="str">
            <v>Lake Alpine - Alpine</v>
          </cell>
          <cell r="D833">
            <v>0.10216666666666667</v>
          </cell>
          <cell r="E833">
            <v>0.01</v>
          </cell>
        </row>
        <row r="834">
          <cell r="C834" t="str">
            <v>Lake Arrowhead - San Bernardino</v>
          </cell>
          <cell r="D834">
            <v>8.3833333333333329E-2</v>
          </cell>
          <cell r="E834">
            <v>1.149E-2</v>
          </cell>
        </row>
        <row r="835">
          <cell r="C835" t="str">
            <v>Lake City - Modoc</v>
          </cell>
          <cell r="D835">
            <v>9.9749999999999991E-2</v>
          </cell>
          <cell r="E835">
            <v>1.027E-2</v>
          </cell>
        </row>
        <row r="836">
          <cell r="C836" t="str">
            <v>Lake City - Nevada</v>
          </cell>
          <cell r="D836">
            <v>6.4083333333333339E-2</v>
          </cell>
          <cell r="E836">
            <v>1.0529999999999999E-2</v>
          </cell>
        </row>
        <row r="837">
          <cell r="C837" t="str">
            <v>Lake Elsinore - Riverside</v>
          </cell>
          <cell r="D837">
            <v>8.7000000000000008E-2</v>
          </cell>
          <cell r="E837">
            <v>1.0970000000000001E-2</v>
          </cell>
        </row>
        <row r="838">
          <cell r="C838" t="str">
            <v>Lake Forest - Orange</v>
          </cell>
          <cell r="D838">
            <v>5.2749999999999991E-2</v>
          </cell>
          <cell r="E838">
            <v>1.061E-2</v>
          </cell>
        </row>
        <row r="839">
          <cell r="C839" t="str">
            <v>Lake Hughes - Los Angeles</v>
          </cell>
          <cell r="D839">
            <v>8.2166666666666666E-2</v>
          </cell>
          <cell r="E839">
            <v>1.1979999999999999E-2</v>
          </cell>
        </row>
        <row r="840">
          <cell r="C840" t="str">
            <v>Lake Isabella - Kern</v>
          </cell>
          <cell r="D840">
            <v>0.10558333333333332</v>
          </cell>
          <cell r="E840">
            <v>1.15E-2</v>
          </cell>
        </row>
        <row r="841">
          <cell r="C841" t="str">
            <v>Lake Los Angeles - Los Angeles</v>
          </cell>
          <cell r="D841">
            <v>8.2166666666666666E-2</v>
          </cell>
          <cell r="E841">
            <v>1.1979999999999999E-2</v>
          </cell>
        </row>
        <row r="842">
          <cell r="C842" t="str">
            <v>Lake Mary - Mono</v>
          </cell>
          <cell r="D842">
            <v>7.3249999999999996E-2</v>
          </cell>
          <cell r="E842">
            <v>1.1240000000000002E-2</v>
          </cell>
        </row>
        <row r="843">
          <cell r="C843" t="str">
            <v>Lake San Marcos - San Diego</v>
          </cell>
          <cell r="D843">
            <v>6.2E-2</v>
          </cell>
          <cell r="E843">
            <v>1.1080000000000001E-2</v>
          </cell>
        </row>
        <row r="844">
          <cell r="C844" t="str">
            <v>Lake Shastina - Siskiyou</v>
          </cell>
          <cell r="D844">
            <v>0.11158333333333331</v>
          </cell>
          <cell r="E844">
            <v>1.0489999999999999E-2</v>
          </cell>
        </row>
        <row r="845">
          <cell r="C845" t="str">
            <v>Lake Sherwood - Ventura</v>
          </cell>
          <cell r="D845">
            <v>6.6000000000000003E-2</v>
          </cell>
          <cell r="E845">
            <v>1.0920000000000001E-2</v>
          </cell>
        </row>
        <row r="846">
          <cell r="C846" t="str">
            <v>Lakehead - Shasta</v>
          </cell>
          <cell r="D846">
            <v>9.0499999999999983E-2</v>
          </cell>
          <cell r="E846">
            <v>1.085E-2</v>
          </cell>
        </row>
        <row r="847">
          <cell r="C847" t="str">
            <v>Lakeport - Lake</v>
          </cell>
          <cell r="D847">
            <v>9.9083333333333329E-2</v>
          </cell>
          <cell r="E847">
            <v>1.0800000000000001E-2</v>
          </cell>
        </row>
        <row r="848">
          <cell r="C848" t="str">
            <v>Lakeshore - Fresno</v>
          </cell>
          <cell r="D848">
            <v>0.11366666666666669</v>
          </cell>
          <cell r="E848">
            <v>1.166E-2</v>
          </cell>
        </row>
        <row r="849">
          <cell r="C849" t="str">
            <v>Lakeside - San Diego</v>
          </cell>
          <cell r="D849">
            <v>6.2E-2</v>
          </cell>
          <cell r="E849">
            <v>1.1080000000000001E-2</v>
          </cell>
        </row>
        <row r="850">
          <cell r="C850" t="str">
            <v>Lakeview - Riverside</v>
          </cell>
          <cell r="D850">
            <v>8.7000000000000008E-2</v>
          </cell>
          <cell r="E850">
            <v>1.0970000000000001E-2</v>
          </cell>
        </row>
        <row r="851">
          <cell r="C851" t="str">
            <v>Lakeview Terrace  - Los Angeles</v>
          </cell>
          <cell r="D851">
            <v>8.2166666666666666E-2</v>
          </cell>
          <cell r="E851">
            <v>1.1979999999999999E-2</v>
          </cell>
        </row>
        <row r="852">
          <cell r="C852" t="str">
            <v>Lakewood - Los Angeles</v>
          </cell>
          <cell r="D852">
            <v>8.2166666666666666E-2</v>
          </cell>
          <cell r="E852">
            <v>1.1979999999999999E-2</v>
          </cell>
        </row>
        <row r="853">
          <cell r="C853" t="str">
            <v>Lamont - Kern</v>
          </cell>
          <cell r="D853">
            <v>0.10558333333333332</v>
          </cell>
          <cell r="E853">
            <v>1.15E-2</v>
          </cell>
        </row>
        <row r="854">
          <cell r="C854" t="str">
            <v>Lancaster - Los Angeles</v>
          </cell>
          <cell r="D854">
            <v>8.2166666666666666E-2</v>
          </cell>
          <cell r="E854">
            <v>1.1979999999999999E-2</v>
          </cell>
        </row>
        <row r="855">
          <cell r="C855" t="str">
            <v>Landers - San Bernardino</v>
          </cell>
          <cell r="D855">
            <v>8.3833333333333329E-2</v>
          </cell>
          <cell r="E855">
            <v>1.149E-2</v>
          </cell>
        </row>
        <row r="856">
          <cell r="C856" t="str">
            <v>Landscape - Alameda</v>
          </cell>
          <cell r="D856">
            <v>0.06</v>
          </cell>
          <cell r="E856">
            <v>1.214E-2</v>
          </cell>
        </row>
        <row r="857">
          <cell r="C857" t="str">
            <v>Lang - Los Angeles</v>
          </cell>
          <cell r="D857">
            <v>8.2166666666666666E-2</v>
          </cell>
          <cell r="E857">
            <v>1.1979999999999999E-2</v>
          </cell>
        </row>
        <row r="858">
          <cell r="C858" t="str">
            <v>Larkfield - Sonoma</v>
          </cell>
          <cell r="D858">
            <v>5.4333333333333324E-2</v>
          </cell>
          <cell r="E858">
            <v>1.1180000000000001E-2</v>
          </cell>
        </row>
        <row r="859">
          <cell r="C859" t="str">
            <v>Larkspur - Marin</v>
          </cell>
          <cell r="D859">
            <v>4.1499999999999995E-2</v>
          </cell>
          <cell r="E859">
            <v>1.1000000000000001E-2</v>
          </cell>
        </row>
        <row r="860">
          <cell r="C860" t="str">
            <v>Larwin Plaza - Solano</v>
          </cell>
          <cell r="D860">
            <v>6.9833333333333317E-2</v>
          </cell>
          <cell r="E860">
            <v>1.149E-2</v>
          </cell>
        </row>
        <row r="861">
          <cell r="C861" t="str">
            <v>Lathrop - San Joaquin</v>
          </cell>
          <cell r="D861">
            <v>0.11141666666666668</v>
          </cell>
          <cell r="E861">
            <v>1.107E-2</v>
          </cell>
        </row>
        <row r="862">
          <cell r="C862" t="str">
            <v>Laton - Fresno</v>
          </cell>
          <cell r="D862">
            <v>0.11366666666666669</v>
          </cell>
          <cell r="E862">
            <v>1.166E-2</v>
          </cell>
        </row>
        <row r="863">
          <cell r="C863" t="str">
            <v>Lawndale - Los Angeles</v>
          </cell>
          <cell r="D863">
            <v>8.2166666666666666E-2</v>
          </cell>
          <cell r="E863">
            <v>1.1979999999999999E-2</v>
          </cell>
        </row>
        <row r="864">
          <cell r="C864" t="str">
            <v>Laws - Inyo</v>
          </cell>
          <cell r="D864">
            <v>7.1833333333333332E-2</v>
          </cell>
          <cell r="E864">
            <v>1.056E-2</v>
          </cell>
        </row>
        <row r="865">
          <cell r="C865" t="str">
            <v>Laytonville - Mendocino</v>
          </cell>
          <cell r="D865">
            <v>6.5750000000000003E-2</v>
          </cell>
          <cell r="E865">
            <v>1.123E-2</v>
          </cell>
        </row>
        <row r="866">
          <cell r="C866" t="str">
            <v>Le Grand  - Merced</v>
          </cell>
          <cell r="D866">
            <v>0.13066666666666668</v>
          </cell>
          <cell r="E866">
            <v>1.099E-2</v>
          </cell>
        </row>
        <row r="867">
          <cell r="C867" t="str">
            <v>Lebec - Kern</v>
          </cell>
          <cell r="D867">
            <v>0.10558333333333332</v>
          </cell>
          <cell r="E867">
            <v>1.15E-2</v>
          </cell>
        </row>
        <row r="868">
          <cell r="C868" t="str">
            <v>Lee Vining - Mono</v>
          </cell>
          <cell r="D868">
            <v>7.3249999999999996E-2</v>
          </cell>
          <cell r="E868">
            <v>1.1240000000000002E-2</v>
          </cell>
        </row>
        <row r="869">
          <cell r="C869" t="str">
            <v>Leggett - Mendocino</v>
          </cell>
          <cell r="D869">
            <v>6.5750000000000003E-2</v>
          </cell>
          <cell r="E869">
            <v>1.123E-2</v>
          </cell>
        </row>
        <row r="870">
          <cell r="C870" t="str">
            <v>Leisure World  - Orange</v>
          </cell>
          <cell r="D870">
            <v>5.2749999999999991E-2</v>
          </cell>
          <cell r="E870">
            <v>1.061E-2</v>
          </cell>
        </row>
        <row r="871">
          <cell r="C871" t="str">
            <v>Leisure World - Orange</v>
          </cell>
          <cell r="D871">
            <v>5.2749999999999991E-2</v>
          </cell>
          <cell r="E871">
            <v>1.061E-2</v>
          </cell>
        </row>
        <row r="872">
          <cell r="C872" t="str">
            <v>Lemon Grove - San Diego</v>
          </cell>
          <cell r="D872">
            <v>6.2E-2</v>
          </cell>
          <cell r="E872">
            <v>1.1080000000000001E-2</v>
          </cell>
        </row>
        <row r="873">
          <cell r="C873" t="str">
            <v>Lemoncove - Tulare</v>
          </cell>
          <cell r="D873">
            <v>0.12874999999999998</v>
          </cell>
          <cell r="E873">
            <v>1.0840000000000001E-2</v>
          </cell>
        </row>
        <row r="874">
          <cell r="C874" t="str">
            <v>Lemoore - Kings</v>
          </cell>
          <cell r="D874">
            <v>0.12166666666666666</v>
          </cell>
          <cell r="E874">
            <v>1.026E-2</v>
          </cell>
        </row>
        <row r="875">
          <cell r="C875" t="str">
            <v>Lennox - Los Angeles</v>
          </cell>
          <cell r="D875">
            <v>8.2166666666666666E-2</v>
          </cell>
          <cell r="E875">
            <v>1.1979999999999999E-2</v>
          </cell>
        </row>
        <row r="876">
          <cell r="C876" t="str">
            <v>Lenwood - San Bernardino</v>
          </cell>
          <cell r="D876">
            <v>8.3833333333333329E-2</v>
          </cell>
          <cell r="E876">
            <v>1.149E-2</v>
          </cell>
        </row>
        <row r="877">
          <cell r="C877" t="str">
            <v>Leona Valley - Los Angeles</v>
          </cell>
          <cell r="D877">
            <v>8.2166666666666666E-2</v>
          </cell>
          <cell r="E877">
            <v>1.1979999999999999E-2</v>
          </cell>
        </row>
        <row r="878">
          <cell r="C878" t="str">
            <v>Leucadia  - San Diego</v>
          </cell>
          <cell r="D878">
            <v>6.2E-2</v>
          </cell>
          <cell r="E878">
            <v>1.1080000000000001E-2</v>
          </cell>
        </row>
        <row r="879">
          <cell r="C879" t="str">
            <v>Lewiston - Trinity</v>
          </cell>
          <cell r="D879">
            <v>0.10183333333333332</v>
          </cell>
          <cell r="E879">
            <v>1.022E-2</v>
          </cell>
        </row>
        <row r="880">
          <cell r="C880" t="str">
            <v>Liberty Farms - Solano</v>
          </cell>
          <cell r="D880">
            <v>6.9833333333333317E-2</v>
          </cell>
          <cell r="E880">
            <v>1.149E-2</v>
          </cell>
        </row>
        <row r="881">
          <cell r="C881" t="str">
            <v>Likely - Modoc</v>
          </cell>
          <cell r="D881">
            <v>9.9749999999999991E-2</v>
          </cell>
          <cell r="E881">
            <v>1.027E-2</v>
          </cell>
        </row>
        <row r="882">
          <cell r="C882" t="str">
            <v>Lincoln - Placer</v>
          </cell>
          <cell r="D882">
            <v>6.2166666666666662E-2</v>
          </cell>
          <cell r="E882">
            <v>1.0869999999999999E-2</v>
          </cell>
        </row>
        <row r="883">
          <cell r="C883" t="str">
            <v>Lincoln Acres - San Diego</v>
          </cell>
          <cell r="D883">
            <v>6.2E-2</v>
          </cell>
          <cell r="E883">
            <v>1.1080000000000001E-2</v>
          </cell>
        </row>
        <row r="884">
          <cell r="C884" t="str">
            <v>Lincoln Heights  - Los Angeles</v>
          </cell>
          <cell r="D884">
            <v>8.2166666666666666E-2</v>
          </cell>
          <cell r="E884">
            <v>1.1979999999999999E-2</v>
          </cell>
        </row>
        <row r="885">
          <cell r="C885" t="str">
            <v>Lincoln Village - San Joaquin</v>
          </cell>
          <cell r="D885">
            <v>0.11141666666666668</v>
          </cell>
          <cell r="E885">
            <v>1.107E-2</v>
          </cell>
        </row>
        <row r="886">
          <cell r="C886" t="str">
            <v>Linda - Yuba</v>
          </cell>
          <cell r="D886">
            <v>0.12291666666666666</v>
          </cell>
          <cell r="E886">
            <v>1.1180000000000001E-2</v>
          </cell>
        </row>
        <row r="887">
          <cell r="C887" t="str">
            <v>Linden - San Joaquin</v>
          </cell>
          <cell r="D887">
            <v>0.11141666666666668</v>
          </cell>
          <cell r="E887">
            <v>1.107E-2</v>
          </cell>
        </row>
        <row r="888">
          <cell r="C888" t="str">
            <v>Lindsay - Tulare</v>
          </cell>
          <cell r="D888">
            <v>0.12874999999999998</v>
          </cell>
          <cell r="E888">
            <v>1.0840000000000001E-2</v>
          </cell>
        </row>
        <row r="889">
          <cell r="C889" t="str">
            <v>Linnell - Tulare</v>
          </cell>
          <cell r="D889">
            <v>0.12874999999999998</v>
          </cell>
          <cell r="E889">
            <v>1.0840000000000001E-2</v>
          </cell>
        </row>
        <row r="890">
          <cell r="C890" t="str">
            <v>Litchfield - Lassen</v>
          </cell>
          <cell r="D890">
            <v>9.4750000000000001E-2</v>
          </cell>
          <cell r="E890">
            <v>1.027E-2</v>
          </cell>
        </row>
        <row r="891">
          <cell r="C891" t="str">
            <v>Little Lake - Inyo</v>
          </cell>
          <cell r="D891">
            <v>7.1833333333333332E-2</v>
          </cell>
          <cell r="E891">
            <v>1.056E-2</v>
          </cell>
        </row>
        <row r="892">
          <cell r="C892" t="str">
            <v>Little Norway - El Dorado</v>
          </cell>
          <cell r="D892">
            <v>7.0916666666666683E-2</v>
          </cell>
          <cell r="E892">
            <v>1.0709999999999999E-2</v>
          </cell>
        </row>
        <row r="893">
          <cell r="C893" t="str">
            <v>Little Valley - Lassen</v>
          </cell>
          <cell r="D893">
            <v>9.4750000000000001E-2</v>
          </cell>
          <cell r="E893">
            <v>1.027E-2</v>
          </cell>
        </row>
        <row r="894">
          <cell r="C894" t="str">
            <v>Littleriver - Mendocino</v>
          </cell>
          <cell r="D894">
            <v>6.5750000000000003E-2</v>
          </cell>
          <cell r="E894">
            <v>1.123E-2</v>
          </cell>
        </row>
        <row r="895">
          <cell r="C895" t="str">
            <v>Littlerock  - Los Angeles</v>
          </cell>
          <cell r="D895">
            <v>8.2166666666666666E-2</v>
          </cell>
          <cell r="E895">
            <v>1.1979999999999999E-2</v>
          </cell>
        </row>
        <row r="896">
          <cell r="C896" t="str">
            <v>Live Oak - Sutter</v>
          </cell>
          <cell r="D896">
            <v>0.13508333333333333</v>
          </cell>
          <cell r="E896">
            <v>1.0900000000000002E-2</v>
          </cell>
        </row>
        <row r="897">
          <cell r="C897" t="str">
            <v>Livermore - Alameda</v>
          </cell>
          <cell r="D897">
            <v>0.06</v>
          </cell>
          <cell r="E897">
            <v>1.214E-2</v>
          </cell>
        </row>
        <row r="898">
          <cell r="C898" t="str">
            <v>Livingston - Merced</v>
          </cell>
          <cell r="D898">
            <v>0.13066666666666668</v>
          </cell>
          <cell r="E898">
            <v>1.099E-2</v>
          </cell>
        </row>
        <row r="899">
          <cell r="C899" t="str">
            <v>Llano - Los Angeles</v>
          </cell>
          <cell r="D899">
            <v>8.2166666666666666E-2</v>
          </cell>
          <cell r="E899">
            <v>1.1979999999999999E-2</v>
          </cell>
        </row>
        <row r="900">
          <cell r="C900" t="str">
            <v>Loch Lomond - Lake</v>
          </cell>
          <cell r="D900">
            <v>9.9083333333333329E-2</v>
          </cell>
          <cell r="E900">
            <v>1.0800000000000001E-2</v>
          </cell>
        </row>
        <row r="901">
          <cell r="C901" t="str">
            <v>Locke - Sacramento</v>
          </cell>
          <cell r="D901">
            <v>7.2666666666666671E-2</v>
          </cell>
          <cell r="E901">
            <v>1.1169999999999999E-2</v>
          </cell>
        </row>
        <row r="902">
          <cell r="C902" t="str">
            <v>Lockeford - San Joaquin</v>
          </cell>
          <cell r="D902">
            <v>0.11141666666666668</v>
          </cell>
          <cell r="E902">
            <v>1.107E-2</v>
          </cell>
        </row>
        <row r="903">
          <cell r="C903" t="str">
            <v>Lockheed - Santa Cruz</v>
          </cell>
          <cell r="D903">
            <v>8.1666666666666665E-2</v>
          </cell>
          <cell r="E903">
            <v>1.0940000000000002E-2</v>
          </cell>
        </row>
        <row r="904">
          <cell r="C904" t="str">
            <v>Lockwood - Monterey</v>
          </cell>
          <cell r="D904">
            <v>9.1249999999999998E-2</v>
          </cell>
          <cell r="E904">
            <v>1.085E-2</v>
          </cell>
        </row>
        <row r="905">
          <cell r="C905" t="str">
            <v>Lodi - San Joaquin</v>
          </cell>
          <cell r="D905">
            <v>0.11141666666666668</v>
          </cell>
          <cell r="E905">
            <v>1.107E-2</v>
          </cell>
        </row>
        <row r="906">
          <cell r="C906" t="str">
            <v>Loleta - Humboldt</v>
          </cell>
          <cell r="D906">
            <v>7.3666666666666672E-2</v>
          </cell>
          <cell r="E906">
            <v>1.043E-2</v>
          </cell>
        </row>
        <row r="907">
          <cell r="C907" t="str">
            <v>Loma Linda - San Bernardino</v>
          </cell>
          <cell r="D907">
            <v>8.3833333333333329E-2</v>
          </cell>
          <cell r="E907">
            <v>1.149E-2</v>
          </cell>
        </row>
        <row r="908">
          <cell r="C908" t="str">
            <v>Loma Mar - San Mateo</v>
          </cell>
          <cell r="D908">
            <v>4.3500000000000004E-2</v>
          </cell>
          <cell r="E908">
            <v>1.099E-2</v>
          </cell>
        </row>
        <row r="909">
          <cell r="C909" t="str">
            <v>Loma Rica - Yuba</v>
          </cell>
          <cell r="D909">
            <v>0.12291666666666666</v>
          </cell>
          <cell r="E909">
            <v>1.1180000000000001E-2</v>
          </cell>
        </row>
        <row r="910">
          <cell r="C910" t="str">
            <v>Lomita - Los Angeles</v>
          </cell>
          <cell r="D910">
            <v>8.2166666666666666E-2</v>
          </cell>
          <cell r="E910">
            <v>1.1979999999999999E-2</v>
          </cell>
        </row>
        <row r="911">
          <cell r="C911" t="str">
            <v>Lompoc - Santa Barbara</v>
          </cell>
          <cell r="D911">
            <v>5.8999999999999997E-2</v>
          </cell>
          <cell r="E911">
            <v>1.055E-2</v>
          </cell>
        </row>
        <row r="912">
          <cell r="C912" t="str">
            <v>London - Tulare</v>
          </cell>
          <cell r="D912">
            <v>0.12874999999999998</v>
          </cell>
          <cell r="E912">
            <v>1.0840000000000001E-2</v>
          </cell>
        </row>
        <row r="913">
          <cell r="C913" t="str">
            <v>Lone Pine - Inyo</v>
          </cell>
          <cell r="D913">
            <v>7.1833333333333332E-2</v>
          </cell>
          <cell r="E913">
            <v>1.056E-2</v>
          </cell>
        </row>
        <row r="914">
          <cell r="C914" t="str">
            <v>Long Barn - Tuolumne</v>
          </cell>
          <cell r="D914">
            <v>8.0750000000000016E-2</v>
          </cell>
          <cell r="E914">
            <v>1.061E-2</v>
          </cell>
        </row>
        <row r="915">
          <cell r="C915" t="str">
            <v>Long Beach - Los Angeles</v>
          </cell>
          <cell r="D915">
            <v>8.2166666666666666E-2</v>
          </cell>
          <cell r="E915">
            <v>1.1979999999999999E-2</v>
          </cell>
        </row>
        <row r="916">
          <cell r="C916" t="str">
            <v>Longview - Los Angeles</v>
          </cell>
          <cell r="D916">
            <v>8.2166666666666666E-2</v>
          </cell>
          <cell r="E916">
            <v>1.1979999999999999E-2</v>
          </cell>
        </row>
        <row r="917">
          <cell r="C917" t="str">
            <v>Lookout - Modoc</v>
          </cell>
          <cell r="D917">
            <v>9.9749999999999991E-2</v>
          </cell>
          <cell r="E917">
            <v>1.027E-2</v>
          </cell>
        </row>
        <row r="918">
          <cell r="C918" t="str">
            <v>Loomis - Placer</v>
          </cell>
          <cell r="D918">
            <v>6.2166666666666662E-2</v>
          </cell>
          <cell r="E918">
            <v>1.0869999999999999E-2</v>
          </cell>
        </row>
        <row r="919">
          <cell r="C919" t="str">
            <v>Lorre Estates - Santa Clara</v>
          </cell>
          <cell r="D919">
            <v>5.4583333333333331E-2</v>
          </cell>
          <cell r="E919">
            <v>1.2030000000000001E-2</v>
          </cell>
        </row>
        <row r="920">
          <cell r="C920" t="str">
            <v>Los Alamitos - Orange</v>
          </cell>
          <cell r="D920">
            <v>5.2749999999999991E-2</v>
          </cell>
          <cell r="E920">
            <v>1.061E-2</v>
          </cell>
        </row>
        <row r="921">
          <cell r="C921" t="str">
            <v>Los Alamos - Santa Barbara</v>
          </cell>
          <cell r="D921">
            <v>5.8999999999999997E-2</v>
          </cell>
          <cell r="E921">
            <v>1.055E-2</v>
          </cell>
        </row>
        <row r="922">
          <cell r="C922" t="str">
            <v>Los Altos - Santa Clara</v>
          </cell>
          <cell r="D922">
            <v>5.4583333333333331E-2</v>
          </cell>
          <cell r="E922">
            <v>1.2030000000000001E-2</v>
          </cell>
        </row>
        <row r="923">
          <cell r="C923" t="str">
            <v>Los Altos Hills - Santa Clara</v>
          </cell>
          <cell r="D923">
            <v>5.4583333333333331E-2</v>
          </cell>
          <cell r="E923">
            <v>1.2030000000000001E-2</v>
          </cell>
        </row>
        <row r="924">
          <cell r="C924" t="str">
            <v>Los Angeles - Los Angeles</v>
          </cell>
          <cell r="D924">
            <v>8.2166666666666666E-2</v>
          </cell>
          <cell r="E924">
            <v>1.1979999999999999E-2</v>
          </cell>
        </row>
        <row r="925">
          <cell r="C925" t="str">
            <v>Los Banos - Merced</v>
          </cell>
          <cell r="D925">
            <v>0.13066666666666668</v>
          </cell>
          <cell r="E925">
            <v>1.099E-2</v>
          </cell>
        </row>
        <row r="926">
          <cell r="C926" t="str">
            <v>Los Gatos - Santa Clara</v>
          </cell>
          <cell r="D926">
            <v>5.4583333333333331E-2</v>
          </cell>
          <cell r="E926">
            <v>1.2030000000000001E-2</v>
          </cell>
        </row>
        <row r="927">
          <cell r="C927" t="str">
            <v>Los Molinos - Tehama</v>
          </cell>
          <cell r="D927">
            <v>9.7333333333333327E-2</v>
          </cell>
          <cell r="E927">
            <v>1.023E-2</v>
          </cell>
        </row>
        <row r="928">
          <cell r="C928" t="str">
            <v>Los Nietos - Los Angeles</v>
          </cell>
          <cell r="D928">
            <v>8.2166666666666666E-2</v>
          </cell>
          <cell r="E928">
            <v>1.1979999999999999E-2</v>
          </cell>
        </row>
        <row r="929">
          <cell r="C929" t="str">
            <v>Los Olivos - Santa Barbara</v>
          </cell>
          <cell r="D929">
            <v>5.8999999999999997E-2</v>
          </cell>
          <cell r="E929">
            <v>1.055E-2</v>
          </cell>
        </row>
        <row r="930">
          <cell r="C930" t="str">
            <v>Los Osos - San Luis Obispo</v>
          </cell>
          <cell r="D930">
            <v>5.5916666666666656E-2</v>
          </cell>
          <cell r="E930">
            <v>1.0189999999999999E-2</v>
          </cell>
        </row>
        <row r="931">
          <cell r="C931" t="str">
            <v>Los Padres - San Luis Obispo</v>
          </cell>
          <cell r="D931">
            <v>5.5916666666666656E-2</v>
          </cell>
          <cell r="E931">
            <v>1.0189999999999999E-2</v>
          </cell>
        </row>
        <row r="932">
          <cell r="C932" t="str">
            <v>Los Serranos  - San Bernardino</v>
          </cell>
          <cell r="D932">
            <v>8.3833333333333329E-2</v>
          </cell>
          <cell r="E932">
            <v>1.149E-2</v>
          </cell>
        </row>
        <row r="933">
          <cell r="C933" t="str">
            <v>Lost Hills - Kern</v>
          </cell>
          <cell r="D933">
            <v>0.10558333333333332</v>
          </cell>
          <cell r="E933">
            <v>1.15E-2</v>
          </cell>
        </row>
        <row r="934">
          <cell r="C934" t="str">
            <v>Lost Lake - Riverside</v>
          </cell>
          <cell r="D934">
            <v>8.7000000000000008E-2</v>
          </cell>
          <cell r="E934">
            <v>1.0970000000000001E-2</v>
          </cell>
        </row>
        <row r="935">
          <cell r="C935" t="str">
            <v>Lotus - El Dorado</v>
          </cell>
          <cell r="D935">
            <v>7.0916666666666683E-2</v>
          </cell>
          <cell r="E935">
            <v>1.0709999999999999E-2</v>
          </cell>
        </row>
        <row r="936">
          <cell r="C936" t="str">
            <v>Lower Lake - Lake</v>
          </cell>
          <cell r="D936">
            <v>9.9083333333333329E-2</v>
          </cell>
          <cell r="E936">
            <v>1.0800000000000001E-2</v>
          </cell>
        </row>
        <row r="937">
          <cell r="C937" t="str">
            <v>Loyalton - Sierra</v>
          </cell>
          <cell r="D937">
            <v>0.10116666666666665</v>
          </cell>
          <cell r="E937">
            <v>9.5199999999999989E-3</v>
          </cell>
        </row>
        <row r="938">
          <cell r="C938" t="str">
            <v>Lucerne - Lake</v>
          </cell>
          <cell r="D938">
            <v>9.9083333333333329E-2</v>
          </cell>
          <cell r="E938">
            <v>1.0800000000000001E-2</v>
          </cell>
        </row>
        <row r="939">
          <cell r="C939" t="str">
            <v>Lucerne Valley - San Bernardino</v>
          </cell>
          <cell r="D939">
            <v>8.3833333333333329E-2</v>
          </cell>
          <cell r="E939">
            <v>1.149E-2</v>
          </cell>
        </row>
        <row r="940">
          <cell r="C940" t="str">
            <v>Lucia - Monterey</v>
          </cell>
          <cell r="D940">
            <v>9.1249999999999998E-2</v>
          </cell>
          <cell r="E940">
            <v>1.085E-2</v>
          </cell>
        </row>
        <row r="941">
          <cell r="C941" t="str">
            <v>Ludlow - San Bernardino</v>
          </cell>
          <cell r="D941">
            <v>8.3833333333333329E-2</v>
          </cell>
          <cell r="E941">
            <v>1.149E-2</v>
          </cell>
        </row>
        <row r="942">
          <cell r="C942" t="str">
            <v>Lugo - Los Angeles</v>
          </cell>
          <cell r="D942">
            <v>8.2166666666666666E-2</v>
          </cell>
          <cell r="E942">
            <v>1.1979999999999999E-2</v>
          </cell>
        </row>
        <row r="943">
          <cell r="C943" t="str">
            <v>Lynwood - Los Angeles</v>
          </cell>
          <cell r="D943">
            <v>8.2166666666666666E-2</v>
          </cell>
          <cell r="E943">
            <v>1.1979999999999999E-2</v>
          </cell>
        </row>
        <row r="944">
          <cell r="C944" t="str">
            <v>Lytle Creek - San Bernardino</v>
          </cell>
          <cell r="D944">
            <v>8.3833333333333329E-2</v>
          </cell>
          <cell r="E944">
            <v>1.149E-2</v>
          </cell>
        </row>
        <row r="945">
          <cell r="C945" t="str">
            <v>Macdoel - Siskiyou</v>
          </cell>
          <cell r="D945">
            <v>0.11158333333333331</v>
          </cell>
          <cell r="E945">
            <v>1.0489999999999999E-2</v>
          </cell>
        </row>
        <row r="946">
          <cell r="C946" t="str">
            <v>Maclay - Los Angeles</v>
          </cell>
          <cell r="D946">
            <v>8.2166666666666666E-2</v>
          </cell>
          <cell r="E946">
            <v>1.1979999999999999E-2</v>
          </cell>
        </row>
        <row r="947">
          <cell r="C947" t="str">
            <v>Mad River - Trinity</v>
          </cell>
          <cell r="D947">
            <v>0.10183333333333332</v>
          </cell>
          <cell r="E947">
            <v>1.022E-2</v>
          </cell>
        </row>
        <row r="948">
          <cell r="C948" t="str">
            <v>Madeline - Lassen</v>
          </cell>
          <cell r="D948">
            <v>9.4750000000000001E-2</v>
          </cell>
          <cell r="E948">
            <v>1.027E-2</v>
          </cell>
        </row>
        <row r="949">
          <cell r="C949" t="str">
            <v>Madera - Madera</v>
          </cell>
          <cell r="D949">
            <v>0.10325000000000001</v>
          </cell>
          <cell r="E949">
            <v>1.0149999999999999E-2</v>
          </cell>
        </row>
        <row r="950">
          <cell r="C950" t="str">
            <v>Madison - Yolo</v>
          </cell>
          <cell r="D950">
            <v>7.9750000000000001E-2</v>
          </cell>
          <cell r="E950">
            <v>1.0620000000000001E-2</v>
          </cell>
        </row>
        <row r="951">
          <cell r="C951" t="str">
            <v>Magalia - Butte</v>
          </cell>
          <cell r="D951">
            <v>8.4749999999999992E-2</v>
          </cell>
          <cell r="E951">
            <v>1.052E-2</v>
          </cell>
        </row>
        <row r="952">
          <cell r="C952" t="str">
            <v>Malaga - Fresno</v>
          </cell>
          <cell r="D952">
            <v>0.11366666666666669</v>
          </cell>
          <cell r="E952">
            <v>1.166E-2</v>
          </cell>
        </row>
        <row r="953">
          <cell r="C953" t="str">
            <v>Malibu - Los Angeles</v>
          </cell>
          <cell r="D953">
            <v>8.2166666666666666E-2</v>
          </cell>
          <cell r="E953">
            <v>1.1979999999999999E-2</v>
          </cell>
        </row>
        <row r="954">
          <cell r="C954" t="str">
            <v>Mammoth Lakes - Mono</v>
          </cell>
          <cell r="D954">
            <v>7.3249999999999996E-2</v>
          </cell>
          <cell r="E954">
            <v>1.1240000000000002E-2</v>
          </cell>
        </row>
        <row r="955">
          <cell r="C955" t="str">
            <v>Manhattan Beach - Los Angeles</v>
          </cell>
          <cell r="D955">
            <v>8.2166666666666666E-2</v>
          </cell>
          <cell r="E955">
            <v>1.1979999999999999E-2</v>
          </cell>
        </row>
        <row r="956">
          <cell r="C956" t="str">
            <v>Manteca - San Joaquin</v>
          </cell>
          <cell r="D956">
            <v>0.11141666666666668</v>
          </cell>
          <cell r="E956">
            <v>1.107E-2</v>
          </cell>
        </row>
        <row r="957">
          <cell r="C957" t="str">
            <v>Manton - Tehama</v>
          </cell>
          <cell r="D957">
            <v>9.7333333333333327E-2</v>
          </cell>
          <cell r="E957">
            <v>1.023E-2</v>
          </cell>
        </row>
        <row r="958">
          <cell r="C958" t="str">
            <v>Manzanita Lake - Shasta</v>
          </cell>
          <cell r="D958">
            <v>9.0499999999999983E-2</v>
          </cell>
          <cell r="E958">
            <v>1.085E-2</v>
          </cell>
        </row>
        <row r="959">
          <cell r="C959" t="str">
            <v>Mar Vista - Los Angeles</v>
          </cell>
          <cell r="D959">
            <v>8.2166666666666666E-2</v>
          </cell>
          <cell r="E959">
            <v>1.1979999999999999E-2</v>
          </cell>
        </row>
        <row r="960">
          <cell r="C960" t="str">
            <v>Marcelina - Los Angeles</v>
          </cell>
          <cell r="D960">
            <v>8.2166666666666666E-2</v>
          </cell>
          <cell r="E960">
            <v>1.1979999999999999E-2</v>
          </cell>
        </row>
        <row r="961">
          <cell r="C961" t="str">
            <v>March A.F.B. - Riverside</v>
          </cell>
          <cell r="D961">
            <v>8.7000000000000008E-2</v>
          </cell>
          <cell r="E961">
            <v>1.0970000000000001E-2</v>
          </cell>
        </row>
        <row r="962">
          <cell r="C962" t="str">
            <v>Mare Island  - Solano</v>
          </cell>
          <cell r="D962">
            <v>6.9833333333333317E-2</v>
          </cell>
          <cell r="E962">
            <v>1.149E-2</v>
          </cell>
        </row>
        <row r="963">
          <cell r="C963" t="str">
            <v>Maricopa - Kern</v>
          </cell>
          <cell r="D963">
            <v>0.10558333333333332</v>
          </cell>
          <cell r="E963">
            <v>1.15E-2</v>
          </cell>
        </row>
        <row r="964">
          <cell r="C964" t="str">
            <v>Marin City - Marin</v>
          </cell>
          <cell r="D964">
            <v>4.1499999999999995E-2</v>
          </cell>
          <cell r="E964">
            <v>1.1000000000000001E-2</v>
          </cell>
        </row>
        <row r="965">
          <cell r="C965" t="str">
            <v>Marina - Monterey</v>
          </cell>
          <cell r="D965">
            <v>9.1249999999999998E-2</v>
          </cell>
          <cell r="E965">
            <v>1.085E-2</v>
          </cell>
        </row>
        <row r="966">
          <cell r="C966" t="str">
            <v>Marina Del Rey - Los Angeles</v>
          </cell>
          <cell r="D966">
            <v>8.2166666666666666E-2</v>
          </cell>
          <cell r="E966">
            <v>1.1979999999999999E-2</v>
          </cell>
        </row>
        <row r="967">
          <cell r="C967" t="str">
            <v>Marine Corps  - San Bernardino</v>
          </cell>
          <cell r="D967">
            <v>8.3833333333333329E-2</v>
          </cell>
          <cell r="E967">
            <v>1.149E-2</v>
          </cell>
        </row>
        <row r="968">
          <cell r="C968" t="str">
            <v>Mariner - Orange</v>
          </cell>
          <cell r="D968">
            <v>5.2749999999999991E-2</v>
          </cell>
          <cell r="E968">
            <v>1.061E-2</v>
          </cell>
        </row>
        <row r="969">
          <cell r="C969" t="str">
            <v>Mariposa - Mariposa</v>
          </cell>
          <cell r="D969">
            <v>7.5833333333333322E-2</v>
          </cell>
          <cell r="E969">
            <v>1.0059999999999999E-2</v>
          </cell>
        </row>
        <row r="970">
          <cell r="C970" t="str">
            <v>Markleeville - Alpine</v>
          </cell>
          <cell r="D970">
            <v>0.10216666666666667</v>
          </cell>
          <cell r="E970">
            <v>0.01</v>
          </cell>
        </row>
        <row r="971">
          <cell r="C971" t="str">
            <v>Marsh Manor - San Mateo</v>
          </cell>
          <cell r="D971">
            <v>4.3500000000000004E-2</v>
          </cell>
          <cell r="E971">
            <v>1.099E-2</v>
          </cell>
        </row>
        <row r="972">
          <cell r="C972" t="str">
            <v>Marshall - Marin</v>
          </cell>
          <cell r="D972">
            <v>4.1499999999999995E-2</v>
          </cell>
          <cell r="E972">
            <v>1.1000000000000001E-2</v>
          </cell>
        </row>
        <row r="973">
          <cell r="C973" t="str">
            <v>Martell - Amador</v>
          </cell>
          <cell r="D973">
            <v>8.1583333333333327E-2</v>
          </cell>
          <cell r="E973">
            <v>1.0169999999999998E-2</v>
          </cell>
        </row>
        <row r="974">
          <cell r="C974" t="str">
            <v>Martinez - Contra Costa</v>
          </cell>
          <cell r="D974">
            <v>6.1416666666666668E-2</v>
          </cell>
          <cell r="E974">
            <v>1.1379999999999999E-2</v>
          </cell>
        </row>
        <row r="975">
          <cell r="C975" t="str">
            <v>Marysville - Yuba</v>
          </cell>
          <cell r="D975">
            <v>0.12291666666666666</v>
          </cell>
          <cell r="E975">
            <v>1.1180000000000001E-2</v>
          </cell>
        </row>
        <row r="976">
          <cell r="C976" t="str">
            <v>Mather  - Sacramento</v>
          </cell>
          <cell r="D976">
            <v>7.2666666666666671E-2</v>
          </cell>
          <cell r="E976">
            <v>1.1169999999999999E-2</v>
          </cell>
        </row>
        <row r="977">
          <cell r="C977" t="str">
            <v>Mather - Tuolumne</v>
          </cell>
          <cell r="D977">
            <v>8.0750000000000016E-2</v>
          </cell>
          <cell r="E977">
            <v>1.061E-2</v>
          </cell>
        </row>
        <row r="978">
          <cell r="C978" t="str">
            <v>Maxwell - Colusa</v>
          </cell>
          <cell r="D978">
            <v>0.17433333333333334</v>
          </cell>
          <cell r="E978">
            <v>1.0540000000000001E-2</v>
          </cell>
        </row>
        <row r="979">
          <cell r="C979" t="str">
            <v>Maywood - Los Angeles</v>
          </cell>
          <cell r="D979">
            <v>8.2166666666666666E-2</v>
          </cell>
          <cell r="E979">
            <v>1.1979999999999999E-2</v>
          </cell>
        </row>
        <row r="980">
          <cell r="C980" t="str">
            <v>McArthur - Shasta</v>
          </cell>
          <cell r="D980">
            <v>9.0499999999999983E-2</v>
          </cell>
          <cell r="E980">
            <v>1.085E-2</v>
          </cell>
        </row>
        <row r="981">
          <cell r="C981" t="str">
            <v>McClellan  - Sacramento</v>
          </cell>
          <cell r="D981">
            <v>7.2666666666666671E-2</v>
          </cell>
          <cell r="E981">
            <v>1.1169999999999999E-2</v>
          </cell>
        </row>
        <row r="982">
          <cell r="C982" t="str">
            <v>McCloud - Siskiyou</v>
          </cell>
          <cell r="D982">
            <v>0.11158333333333331</v>
          </cell>
          <cell r="E982">
            <v>1.0489999999999999E-2</v>
          </cell>
        </row>
        <row r="983">
          <cell r="C983" t="str">
            <v>McFarland - Kern</v>
          </cell>
          <cell r="D983">
            <v>0.10558333333333332</v>
          </cell>
          <cell r="E983">
            <v>1.15E-2</v>
          </cell>
        </row>
        <row r="984">
          <cell r="C984" t="str">
            <v>McKinleyville - Humboldt</v>
          </cell>
          <cell r="D984">
            <v>7.3666666666666672E-2</v>
          </cell>
          <cell r="E984">
            <v>1.043E-2</v>
          </cell>
        </row>
        <row r="985">
          <cell r="C985" t="str">
            <v>McKittrick - Kern</v>
          </cell>
          <cell r="D985">
            <v>0.10558333333333332</v>
          </cell>
          <cell r="E985">
            <v>1.15E-2</v>
          </cell>
        </row>
        <row r="986">
          <cell r="C986" t="str">
            <v>Mead Valley - Riverside</v>
          </cell>
          <cell r="D986">
            <v>8.7000000000000008E-2</v>
          </cell>
          <cell r="E986">
            <v>1.0970000000000001E-2</v>
          </cell>
        </row>
        <row r="987">
          <cell r="C987" t="str">
            <v>Meadow Valley - Plumas</v>
          </cell>
          <cell r="D987">
            <v>0.10208333333333332</v>
          </cell>
          <cell r="E987">
            <v>1.0369999999999999E-2</v>
          </cell>
        </row>
        <row r="988">
          <cell r="C988" t="str">
            <v>Meadow Vista - Placer</v>
          </cell>
          <cell r="D988">
            <v>6.2166666666666662E-2</v>
          </cell>
          <cell r="E988">
            <v>1.0869999999999999E-2</v>
          </cell>
        </row>
        <row r="989">
          <cell r="C989" t="str">
            <v>Meadowbrook - Riverside</v>
          </cell>
          <cell r="D989">
            <v>8.7000000000000008E-2</v>
          </cell>
          <cell r="E989">
            <v>1.0970000000000001E-2</v>
          </cell>
        </row>
        <row r="990">
          <cell r="C990" t="str">
            <v>Mecca - Riverside</v>
          </cell>
          <cell r="D990">
            <v>8.7000000000000008E-2</v>
          </cell>
          <cell r="E990">
            <v>1.0970000000000001E-2</v>
          </cell>
        </row>
        <row r="991">
          <cell r="C991" t="str">
            <v>Meeks Bay - El Dorado</v>
          </cell>
          <cell r="D991">
            <v>7.0916666666666683E-2</v>
          </cell>
          <cell r="E991">
            <v>1.0709999999999999E-2</v>
          </cell>
        </row>
        <row r="992">
          <cell r="C992" t="str">
            <v>Meiners Oaks - Ventura</v>
          </cell>
          <cell r="D992">
            <v>6.6000000000000003E-2</v>
          </cell>
          <cell r="E992">
            <v>1.0920000000000001E-2</v>
          </cell>
        </row>
        <row r="993">
          <cell r="C993" t="str">
            <v>Mendocino - Mendocino</v>
          </cell>
          <cell r="D993">
            <v>6.5750000000000003E-2</v>
          </cell>
          <cell r="E993">
            <v>1.123E-2</v>
          </cell>
        </row>
        <row r="994">
          <cell r="C994" t="str">
            <v>Mendota - Fresno</v>
          </cell>
          <cell r="D994">
            <v>0.11366666666666669</v>
          </cell>
          <cell r="E994">
            <v>1.166E-2</v>
          </cell>
        </row>
        <row r="995">
          <cell r="C995" t="str">
            <v>Menifee - Riverside</v>
          </cell>
          <cell r="D995">
            <v>8.7000000000000008E-2</v>
          </cell>
          <cell r="E995">
            <v>1.0970000000000001E-2</v>
          </cell>
        </row>
        <row r="996">
          <cell r="C996" t="str">
            <v>Menlo Park - San Mateo</v>
          </cell>
          <cell r="D996">
            <v>4.3500000000000004E-2</v>
          </cell>
          <cell r="E996">
            <v>1.099E-2</v>
          </cell>
        </row>
        <row r="997">
          <cell r="C997" t="str">
            <v>Mentone - San Bernardino</v>
          </cell>
          <cell r="D997">
            <v>8.3833333333333329E-2</v>
          </cell>
          <cell r="E997">
            <v>1.149E-2</v>
          </cell>
        </row>
        <row r="998">
          <cell r="C998" t="str">
            <v>Merced - Merced</v>
          </cell>
          <cell r="D998">
            <v>0.13066666666666668</v>
          </cell>
          <cell r="E998">
            <v>1.099E-2</v>
          </cell>
        </row>
        <row r="999">
          <cell r="C999" t="str">
            <v>Meridian - Sutter</v>
          </cell>
          <cell r="D999">
            <v>0.13508333333333333</v>
          </cell>
          <cell r="E999">
            <v>1.0900000000000002E-2</v>
          </cell>
        </row>
        <row r="1000">
          <cell r="C1000" t="str">
            <v>Mettler - Kern</v>
          </cell>
          <cell r="D1000">
            <v>0.10558333333333332</v>
          </cell>
          <cell r="E1000">
            <v>1.15E-2</v>
          </cell>
        </row>
        <row r="1001">
          <cell r="C1001" t="str">
            <v>Meyers - El Dorado</v>
          </cell>
          <cell r="D1001">
            <v>7.0916666666666683E-2</v>
          </cell>
          <cell r="E1001">
            <v>1.0709999999999999E-2</v>
          </cell>
        </row>
        <row r="1002">
          <cell r="C1002" t="str">
            <v>Middletown - Lake</v>
          </cell>
          <cell r="D1002">
            <v>9.9083333333333329E-2</v>
          </cell>
          <cell r="E1002">
            <v>1.0800000000000001E-2</v>
          </cell>
        </row>
        <row r="1003">
          <cell r="C1003" t="str">
            <v>Midland - Riverside</v>
          </cell>
          <cell r="D1003">
            <v>8.7000000000000008E-2</v>
          </cell>
          <cell r="E1003">
            <v>1.0970000000000001E-2</v>
          </cell>
        </row>
        <row r="1004">
          <cell r="C1004" t="str">
            <v>Midpines - Mariposa</v>
          </cell>
          <cell r="D1004">
            <v>7.5833333333333322E-2</v>
          </cell>
          <cell r="E1004">
            <v>1.0059999999999999E-2</v>
          </cell>
        </row>
        <row r="1005">
          <cell r="C1005" t="str">
            <v>Midway City - Orange</v>
          </cell>
          <cell r="D1005">
            <v>5.2749999999999991E-2</v>
          </cell>
          <cell r="E1005">
            <v>1.061E-2</v>
          </cell>
        </row>
        <row r="1006">
          <cell r="C1006" t="str">
            <v>Milford - Lassen</v>
          </cell>
          <cell r="D1006">
            <v>9.4750000000000001E-2</v>
          </cell>
          <cell r="E1006">
            <v>1.027E-2</v>
          </cell>
        </row>
        <row r="1007">
          <cell r="C1007" t="str">
            <v>Mill Creek - Tehama</v>
          </cell>
          <cell r="D1007">
            <v>9.7333333333333327E-2</v>
          </cell>
          <cell r="E1007">
            <v>1.023E-2</v>
          </cell>
        </row>
        <row r="1008">
          <cell r="C1008" t="str">
            <v>Mill Valley - Marin</v>
          </cell>
          <cell r="D1008">
            <v>4.1499999999999995E-2</v>
          </cell>
          <cell r="E1008">
            <v>1.1000000000000001E-2</v>
          </cell>
        </row>
        <row r="1009">
          <cell r="C1009" t="str">
            <v>Millbrae - San Mateo</v>
          </cell>
          <cell r="D1009">
            <v>4.3500000000000004E-2</v>
          </cell>
          <cell r="E1009">
            <v>1.099E-2</v>
          </cell>
        </row>
        <row r="1010">
          <cell r="C1010" t="str">
            <v>Millville - Shasta</v>
          </cell>
          <cell r="D1010">
            <v>9.0499999999999983E-2</v>
          </cell>
          <cell r="E1010">
            <v>1.085E-2</v>
          </cell>
        </row>
        <row r="1011">
          <cell r="C1011" t="str">
            <v>Milpitas - Santa Clara</v>
          </cell>
          <cell r="D1011">
            <v>5.4583333333333331E-2</v>
          </cell>
          <cell r="E1011">
            <v>1.2030000000000001E-2</v>
          </cell>
        </row>
        <row r="1012">
          <cell r="C1012" t="str">
            <v>Mineral - Tehama</v>
          </cell>
          <cell r="D1012">
            <v>9.7333333333333327E-2</v>
          </cell>
          <cell r="E1012">
            <v>1.023E-2</v>
          </cell>
        </row>
        <row r="1013">
          <cell r="C1013" t="str">
            <v>Mineral King - Tulare</v>
          </cell>
          <cell r="D1013">
            <v>0.12874999999999998</v>
          </cell>
          <cell r="E1013">
            <v>1.0840000000000001E-2</v>
          </cell>
        </row>
        <row r="1014">
          <cell r="C1014" t="str">
            <v>Mint Canyon - Los Angeles</v>
          </cell>
          <cell r="D1014">
            <v>8.2166666666666666E-2</v>
          </cell>
          <cell r="E1014">
            <v>1.1979999999999999E-2</v>
          </cell>
        </row>
        <row r="1015">
          <cell r="C1015" t="str">
            <v>Mira Loma - Riverside</v>
          </cell>
          <cell r="D1015">
            <v>8.7000000000000008E-2</v>
          </cell>
          <cell r="E1015">
            <v>1.0970000000000001E-2</v>
          </cell>
        </row>
        <row r="1016">
          <cell r="C1016" t="str">
            <v>Mira Vista - Contra Costa</v>
          </cell>
          <cell r="D1016">
            <v>6.1416666666666668E-2</v>
          </cell>
          <cell r="E1016">
            <v>1.1379999999999999E-2</v>
          </cell>
        </row>
        <row r="1017">
          <cell r="C1017" t="str">
            <v>Miracle Hot Springs - Kern</v>
          </cell>
          <cell r="D1017">
            <v>0.10558333333333332</v>
          </cell>
          <cell r="E1017">
            <v>1.15E-2</v>
          </cell>
        </row>
        <row r="1018">
          <cell r="C1018" t="str">
            <v>Miramar  - San Diego</v>
          </cell>
          <cell r="D1018">
            <v>6.2E-2</v>
          </cell>
          <cell r="E1018">
            <v>1.1080000000000001E-2</v>
          </cell>
        </row>
        <row r="1019">
          <cell r="C1019" t="str">
            <v>Miramonte - Fresno</v>
          </cell>
          <cell r="D1019">
            <v>0.11366666666666669</v>
          </cell>
          <cell r="E1019">
            <v>1.166E-2</v>
          </cell>
        </row>
        <row r="1020">
          <cell r="C1020" t="str">
            <v>Miranda - Humboldt</v>
          </cell>
          <cell r="D1020">
            <v>7.3666666666666672E-2</v>
          </cell>
          <cell r="E1020">
            <v>1.043E-2</v>
          </cell>
        </row>
        <row r="1021">
          <cell r="C1021" t="str">
            <v>Mission Hills  - Los Angeles</v>
          </cell>
          <cell r="D1021">
            <v>8.2166666666666666E-2</v>
          </cell>
          <cell r="E1021">
            <v>1.1979999999999999E-2</v>
          </cell>
        </row>
        <row r="1022">
          <cell r="C1022" t="str">
            <v>Mission Viejo - Orange</v>
          </cell>
          <cell r="D1022">
            <v>5.2749999999999991E-2</v>
          </cell>
          <cell r="E1022">
            <v>1.061E-2</v>
          </cell>
        </row>
        <row r="1023">
          <cell r="C1023" t="str">
            <v>Mi-Wuk Village - Tuolumne</v>
          </cell>
          <cell r="D1023">
            <v>8.0750000000000016E-2</v>
          </cell>
          <cell r="E1023">
            <v>1.061E-2</v>
          </cell>
        </row>
        <row r="1024">
          <cell r="C1024" t="str">
            <v>Moccasin - Tuolumne</v>
          </cell>
          <cell r="D1024">
            <v>8.0750000000000016E-2</v>
          </cell>
          <cell r="E1024">
            <v>1.061E-2</v>
          </cell>
        </row>
        <row r="1025">
          <cell r="C1025" t="str">
            <v>Modesto - Stanislaus</v>
          </cell>
          <cell r="D1025">
            <v>0.114</v>
          </cell>
          <cell r="E1025">
            <v>1.1180000000000001E-2</v>
          </cell>
        </row>
        <row r="1026">
          <cell r="C1026" t="str">
            <v>Moffett Field - Santa Clara</v>
          </cell>
          <cell r="D1026">
            <v>5.4583333333333331E-2</v>
          </cell>
          <cell r="E1026">
            <v>1.2030000000000001E-2</v>
          </cell>
        </row>
        <row r="1027">
          <cell r="C1027" t="str">
            <v>Mojave - Kern</v>
          </cell>
          <cell r="D1027">
            <v>0.10558333333333332</v>
          </cell>
          <cell r="E1027">
            <v>1.15E-2</v>
          </cell>
        </row>
        <row r="1028">
          <cell r="C1028" t="str">
            <v>Mokelumne Hill - Calaveras</v>
          </cell>
          <cell r="D1028">
            <v>8.5416666666666655E-2</v>
          </cell>
          <cell r="E1028">
            <v>1.1120000000000001E-2</v>
          </cell>
        </row>
        <row r="1029">
          <cell r="C1029" t="str">
            <v>Monarch Beach  - Orange</v>
          </cell>
          <cell r="D1029">
            <v>5.2749999999999991E-2</v>
          </cell>
          <cell r="E1029">
            <v>1.061E-2</v>
          </cell>
        </row>
        <row r="1030">
          <cell r="C1030" t="str">
            <v>Moneta - Los Angeles</v>
          </cell>
          <cell r="D1030">
            <v>8.2166666666666666E-2</v>
          </cell>
          <cell r="E1030">
            <v>1.1979999999999999E-2</v>
          </cell>
        </row>
        <row r="1031">
          <cell r="C1031" t="str">
            <v>Mono Hot Springs - Fresno</v>
          </cell>
          <cell r="D1031">
            <v>0.11366666666666669</v>
          </cell>
          <cell r="E1031">
            <v>1.166E-2</v>
          </cell>
        </row>
        <row r="1032">
          <cell r="C1032" t="str">
            <v>Mono Lake - Mono</v>
          </cell>
          <cell r="D1032">
            <v>7.3249999999999996E-2</v>
          </cell>
          <cell r="E1032">
            <v>1.1240000000000002E-2</v>
          </cell>
        </row>
        <row r="1033">
          <cell r="C1033" t="str">
            <v>Monolith - Kern</v>
          </cell>
          <cell r="D1033">
            <v>0.10558333333333332</v>
          </cell>
          <cell r="E1033">
            <v>1.15E-2</v>
          </cell>
        </row>
        <row r="1034">
          <cell r="C1034" t="str">
            <v>Monrovia - Los Angeles</v>
          </cell>
          <cell r="D1034">
            <v>8.2166666666666666E-2</v>
          </cell>
          <cell r="E1034">
            <v>1.1979999999999999E-2</v>
          </cell>
        </row>
        <row r="1035">
          <cell r="C1035" t="str">
            <v>Monta Vista - Santa Clara</v>
          </cell>
          <cell r="D1035">
            <v>5.4583333333333331E-2</v>
          </cell>
          <cell r="E1035">
            <v>1.2030000000000001E-2</v>
          </cell>
        </row>
        <row r="1036">
          <cell r="C1036" t="str">
            <v>Montague - Siskiyou</v>
          </cell>
          <cell r="D1036">
            <v>0.11158333333333331</v>
          </cell>
          <cell r="E1036">
            <v>1.0489999999999999E-2</v>
          </cell>
        </row>
        <row r="1037">
          <cell r="C1037" t="str">
            <v>Montalvo  - Ventura</v>
          </cell>
          <cell r="D1037">
            <v>6.6000000000000003E-2</v>
          </cell>
          <cell r="E1037">
            <v>1.0920000000000001E-2</v>
          </cell>
        </row>
        <row r="1038">
          <cell r="C1038" t="str">
            <v>Montara - San Mateo</v>
          </cell>
          <cell r="D1038">
            <v>4.3500000000000004E-2</v>
          </cell>
          <cell r="E1038">
            <v>1.099E-2</v>
          </cell>
        </row>
        <row r="1039">
          <cell r="C1039" t="str">
            <v>Montclair - San Bernardino</v>
          </cell>
          <cell r="D1039">
            <v>8.3833333333333329E-2</v>
          </cell>
          <cell r="E1039">
            <v>1.149E-2</v>
          </cell>
        </row>
        <row r="1040">
          <cell r="C1040" t="str">
            <v>Monte Rio - Sonoma</v>
          </cell>
          <cell r="D1040">
            <v>5.4333333333333324E-2</v>
          </cell>
          <cell r="E1040">
            <v>1.1180000000000001E-2</v>
          </cell>
        </row>
        <row r="1041">
          <cell r="C1041" t="str">
            <v>Monte Sereno - Santa Clara</v>
          </cell>
          <cell r="D1041">
            <v>5.4583333333333331E-2</v>
          </cell>
          <cell r="E1041">
            <v>1.2030000000000001E-2</v>
          </cell>
        </row>
        <row r="1042">
          <cell r="C1042" t="str">
            <v>Montebello - Los Angeles</v>
          </cell>
          <cell r="D1042">
            <v>8.2166666666666666E-2</v>
          </cell>
          <cell r="E1042">
            <v>1.1979999999999999E-2</v>
          </cell>
        </row>
        <row r="1043">
          <cell r="C1043" t="str">
            <v>Montecito - Santa Barbara</v>
          </cell>
          <cell r="D1043">
            <v>5.8999999999999997E-2</v>
          </cell>
          <cell r="E1043">
            <v>1.055E-2</v>
          </cell>
        </row>
        <row r="1044">
          <cell r="C1044" t="str">
            <v>Monterey - Monterey</v>
          </cell>
          <cell r="D1044">
            <v>9.1249999999999998E-2</v>
          </cell>
          <cell r="E1044">
            <v>1.085E-2</v>
          </cell>
        </row>
        <row r="1045">
          <cell r="C1045" t="str">
            <v>Monterey Bay Academy - Santa Cruz</v>
          </cell>
          <cell r="D1045">
            <v>8.1666666666666665E-2</v>
          </cell>
          <cell r="E1045">
            <v>1.0940000000000002E-2</v>
          </cell>
        </row>
        <row r="1046">
          <cell r="C1046" t="str">
            <v>Monterey Park - Los Angeles</v>
          </cell>
          <cell r="D1046">
            <v>8.2166666666666666E-2</v>
          </cell>
          <cell r="E1046">
            <v>1.1979999999999999E-2</v>
          </cell>
        </row>
        <row r="1047">
          <cell r="C1047" t="str">
            <v>Montgomery Creek - Shasta</v>
          </cell>
          <cell r="D1047">
            <v>9.0499999999999983E-2</v>
          </cell>
          <cell r="E1047">
            <v>1.085E-2</v>
          </cell>
        </row>
        <row r="1048">
          <cell r="C1048" t="str">
            <v>Montrose - Los Angeles</v>
          </cell>
          <cell r="D1048">
            <v>8.2166666666666666E-2</v>
          </cell>
          <cell r="E1048">
            <v>1.1979999999999999E-2</v>
          </cell>
        </row>
        <row r="1049">
          <cell r="C1049" t="str">
            <v>Mooney - Tulare</v>
          </cell>
          <cell r="D1049">
            <v>0.12874999999999998</v>
          </cell>
          <cell r="E1049">
            <v>1.0840000000000001E-2</v>
          </cell>
        </row>
        <row r="1050">
          <cell r="C1050" t="str">
            <v>Moonridge - San Bernardino</v>
          </cell>
          <cell r="D1050">
            <v>8.3833333333333329E-2</v>
          </cell>
          <cell r="E1050">
            <v>1.149E-2</v>
          </cell>
        </row>
        <row r="1051">
          <cell r="C1051" t="str">
            <v>Moorpark - Ventura</v>
          </cell>
          <cell r="D1051">
            <v>6.6000000000000003E-2</v>
          </cell>
          <cell r="E1051">
            <v>1.0920000000000001E-2</v>
          </cell>
        </row>
        <row r="1052">
          <cell r="C1052" t="str">
            <v>Moraga - Contra Costa</v>
          </cell>
          <cell r="D1052">
            <v>6.1416666666666668E-2</v>
          </cell>
          <cell r="E1052">
            <v>1.1379999999999999E-2</v>
          </cell>
        </row>
        <row r="1053">
          <cell r="C1053" t="str">
            <v>Moreno Valley - Riverside</v>
          </cell>
          <cell r="D1053">
            <v>8.7000000000000008E-2</v>
          </cell>
          <cell r="E1053">
            <v>1.0970000000000001E-2</v>
          </cell>
        </row>
        <row r="1054">
          <cell r="C1054" t="str">
            <v>Morgan Hill - Santa Clara</v>
          </cell>
          <cell r="D1054">
            <v>5.4583333333333331E-2</v>
          </cell>
          <cell r="E1054">
            <v>1.2030000000000001E-2</v>
          </cell>
        </row>
        <row r="1055">
          <cell r="C1055" t="str">
            <v>Morongo Valley - San Bernardino</v>
          </cell>
          <cell r="D1055">
            <v>8.3833333333333329E-2</v>
          </cell>
          <cell r="E1055">
            <v>1.149E-2</v>
          </cell>
        </row>
        <row r="1056">
          <cell r="C1056" t="str">
            <v>Morro Bay - San Luis Obispo</v>
          </cell>
          <cell r="D1056">
            <v>5.5916666666666656E-2</v>
          </cell>
          <cell r="E1056">
            <v>1.0189999999999999E-2</v>
          </cell>
        </row>
        <row r="1057">
          <cell r="C1057" t="str">
            <v>Morro Plaza - San Luis Obispo</v>
          </cell>
          <cell r="D1057">
            <v>5.5916666666666656E-2</v>
          </cell>
          <cell r="E1057">
            <v>1.0189999999999999E-2</v>
          </cell>
        </row>
        <row r="1058">
          <cell r="C1058" t="str">
            <v>Moss Beach - San Mateo</v>
          </cell>
          <cell r="D1058">
            <v>4.3500000000000004E-2</v>
          </cell>
          <cell r="E1058">
            <v>1.099E-2</v>
          </cell>
        </row>
        <row r="1059">
          <cell r="C1059" t="str">
            <v>Moss Landing - Monterey</v>
          </cell>
          <cell r="D1059">
            <v>9.1249999999999998E-2</v>
          </cell>
          <cell r="E1059">
            <v>1.085E-2</v>
          </cell>
        </row>
        <row r="1060">
          <cell r="C1060" t="str">
            <v>Mount Hamilton - Santa Clara</v>
          </cell>
          <cell r="D1060">
            <v>5.4583333333333331E-2</v>
          </cell>
          <cell r="E1060">
            <v>1.2030000000000001E-2</v>
          </cell>
        </row>
        <row r="1061">
          <cell r="C1061" t="str">
            <v>Mount Hebron - Siskiyou</v>
          </cell>
          <cell r="D1061">
            <v>0.11158333333333331</v>
          </cell>
          <cell r="E1061">
            <v>1.0489999999999999E-2</v>
          </cell>
        </row>
        <row r="1062">
          <cell r="C1062" t="str">
            <v>Mount Hermon - Santa Cruz</v>
          </cell>
          <cell r="D1062">
            <v>8.1666666666666665E-2</v>
          </cell>
          <cell r="E1062">
            <v>1.0940000000000002E-2</v>
          </cell>
        </row>
        <row r="1063">
          <cell r="C1063" t="str">
            <v>Mount Laguna - San Diego</v>
          </cell>
          <cell r="D1063">
            <v>6.2E-2</v>
          </cell>
          <cell r="E1063">
            <v>1.1080000000000001E-2</v>
          </cell>
        </row>
        <row r="1064">
          <cell r="C1064" t="str">
            <v>Mount Shasta - Siskiyou</v>
          </cell>
          <cell r="D1064">
            <v>0.11158333333333331</v>
          </cell>
          <cell r="E1064">
            <v>1.0489999999999999E-2</v>
          </cell>
        </row>
        <row r="1065">
          <cell r="C1065" t="str">
            <v>Mount Wilson - Los Angeles</v>
          </cell>
          <cell r="D1065">
            <v>8.2166666666666666E-2</v>
          </cell>
          <cell r="E1065">
            <v>1.1979999999999999E-2</v>
          </cell>
        </row>
        <row r="1066">
          <cell r="C1066" t="str">
            <v>Mountain Center - Riverside</v>
          </cell>
          <cell r="D1066">
            <v>8.7000000000000008E-2</v>
          </cell>
          <cell r="E1066">
            <v>1.0970000000000001E-2</v>
          </cell>
        </row>
        <row r="1067">
          <cell r="C1067" t="str">
            <v>Mountain Mesa - Kern</v>
          </cell>
          <cell r="D1067">
            <v>0.10558333333333332</v>
          </cell>
          <cell r="E1067">
            <v>1.15E-2</v>
          </cell>
        </row>
        <row r="1068">
          <cell r="C1068" t="str">
            <v>Mountain Pass - San Bernardino</v>
          </cell>
          <cell r="D1068">
            <v>8.3833333333333329E-2</v>
          </cell>
          <cell r="E1068">
            <v>1.149E-2</v>
          </cell>
        </row>
        <row r="1069">
          <cell r="C1069" t="str">
            <v>Mountain Ranch - Calaveras</v>
          </cell>
          <cell r="D1069">
            <v>8.5416666666666655E-2</v>
          </cell>
          <cell r="E1069">
            <v>1.1120000000000001E-2</v>
          </cell>
        </row>
        <row r="1070">
          <cell r="C1070" t="str">
            <v>Mountain View - Santa Clara</v>
          </cell>
          <cell r="D1070">
            <v>5.4583333333333331E-2</v>
          </cell>
          <cell r="E1070">
            <v>1.2030000000000001E-2</v>
          </cell>
        </row>
        <row r="1071">
          <cell r="C1071" t="str">
            <v>Mt. Aukum - El Dorado</v>
          </cell>
          <cell r="D1071">
            <v>7.0916666666666683E-2</v>
          </cell>
          <cell r="E1071">
            <v>1.0709999999999999E-2</v>
          </cell>
        </row>
        <row r="1072">
          <cell r="C1072" t="str">
            <v>Mt. Baldy - San Bernardino</v>
          </cell>
          <cell r="D1072">
            <v>8.3833333333333329E-2</v>
          </cell>
          <cell r="E1072">
            <v>1.149E-2</v>
          </cell>
        </row>
        <row r="1073">
          <cell r="C1073" t="str">
            <v>Murphys - Calaveras</v>
          </cell>
          <cell r="D1073">
            <v>8.5416666666666655E-2</v>
          </cell>
          <cell r="E1073">
            <v>1.1120000000000001E-2</v>
          </cell>
        </row>
        <row r="1074">
          <cell r="C1074" t="str">
            <v>Murrieta - Riverside</v>
          </cell>
          <cell r="D1074">
            <v>8.7000000000000008E-2</v>
          </cell>
          <cell r="E1074">
            <v>1.0970000000000001E-2</v>
          </cell>
        </row>
        <row r="1075">
          <cell r="C1075" t="str">
            <v>Muscoy - San Bernardino</v>
          </cell>
          <cell r="D1075">
            <v>8.3833333333333329E-2</v>
          </cell>
          <cell r="E1075">
            <v>1.149E-2</v>
          </cell>
        </row>
        <row r="1076">
          <cell r="C1076" t="str">
            <v>Myers Flat - Humboldt</v>
          </cell>
          <cell r="D1076">
            <v>7.3666666666666672E-2</v>
          </cell>
          <cell r="E1076">
            <v>1.043E-2</v>
          </cell>
        </row>
        <row r="1077">
          <cell r="C1077" t="str">
            <v>Napa - Napa</v>
          </cell>
          <cell r="D1077">
            <v>5.1833333333333328E-2</v>
          </cell>
          <cell r="E1077">
            <v>1.0900000000000002E-2</v>
          </cell>
        </row>
        <row r="1078">
          <cell r="C1078" t="str">
            <v>Naples - Los Angeles</v>
          </cell>
          <cell r="D1078">
            <v>8.2166666666666666E-2</v>
          </cell>
          <cell r="E1078">
            <v>1.1979999999999999E-2</v>
          </cell>
        </row>
        <row r="1079">
          <cell r="C1079" t="str">
            <v>Nashville - El Dorado</v>
          </cell>
          <cell r="D1079">
            <v>7.0916666666666683E-2</v>
          </cell>
          <cell r="E1079">
            <v>1.0709999999999999E-2</v>
          </cell>
        </row>
        <row r="1080">
          <cell r="C1080" t="str">
            <v>National City - San Diego</v>
          </cell>
          <cell r="D1080">
            <v>6.2E-2</v>
          </cell>
          <cell r="E1080">
            <v>1.1080000000000001E-2</v>
          </cell>
        </row>
        <row r="1081">
          <cell r="C1081" t="str">
            <v>Naval  - San Diego</v>
          </cell>
          <cell r="D1081">
            <v>6.2E-2</v>
          </cell>
          <cell r="E1081">
            <v>1.1080000000000001E-2</v>
          </cell>
        </row>
        <row r="1082">
          <cell r="C1082" t="str">
            <v>Naval  - Ventura</v>
          </cell>
          <cell r="D1082">
            <v>6.6000000000000003E-2</v>
          </cell>
          <cell r="E1082">
            <v>1.0920000000000001E-2</v>
          </cell>
        </row>
        <row r="1083">
          <cell r="C1083" t="str">
            <v>Naval Air Station  - Kings</v>
          </cell>
          <cell r="D1083">
            <v>0.12166666666666666</v>
          </cell>
          <cell r="E1083">
            <v>1.026E-2</v>
          </cell>
        </row>
        <row r="1084">
          <cell r="C1084" t="str">
            <v>Naval Air Station  - San Diego</v>
          </cell>
          <cell r="D1084">
            <v>6.2E-2</v>
          </cell>
          <cell r="E1084">
            <v>1.1080000000000001E-2</v>
          </cell>
        </row>
        <row r="1085">
          <cell r="C1085" t="str">
            <v>Naval Air Station - Alameda</v>
          </cell>
          <cell r="D1085">
            <v>0.06</v>
          </cell>
          <cell r="E1085">
            <v>1.214E-2</v>
          </cell>
        </row>
        <row r="1086">
          <cell r="C1086" t="str">
            <v>Naval Hospital  - Alameda</v>
          </cell>
          <cell r="D1086">
            <v>0.06</v>
          </cell>
          <cell r="E1086">
            <v>1.214E-2</v>
          </cell>
        </row>
        <row r="1087">
          <cell r="C1087" t="str">
            <v>Naval Hospital  - San Diego</v>
          </cell>
          <cell r="D1087">
            <v>6.2E-2</v>
          </cell>
          <cell r="E1087">
            <v>1.1080000000000001E-2</v>
          </cell>
        </row>
        <row r="1088">
          <cell r="C1088" t="str">
            <v>Naval Supply Center  - Alameda</v>
          </cell>
          <cell r="D1088">
            <v>0.06</v>
          </cell>
          <cell r="E1088">
            <v>1.214E-2</v>
          </cell>
        </row>
        <row r="1089">
          <cell r="C1089" t="str">
            <v>Naval Training Center  - San Diego</v>
          </cell>
          <cell r="D1089">
            <v>6.2E-2</v>
          </cell>
          <cell r="E1089">
            <v>1.1080000000000001E-2</v>
          </cell>
        </row>
        <row r="1090">
          <cell r="C1090" t="str">
            <v>Navarro - Mendocino</v>
          </cell>
          <cell r="D1090">
            <v>6.5750000000000003E-2</v>
          </cell>
          <cell r="E1090">
            <v>1.123E-2</v>
          </cell>
        </row>
        <row r="1091">
          <cell r="C1091" t="str">
            <v>Needles - San Bernardino</v>
          </cell>
          <cell r="D1091">
            <v>8.3833333333333329E-2</v>
          </cell>
          <cell r="E1091">
            <v>1.149E-2</v>
          </cell>
        </row>
        <row r="1092">
          <cell r="C1092" t="str">
            <v>Nelson - Butte</v>
          </cell>
          <cell r="D1092">
            <v>8.4749999999999992E-2</v>
          </cell>
          <cell r="E1092">
            <v>1.052E-2</v>
          </cell>
        </row>
        <row r="1093">
          <cell r="C1093" t="str">
            <v>Nevada City - Nevada</v>
          </cell>
          <cell r="D1093">
            <v>6.4083333333333339E-2</v>
          </cell>
          <cell r="E1093">
            <v>1.0529999999999999E-2</v>
          </cell>
        </row>
        <row r="1094">
          <cell r="C1094" t="str">
            <v>New Almaden - Santa Clara</v>
          </cell>
          <cell r="D1094">
            <v>5.4583333333333331E-2</v>
          </cell>
          <cell r="E1094">
            <v>1.2030000000000001E-2</v>
          </cell>
        </row>
        <row r="1095">
          <cell r="C1095" t="str">
            <v>New Cuyama - Santa Barbara</v>
          </cell>
          <cell r="D1095">
            <v>5.8999999999999997E-2</v>
          </cell>
          <cell r="E1095">
            <v>1.055E-2</v>
          </cell>
        </row>
        <row r="1096">
          <cell r="C1096" t="str">
            <v>New Idria - San Benito</v>
          </cell>
          <cell r="D1096">
            <v>9.3250000000000013E-2</v>
          </cell>
          <cell r="E1096">
            <v>1.1550000000000001E-2</v>
          </cell>
        </row>
        <row r="1097">
          <cell r="C1097" t="str">
            <v>Newark - Alameda</v>
          </cell>
          <cell r="D1097">
            <v>0.06</v>
          </cell>
          <cell r="E1097">
            <v>1.214E-2</v>
          </cell>
        </row>
        <row r="1098">
          <cell r="C1098" t="str">
            <v>Newberry - San Bernardino</v>
          </cell>
          <cell r="D1098">
            <v>8.3833333333333329E-2</v>
          </cell>
          <cell r="E1098">
            <v>1.149E-2</v>
          </cell>
        </row>
        <row r="1099">
          <cell r="C1099" t="str">
            <v>Newberry Springs - San Bernardino</v>
          </cell>
          <cell r="D1099">
            <v>8.3833333333333329E-2</v>
          </cell>
          <cell r="E1099">
            <v>1.149E-2</v>
          </cell>
        </row>
        <row r="1100">
          <cell r="C1100" t="str">
            <v>Newbury Park  - Ventura</v>
          </cell>
          <cell r="D1100">
            <v>6.6000000000000003E-2</v>
          </cell>
          <cell r="E1100">
            <v>1.0920000000000001E-2</v>
          </cell>
        </row>
        <row r="1101">
          <cell r="C1101" t="str">
            <v>Newcastle - Placer</v>
          </cell>
          <cell r="D1101">
            <v>6.2166666666666662E-2</v>
          </cell>
          <cell r="E1101">
            <v>1.0869999999999999E-2</v>
          </cell>
        </row>
        <row r="1102">
          <cell r="C1102" t="str">
            <v>Newhall  - Los Angeles</v>
          </cell>
          <cell r="D1102">
            <v>8.2166666666666666E-2</v>
          </cell>
          <cell r="E1102">
            <v>1.1979999999999999E-2</v>
          </cell>
        </row>
        <row r="1103">
          <cell r="C1103" t="str">
            <v>Newman - Stanislaus</v>
          </cell>
          <cell r="D1103">
            <v>0.114</v>
          </cell>
          <cell r="E1103">
            <v>1.1180000000000001E-2</v>
          </cell>
        </row>
        <row r="1104">
          <cell r="C1104" t="str">
            <v>Newport Beach - Orange</v>
          </cell>
          <cell r="D1104">
            <v>5.2749999999999991E-2</v>
          </cell>
          <cell r="E1104">
            <v>1.061E-2</v>
          </cell>
        </row>
        <row r="1105">
          <cell r="C1105" t="str">
            <v>Nicasio - Marin</v>
          </cell>
          <cell r="D1105">
            <v>4.1499999999999995E-2</v>
          </cell>
          <cell r="E1105">
            <v>1.1000000000000001E-2</v>
          </cell>
        </row>
        <row r="1106">
          <cell r="C1106" t="str">
            <v>Nice - Lake</v>
          </cell>
          <cell r="D1106">
            <v>9.9083333333333329E-2</v>
          </cell>
          <cell r="E1106">
            <v>1.0800000000000001E-2</v>
          </cell>
        </row>
        <row r="1107">
          <cell r="C1107" t="str">
            <v>Nicolaus - Sutter</v>
          </cell>
          <cell r="D1107">
            <v>0.13508333333333333</v>
          </cell>
          <cell r="E1107">
            <v>1.0900000000000002E-2</v>
          </cell>
        </row>
        <row r="1108">
          <cell r="C1108" t="str">
            <v>Niland - Imperial</v>
          </cell>
          <cell r="D1108">
            <v>0.23408333333333331</v>
          </cell>
          <cell r="E1108">
            <v>1.1299999999999999E-2</v>
          </cell>
        </row>
        <row r="1109">
          <cell r="C1109" t="str">
            <v>Nipomo - San Luis Obispo</v>
          </cell>
          <cell r="D1109">
            <v>5.5916666666666656E-2</v>
          </cell>
          <cell r="E1109">
            <v>1.0189999999999999E-2</v>
          </cell>
        </row>
        <row r="1110">
          <cell r="C1110" t="str">
            <v>Nipton - San Bernardino</v>
          </cell>
          <cell r="D1110">
            <v>8.3833333333333329E-2</v>
          </cell>
          <cell r="E1110">
            <v>1.149E-2</v>
          </cell>
        </row>
        <row r="1111">
          <cell r="C1111" t="str">
            <v>Norco - Riverside</v>
          </cell>
          <cell r="D1111">
            <v>8.7000000000000008E-2</v>
          </cell>
          <cell r="E1111">
            <v>1.0970000000000001E-2</v>
          </cell>
        </row>
        <row r="1112">
          <cell r="C1112" t="str">
            <v>Norden - Nevada</v>
          </cell>
          <cell r="D1112">
            <v>6.4083333333333339E-2</v>
          </cell>
          <cell r="E1112">
            <v>1.0529999999999999E-2</v>
          </cell>
        </row>
        <row r="1113">
          <cell r="C1113" t="str">
            <v>North Edwards - Kern</v>
          </cell>
          <cell r="D1113">
            <v>0.10558333333333332</v>
          </cell>
          <cell r="E1113">
            <v>1.15E-2</v>
          </cell>
        </row>
        <row r="1114">
          <cell r="C1114" t="str">
            <v>North Fork - Madera</v>
          </cell>
          <cell r="D1114">
            <v>0.10325000000000001</v>
          </cell>
          <cell r="E1114">
            <v>1.0149999999999999E-2</v>
          </cell>
        </row>
        <row r="1115">
          <cell r="C1115" t="str">
            <v>North Gardena - Los Angeles</v>
          </cell>
          <cell r="D1115">
            <v>8.2166666666666666E-2</v>
          </cell>
          <cell r="E1115">
            <v>1.1979999999999999E-2</v>
          </cell>
        </row>
        <row r="1116">
          <cell r="C1116" t="str">
            <v>North Highlands - Sacramento</v>
          </cell>
          <cell r="D1116">
            <v>7.2666666666666671E-2</v>
          </cell>
          <cell r="E1116">
            <v>1.1169999999999999E-2</v>
          </cell>
        </row>
        <row r="1117">
          <cell r="C1117" t="str">
            <v>North Hills  - Los Angeles</v>
          </cell>
          <cell r="D1117">
            <v>8.2166666666666666E-2</v>
          </cell>
          <cell r="E1117">
            <v>1.1979999999999999E-2</v>
          </cell>
        </row>
        <row r="1118">
          <cell r="C1118" t="str">
            <v>North Hollywood  - Los Angeles</v>
          </cell>
          <cell r="D1118">
            <v>8.2166666666666666E-2</v>
          </cell>
          <cell r="E1118">
            <v>1.1979999999999999E-2</v>
          </cell>
        </row>
        <row r="1119">
          <cell r="C1119" t="str">
            <v>North Palm Springs - Riverside</v>
          </cell>
          <cell r="D1119">
            <v>8.7000000000000008E-2</v>
          </cell>
          <cell r="E1119">
            <v>1.0970000000000001E-2</v>
          </cell>
        </row>
        <row r="1120">
          <cell r="C1120" t="str">
            <v>North San Juan - Nevada</v>
          </cell>
          <cell r="D1120">
            <v>6.4083333333333339E-2</v>
          </cell>
          <cell r="E1120">
            <v>1.0529999999999999E-2</v>
          </cell>
        </row>
        <row r="1121">
          <cell r="C1121" t="str">
            <v>North Shore - Riverside</v>
          </cell>
          <cell r="D1121">
            <v>8.7000000000000008E-2</v>
          </cell>
          <cell r="E1121">
            <v>1.0970000000000001E-2</v>
          </cell>
        </row>
        <row r="1122">
          <cell r="C1122" t="str">
            <v>Northridge  - Los Angeles</v>
          </cell>
          <cell r="D1122">
            <v>8.2166666666666666E-2</v>
          </cell>
          <cell r="E1122">
            <v>1.1979999999999999E-2</v>
          </cell>
        </row>
        <row r="1123">
          <cell r="C1123" t="str">
            <v>Norton A.F.B. - San Bernardino</v>
          </cell>
          <cell r="D1123">
            <v>8.3833333333333329E-2</v>
          </cell>
          <cell r="E1123">
            <v>1.149E-2</v>
          </cell>
        </row>
        <row r="1124">
          <cell r="C1124" t="str">
            <v>Norwalk - Los Angeles</v>
          </cell>
          <cell r="D1124">
            <v>8.2166666666666666E-2</v>
          </cell>
          <cell r="E1124">
            <v>1.1979999999999999E-2</v>
          </cell>
        </row>
        <row r="1125">
          <cell r="C1125" t="str">
            <v>Novato - Marin</v>
          </cell>
          <cell r="D1125">
            <v>4.1499999999999995E-2</v>
          </cell>
          <cell r="E1125">
            <v>1.1000000000000001E-2</v>
          </cell>
        </row>
        <row r="1126">
          <cell r="C1126" t="str">
            <v>Nubieber - Lassen</v>
          </cell>
          <cell r="D1126">
            <v>9.4750000000000001E-2</v>
          </cell>
          <cell r="E1126">
            <v>1.027E-2</v>
          </cell>
        </row>
        <row r="1127">
          <cell r="C1127" t="str">
            <v>Nuevo - Riverside</v>
          </cell>
          <cell r="D1127">
            <v>8.7000000000000008E-2</v>
          </cell>
          <cell r="E1127">
            <v>1.0970000000000001E-2</v>
          </cell>
        </row>
        <row r="1128">
          <cell r="C1128" t="str">
            <v>Nyeland Acres - Ventura</v>
          </cell>
          <cell r="D1128">
            <v>6.6000000000000003E-2</v>
          </cell>
          <cell r="E1128">
            <v>1.0920000000000001E-2</v>
          </cell>
        </row>
        <row r="1129">
          <cell r="C1129" t="str">
            <v>Oak Park - Ventura</v>
          </cell>
          <cell r="D1129">
            <v>6.6000000000000003E-2</v>
          </cell>
          <cell r="E1129">
            <v>1.0920000000000001E-2</v>
          </cell>
        </row>
        <row r="1130">
          <cell r="C1130" t="str">
            <v>Oak Run - Shasta</v>
          </cell>
          <cell r="D1130">
            <v>9.0499999999999983E-2</v>
          </cell>
          <cell r="E1130">
            <v>1.085E-2</v>
          </cell>
        </row>
        <row r="1131">
          <cell r="C1131" t="str">
            <v>Oak View - Ventura</v>
          </cell>
          <cell r="D1131">
            <v>6.6000000000000003E-2</v>
          </cell>
          <cell r="E1131">
            <v>1.0920000000000001E-2</v>
          </cell>
        </row>
        <row r="1132">
          <cell r="C1132" t="str">
            <v>Oakdale - Stanislaus</v>
          </cell>
          <cell r="D1132">
            <v>0.114</v>
          </cell>
          <cell r="E1132">
            <v>1.1180000000000001E-2</v>
          </cell>
        </row>
        <row r="1133">
          <cell r="C1133" t="str">
            <v>Oakhurst - Madera</v>
          </cell>
          <cell r="D1133">
            <v>0.10325000000000001</v>
          </cell>
          <cell r="E1133">
            <v>1.0149999999999999E-2</v>
          </cell>
        </row>
        <row r="1134">
          <cell r="C1134" t="str">
            <v>Oakland - Alameda</v>
          </cell>
          <cell r="D1134">
            <v>0.06</v>
          </cell>
          <cell r="E1134">
            <v>1.214E-2</v>
          </cell>
        </row>
        <row r="1135">
          <cell r="C1135" t="str">
            <v>Oakley - Contra Costa</v>
          </cell>
          <cell r="D1135">
            <v>6.1416666666666668E-2</v>
          </cell>
          <cell r="E1135">
            <v>1.1379999999999999E-2</v>
          </cell>
        </row>
        <row r="1136">
          <cell r="C1136" t="str">
            <v>Oakville - Napa</v>
          </cell>
          <cell r="D1136">
            <v>5.1833333333333328E-2</v>
          </cell>
          <cell r="E1136">
            <v>1.0900000000000002E-2</v>
          </cell>
        </row>
        <row r="1137">
          <cell r="C1137" t="str">
            <v>Oasis - Riverside</v>
          </cell>
          <cell r="D1137">
            <v>8.7000000000000008E-2</v>
          </cell>
          <cell r="E1137">
            <v>1.0970000000000001E-2</v>
          </cell>
        </row>
        <row r="1138">
          <cell r="C1138" t="str">
            <v>Oban - Los Angeles</v>
          </cell>
          <cell r="D1138">
            <v>8.2166666666666666E-2</v>
          </cell>
          <cell r="E1138">
            <v>1.1979999999999999E-2</v>
          </cell>
        </row>
        <row r="1139">
          <cell r="C1139" t="str">
            <v>O'Brien - Shasta</v>
          </cell>
          <cell r="D1139">
            <v>9.0499999999999983E-2</v>
          </cell>
          <cell r="E1139">
            <v>1.085E-2</v>
          </cell>
        </row>
        <row r="1140">
          <cell r="C1140" t="str">
            <v>Occidental - Sonoma</v>
          </cell>
          <cell r="D1140">
            <v>5.4333333333333324E-2</v>
          </cell>
          <cell r="E1140">
            <v>1.1180000000000001E-2</v>
          </cell>
        </row>
        <row r="1141">
          <cell r="C1141" t="str">
            <v>Oceano - San Luis Obispo</v>
          </cell>
          <cell r="D1141">
            <v>5.5916666666666656E-2</v>
          </cell>
          <cell r="E1141">
            <v>1.0189999999999999E-2</v>
          </cell>
        </row>
        <row r="1142">
          <cell r="C1142" t="str">
            <v>Oceanside - San Diego</v>
          </cell>
          <cell r="D1142">
            <v>6.2E-2</v>
          </cell>
          <cell r="E1142">
            <v>1.1080000000000001E-2</v>
          </cell>
        </row>
        <row r="1143">
          <cell r="C1143" t="str">
            <v>Ocotillo - Imperial</v>
          </cell>
          <cell r="D1143">
            <v>0.23408333333333331</v>
          </cell>
          <cell r="E1143">
            <v>1.1299999999999999E-2</v>
          </cell>
        </row>
        <row r="1144">
          <cell r="C1144" t="str">
            <v>Ocotillo Wells - San Diego</v>
          </cell>
          <cell r="D1144">
            <v>6.2E-2</v>
          </cell>
          <cell r="E1144">
            <v>1.1080000000000001E-2</v>
          </cell>
        </row>
        <row r="1145">
          <cell r="C1145" t="str">
            <v>Oildale - Kern</v>
          </cell>
          <cell r="D1145">
            <v>0.10558333333333332</v>
          </cell>
          <cell r="E1145">
            <v>1.15E-2</v>
          </cell>
        </row>
        <row r="1146">
          <cell r="C1146" t="str">
            <v>Ojai - Ventura</v>
          </cell>
          <cell r="D1146">
            <v>6.6000000000000003E-2</v>
          </cell>
          <cell r="E1146">
            <v>1.0920000000000001E-2</v>
          </cell>
        </row>
        <row r="1147">
          <cell r="C1147" t="str">
            <v>Olancha - Inyo</v>
          </cell>
          <cell r="D1147">
            <v>7.1833333333333332E-2</v>
          </cell>
          <cell r="E1147">
            <v>1.056E-2</v>
          </cell>
        </row>
        <row r="1148">
          <cell r="C1148" t="str">
            <v>Old Station - Shasta</v>
          </cell>
          <cell r="D1148">
            <v>9.0499999999999983E-2</v>
          </cell>
          <cell r="E1148">
            <v>1.085E-2</v>
          </cell>
        </row>
        <row r="1149">
          <cell r="C1149" t="str">
            <v>Olema - Marin</v>
          </cell>
          <cell r="D1149">
            <v>4.1499999999999995E-2</v>
          </cell>
          <cell r="E1149">
            <v>1.1000000000000001E-2</v>
          </cell>
        </row>
        <row r="1150">
          <cell r="C1150" t="str">
            <v>Olinda - Shasta</v>
          </cell>
          <cell r="D1150">
            <v>9.0499999999999983E-2</v>
          </cell>
          <cell r="E1150">
            <v>1.085E-2</v>
          </cell>
        </row>
        <row r="1151">
          <cell r="C1151" t="str">
            <v>Olive View  - Los Angeles</v>
          </cell>
          <cell r="D1151">
            <v>8.2166666666666666E-2</v>
          </cell>
          <cell r="E1151">
            <v>1.1979999999999999E-2</v>
          </cell>
        </row>
        <row r="1152">
          <cell r="C1152" t="str">
            <v>Olivehurst - Yuba</v>
          </cell>
          <cell r="D1152">
            <v>0.12291666666666666</v>
          </cell>
          <cell r="E1152">
            <v>1.1180000000000001E-2</v>
          </cell>
        </row>
        <row r="1153">
          <cell r="C1153" t="str">
            <v>Olivenhain  - San Diego</v>
          </cell>
          <cell r="D1153">
            <v>6.2E-2</v>
          </cell>
          <cell r="E1153">
            <v>1.1080000000000001E-2</v>
          </cell>
        </row>
        <row r="1154">
          <cell r="C1154" t="str">
            <v>Olympic Valley - Placer</v>
          </cell>
          <cell r="D1154">
            <v>6.2166666666666662E-2</v>
          </cell>
          <cell r="E1154">
            <v>1.0869999999999999E-2</v>
          </cell>
        </row>
        <row r="1155">
          <cell r="C1155" t="str">
            <v>Omo Ranch - El Dorado</v>
          </cell>
          <cell r="D1155">
            <v>7.0916666666666683E-2</v>
          </cell>
          <cell r="E1155">
            <v>1.0709999999999999E-2</v>
          </cell>
        </row>
        <row r="1156">
          <cell r="C1156" t="str">
            <v>O'Neals - Madera</v>
          </cell>
          <cell r="D1156">
            <v>0.10325000000000001</v>
          </cell>
          <cell r="E1156">
            <v>1.0149999999999999E-2</v>
          </cell>
        </row>
        <row r="1157">
          <cell r="C1157" t="str">
            <v>Ono - Shasta</v>
          </cell>
          <cell r="D1157">
            <v>9.0499999999999983E-2</v>
          </cell>
          <cell r="E1157">
            <v>1.085E-2</v>
          </cell>
        </row>
        <row r="1158">
          <cell r="C1158" t="str">
            <v>Ontario - San Bernardino</v>
          </cell>
          <cell r="D1158">
            <v>8.3833333333333329E-2</v>
          </cell>
          <cell r="E1158">
            <v>1.149E-2</v>
          </cell>
        </row>
        <row r="1159">
          <cell r="C1159" t="str">
            <v>Onyx - Kern</v>
          </cell>
          <cell r="D1159">
            <v>0.10558333333333332</v>
          </cell>
          <cell r="E1159">
            <v>1.15E-2</v>
          </cell>
        </row>
        <row r="1160">
          <cell r="C1160" t="str">
            <v>Opal Cliffs - Santa Cruz</v>
          </cell>
          <cell r="D1160">
            <v>8.1666666666666665E-2</v>
          </cell>
          <cell r="E1160">
            <v>1.0940000000000002E-2</v>
          </cell>
        </row>
        <row r="1161">
          <cell r="C1161" t="str">
            <v>Orange - Orange</v>
          </cell>
          <cell r="D1161">
            <v>5.2749999999999991E-2</v>
          </cell>
          <cell r="E1161">
            <v>1.061E-2</v>
          </cell>
        </row>
        <row r="1162">
          <cell r="C1162" t="str">
            <v>Orange Cove - Fresno</v>
          </cell>
          <cell r="D1162">
            <v>0.11366666666666669</v>
          </cell>
          <cell r="E1162">
            <v>1.166E-2</v>
          </cell>
        </row>
        <row r="1163">
          <cell r="C1163" t="str">
            <v>Orangevale - Sacramento</v>
          </cell>
          <cell r="D1163">
            <v>7.2666666666666671E-2</v>
          </cell>
          <cell r="E1163">
            <v>1.1169999999999999E-2</v>
          </cell>
        </row>
        <row r="1164">
          <cell r="C1164" t="str">
            <v>Orcutt - Santa Barbara</v>
          </cell>
          <cell r="D1164">
            <v>5.8999999999999997E-2</v>
          </cell>
          <cell r="E1164">
            <v>1.055E-2</v>
          </cell>
        </row>
        <row r="1165">
          <cell r="C1165" t="str">
            <v>Ordbend - Glenn</v>
          </cell>
          <cell r="D1165">
            <v>0.10549999999999998</v>
          </cell>
          <cell r="E1165">
            <v>1.0500000000000001E-2</v>
          </cell>
        </row>
        <row r="1166">
          <cell r="C1166" t="str">
            <v>Oregon House - Yuba</v>
          </cell>
          <cell r="D1166">
            <v>0.12291666666666666</v>
          </cell>
          <cell r="E1166">
            <v>1.1180000000000001E-2</v>
          </cell>
        </row>
        <row r="1167">
          <cell r="C1167" t="str">
            <v>Orick - Humboldt</v>
          </cell>
          <cell r="D1167">
            <v>7.3666666666666672E-2</v>
          </cell>
          <cell r="E1167">
            <v>1.043E-2</v>
          </cell>
        </row>
        <row r="1168">
          <cell r="C1168" t="str">
            <v>Orinda - Contra Costa</v>
          </cell>
          <cell r="D1168">
            <v>6.1416666666666668E-2</v>
          </cell>
          <cell r="E1168">
            <v>1.1379999999999999E-2</v>
          </cell>
        </row>
        <row r="1169">
          <cell r="C1169" t="str">
            <v>Orland - Glenn</v>
          </cell>
          <cell r="D1169">
            <v>0.10549999999999998</v>
          </cell>
          <cell r="E1169">
            <v>1.0500000000000001E-2</v>
          </cell>
        </row>
        <row r="1170">
          <cell r="C1170" t="str">
            <v>Orleans - Humboldt</v>
          </cell>
          <cell r="D1170">
            <v>7.3666666666666672E-2</v>
          </cell>
          <cell r="E1170">
            <v>1.043E-2</v>
          </cell>
        </row>
        <row r="1171">
          <cell r="C1171" t="str">
            <v>Oro Grande - San Bernardino</v>
          </cell>
          <cell r="D1171">
            <v>8.3833333333333329E-2</v>
          </cell>
          <cell r="E1171">
            <v>1.149E-2</v>
          </cell>
        </row>
        <row r="1172">
          <cell r="C1172" t="str">
            <v>Orosi - Tulare</v>
          </cell>
          <cell r="D1172">
            <v>0.12874999999999998</v>
          </cell>
          <cell r="E1172">
            <v>1.0840000000000001E-2</v>
          </cell>
        </row>
        <row r="1173">
          <cell r="C1173" t="str">
            <v>Oroville - Butte</v>
          </cell>
          <cell r="D1173">
            <v>8.4749999999999992E-2</v>
          </cell>
          <cell r="E1173">
            <v>1.052E-2</v>
          </cell>
        </row>
        <row r="1174">
          <cell r="C1174" t="str">
            <v>Otay  - San Diego</v>
          </cell>
          <cell r="D1174">
            <v>6.2E-2</v>
          </cell>
          <cell r="E1174">
            <v>1.1080000000000001E-2</v>
          </cell>
        </row>
        <row r="1175">
          <cell r="C1175" t="str">
            <v>Oxnard - Ventura</v>
          </cell>
          <cell r="D1175">
            <v>6.6000000000000003E-2</v>
          </cell>
          <cell r="E1175">
            <v>1.0920000000000001E-2</v>
          </cell>
        </row>
        <row r="1176">
          <cell r="C1176" t="str">
            <v>Pacheco - Contra Costa</v>
          </cell>
          <cell r="D1176">
            <v>6.1416666666666668E-2</v>
          </cell>
          <cell r="E1176">
            <v>1.1379999999999999E-2</v>
          </cell>
        </row>
        <row r="1177">
          <cell r="C1177" t="str">
            <v>Pacific Grove - Monterey</v>
          </cell>
          <cell r="D1177">
            <v>9.1249999999999998E-2</v>
          </cell>
          <cell r="E1177">
            <v>1.085E-2</v>
          </cell>
        </row>
        <row r="1178">
          <cell r="C1178" t="str">
            <v>Pacific House - El Dorado</v>
          </cell>
          <cell r="D1178">
            <v>7.0916666666666683E-2</v>
          </cell>
          <cell r="E1178">
            <v>1.0709999999999999E-2</v>
          </cell>
        </row>
        <row r="1179">
          <cell r="C1179" t="str">
            <v>Pacific Palisades - Los Angeles</v>
          </cell>
          <cell r="D1179">
            <v>8.2166666666666666E-2</v>
          </cell>
          <cell r="E1179">
            <v>1.1979999999999999E-2</v>
          </cell>
        </row>
        <row r="1180">
          <cell r="C1180" t="str">
            <v>Pacifica - San Mateo</v>
          </cell>
          <cell r="D1180">
            <v>4.3500000000000004E-2</v>
          </cell>
          <cell r="E1180">
            <v>1.099E-2</v>
          </cell>
        </row>
        <row r="1181">
          <cell r="C1181" t="str">
            <v>Pacoima  - Los Angeles</v>
          </cell>
          <cell r="D1181">
            <v>8.2166666666666666E-2</v>
          </cell>
          <cell r="E1181">
            <v>1.1979999999999999E-2</v>
          </cell>
        </row>
        <row r="1182">
          <cell r="C1182" t="str">
            <v>Paicines - San Benito</v>
          </cell>
          <cell r="D1182">
            <v>9.3250000000000013E-2</v>
          </cell>
          <cell r="E1182">
            <v>1.1550000000000001E-2</v>
          </cell>
        </row>
        <row r="1183">
          <cell r="C1183" t="str">
            <v>Pajaro - Monterey</v>
          </cell>
          <cell r="D1183">
            <v>9.1249999999999998E-2</v>
          </cell>
          <cell r="E1183">
            <v>1.085E-2</v>
          </cell>
        </row>
        <row r="1184">
          <cell r="C1184" t="str">
            <v>Pala - San Diego</v>
          </cell>
          <cell r="D1184">
            <v>6.2E-2</v>
          </cell>
          <cell r="E1184">
            <v>1.1080000000000001E-2</v>
          </cell>
        </row>
        <row r="1185">
          <cell r="C1185" t="str">
            <v>Palermo - Butte</v>
          </cell>
          <cell r="D1185">
            <v>8.4749999999999992E-2</v>
          </cell>
          <cell r="E1185">
            <v>1.052E-2</v>
          </cell>
        </row>
        <row r="1186">
          <cell r="C1186" t="str">
            <v>Pallett - Los Angeles</v>
          </cell>
          <cell r="D1186">
            <v>8.2166666666666666E-2</v>
          </cell>
          <cell r="E1186">
            <v>1.1979999999999999E-2</v>
          </cell>
        </row>
        <row r="1187">
          <cell r="C1187" t="str">
            <v>Palm City  - San Diego</v>
          </cell>
          <cell r="D1187">
            <v>6.2E-2</v>
          </cell>
          <cell r="E1187">
            <v>1.1080000000000001E-2</v>
          </cell>
        </row>
        <row r="1188">
          <cell r="C1188" t="str">
            <v>Palm City - Riverside</v>
          </cell>
          <cell r="D1188">
            <v>8.7000000000000008E-2</v>
          </cell>
          <cell r="E1188">
            <v>1.0970000000000001E-2</v>
          </cell>
        </row>
        <row r="1189">
          <cell r="C1189" t="str">
            <v>Palm Desert - Riverside</v>
          </cell>
          <cell r="D1189">
            <v>8.7000000000000008E-2</v>
          </cell>
          <cell r="E1189">
            <v>1.0970000000000001E-2</v>
          </cell>
        </row>
        <row r="1190">
          <cell r="C1190" t="str">
            <v>Palm Springs - Riverside</v>
          </cell>
          <cell r="D1190">
            <v>8.7000000000000008E-2</v>
          </cell>
          <cell r="E1190">
            <v>1.0970000000000001E-2</v>
          </cell>
        </row>
        <row r="1191">
          <cell r="C1191" t="str">
            <v>Palmdale - Los Angeles</v>
          </cell>
          <cell r="D1191">
            <v>8.2166666666666666E-2</v>
          </cell>
          <cell r="E1191">
            <v>1.1979999999999999E-2</v>
          </cell>
        </row>
        <row r="1192">
          <cell r="C1192" t="str">
            <v>Palo Alto - Santa Clara</v>
          </cell>
          <cell r="D1192">
            <v>5.4583333333333331E-2</v>
          </cell>
          <cell r="E1192">
            <v>1.2030000000000001E-2</v>
          </cell>
        </row>
        <row r="1193">
          <cell r="C1193" t="str">
            <v>Palo Cedro - Shasta</v>
          </cell>
          <cell r="D1193">
            <v>9.0499999999999983E-2</v>
          </cell>
          <cell r="E1193">
            <v>1.085E-2</v>
          </cell>
        </row>
        <row r="1194">
          <cell r="C1194" t="str">
            <v>Palo Verde - Imperial</v>
          </cell>
          <cell r="D1194">
            <v>0.23408333333333331</v>
          </cell>
          <cell r="E1194">
            <v>1.1299999999999999E-2</v>
          </cell>
        </row>
        <row r="1195">
          <cell r="C1195" t="str">
            <v>Palomar Mountain - San Diego</v>
          </cell>
          <cell r="D1195">
            <v>6.2E-2</v>
          </cell>
          <cell r="E1195">
            <v>1.1080000000000001E-2</v>
          </cell>
        </row>
        <row r="1196">
          <cell r="C1196" t="str">
            <v>Palos Verdes Estates - Los Angeles</v>
          </cell>
          <cell r="D1196">
            <v>8.2166666666666666E-2</v>
          </cell>
          <cell r="E1196">
            <v>1.1979999999999999E-2</v>
          </cell>
        </row>
        <row r="1197">
          <cell r="C1197" t="str">
            <v>Palos Verdes/Peninsula - Los Angeles</v>
          </cell>
          <cell r="D1197">
            <v>8.2166666666666666E-2</v>
          </cell>
          <cell r="E1197">
            <v>1.1979999999999999E-2</v>
          </cell>
        </row>
        <row r="1198">
          <cell r="C1198" t="str">
            <v>Panorama City  - Los Angeles</v>
          </cell>
          <cell r="D1198">
            <v>8.2166666666666666E-2</v>
          </cell>
          <cell r="E1198">
            <v>1.1979999999999999E-2</v>
          </cell>
        </row>
        <row r="1199">
          <cell r="C1199" t="str">
            <v>Paradise - Butte</v>
          </cell>
          <cell r="D1199">
            <v>8.4749999999999992E-2</v>
          </cell>
          <cell r="E1199">
            <v>1.052E-2</v>
          </cell>
        </row>
        <row r="1200">
          <cell r="C1200" t="str">
            <v>Paramount - Los Angeles</v>
          </cell>
          <cell r="D1200">
            <v>8.2166666666666666E-2</v>
          </cell>
          <cell r="E1200">
            <v>1.1979999999999999E-2</v>
          </cell>
        </row>
        <row r="1201">
          <cell r="C1201" t="str">
            <v>Parker Dam - San Bernardino</v>
          </cell>
          <cell r="D1201">
            <v>8.3833333333333329E-2</v>
          </cell>
          <cell r="E1201">
            <v>1.149E-2</v>
          </cell>
        </row>
        <row r="1202">
          <cell r="C1202" t="str">
            <v>Parkfield - Monterey</v>
          </cell>
          <cell r="D1202">
            <v>9.1249999999999998E-2</v>
          </cell>
          <cell r="E1202">
            <v>1.085E-2</v>
          </cell>
        </row>
        <row r="1203">
          <cell r="C1203" t="str">
            <v>Parlier - Fresno</v>
          </cell>
          <cell r="D1203">
            <v>0.11366666666666669</v>
          </cell>
          <cell r="E1203">
            <v>1.166E-2</v>
          </cell>
        </row>
        <row r="1204">
          <cell r="C1204" t="str">
            <v>Pasadena - Los Angeles</v>
          </cell>
          <cell r="D1204">
            <v>8.2166666666666666E-2</v>
          </cell>
          <cell r="E1204">
            <v>1.1979999999999999E-2</v>
          </cell>
        </row>
        <row r="1205">
          <cell r="C1205" t="str">
            <v>Paskenta - Tehama</v>
          </cell>
          <cell r="D1205">
            <v>9.7333333333333327E-2</v>
          </cell>
          <cell r="E1205">
            <v>1.023E-2</v>
          </cell>
        </row>
        <row r="1206">
          <cell r="C1206" t="str">
            <v>Paso Robles - San Luis Obispo</v>
          </cell>
          <cell r="D1206">
            <v>5.5916666666666656E-2</v>
          </cell>
          <cell r="E1206">
            <v>1.0189999999999999E-2</v>
          </cell>
        </row>
        <row r="1207">
          <cell r="C1207" t="str">
            <v>Patterson - Stanislaus</v>
          </cell>
          <cell r="D1207">
            <v>0.114</v>
          </cell>
          <cell r="E1207">
            <v>1.1180000000000001E-2</v>
          </cell>
        </row>
        <row r="1208">
          <cell r="C1208" t="str">
            <v>Patton - San Bernardino</v>
          </cell>
          <cell r="D1208">
            <v>8.3833333333333329E-2</v>
          </cell>
          <cell r="E1208">
            <v>1.149E-2</v>
          </cell>
        </row>
        <row r="1209">
          <cell r="C1209" t="str">
            <v>Pauma Valley - San Diego</v>
          </cell>
          <cell r="D1209">
            <v>6.2E-2</v>
          </cell>
          <cell r="E1209">
            <v>1.1080000000000001E-2</v>
          </cell>
        </row>
        <row r="1210">
          <cell r="C1210" t="str">
            <v>Paynes Creek - Tehama</v>
          </cell>
          <cell r="D1210">
            <v>9.7333333333333327E-2</v>
          </cell>
          <cell r="E1210">
            <v>1.023E-2</v>
          </cell>
        </row>
        <row r="1211">
          <cell r="C1211" t="str">
            <v>Pearblossom - Los Angeles</v>
          </cell>
          <cell r="D1211">
            <v>8.2166666666666666E-2</v>
          </cell>
          <cell r="E1211">
            <v>1.1979999999999999E-2</v>
          </cell>
        </row>
        <row r="1212">
          <cell r="C1212" t="str">
            <v>Pearland - Los Angeles</v>
          </cell>
          <cell r="D1212">
            <v>8.2166666666666666E-2</v>
          </cell>
          <cell r="E1212">
            <v>1.1979999999999999E-2</v>
          </cell>
        </row>
        <row r="1213">
          <cell r="C1213" t="str">
            <v>Pebble Beach - Monterey</v>
          </cell>
          <cell r="D1213">
            <v>9.1249999999999998E-2</v>
          </cell>
          <cell r="E1213">
            <v>1.085E-2</v>
          </cell>
        </row>
        <row r="1214">
          <cell r="C1214" t="str">
            <v>Pedley - Riverside</v>
          </cell>
          <cell r="D1214">
            <v>8.7000000000000008E-2</v>
          </cell>
          <cell r="E1214">
            <v>1.0970000000000001E-2</v>
          </cell>
        </row>
        <row r="1215">
          <cell r="C1215" t="str">
            <v>Peninsula Village - Plumas</v>
          </cell>
          <cell r="D1215">
            <v>0.10208333333333332</v>
          </cell>
          <cell r="E1215">
            <v>1.0369999999999999E-2</v>
          </cell>
        </row>
        <row r="1216">
          <cell r="C1216" t="str">
            <v>Penn Valley - Nevada</v>
          </cell>
          <cell r="D1216">
            <v>6.4083333333333339E-2</v>
          </cell>
          <cell r="E1216">
            <v>1.0529999999999999E-2</v>
          </cell>
        </row>
        <row r="1217">
          <cell r="C1217" t="str">
            <v>Penngrove - Sonoma</v>
          </cell>
          <cell r="D1217">
            <v>5.4333333333333324E-2</v>
          </cell>
          <cell r="E1217">
            <v>1.1180000000000001E-2</v>
          </cell>
        </row>
        <row r="1218">
          <cell r="C1218" t="str">
            <v>Penryn - Placer</v>
          </cell>
          <cell r="D1218">
            <v>6.2166666666666662E-2</v>
          </cell>
          <cell r="E1218">
            <v>1.0869999999999999E-2</v>
          </cell>
        </row>
        <row r="1219">
          <cell r="C1219" t="str">
            <v>Pepperwood - Humboldt</v>
          </cell>
          <cell r="D1219">
            <v>7.3666666666666672E-2</v>
          </cell>
          <cell r="E1219">
            <v>1.043E-2</v>
          </cell>
        </row>
        <row r="1220">
          <cell r="C1220" t="str">
            <v>Permanente - Santa Clara</v>
          </cell>
          <cell r="D1220">
            <v>5.4583333333333331E-2</v>
          </cell>
          <cell r="E1220">
            <v>1.2030000000000001E-2</v>
          </cell>
        </row>
        <row r="1221">
          <cell r="C1221" t="str">
            <v>Perris - Riverside</v>
          </cell>
          <cell r="D1221">
            <v>8.7000000000000008E-2</v>
          </cell>
          <cell r="E1221">
            <v>1.0970000000000001E-2</v>
          </cell>
        </row>
        <row r="1222">
          <cell r="C1222" t="str">
            <v>Perry  - Los Angeles</v>
          </cell>
          <cell r="D1222">
            <v>8.2166666666666666E-2</v>
          </cell>
          <cell r="E1222">
            <v>1.1979999999999999E-2</v>
          </cell>
        </row>
        <row r="1223">
          <cell r="C1223" t="str">
            <v>Pescadero - San Mateo</v>
          </cell>
          <cell r="D1223">
            <v>4.3500000000000004E-2</v>
          </cell>
          <cell r="E1223">
            <v>1.099E-2</v>
          </cell>
        </row>
        <row r="1224">
          <cell r="C1224" t="str">
            <v>Petaluma - Sonoma</v>
          </cell>
          <cell r="D1224">
            <v>5.4333333333333324E-2</v>
          </cell>
          <cell r="E1224">
            <v>1.1180000000000001E-2</v>
          </cell>
        </row>
        <row r="1225">
          <cell r="C1225" t="str">
            <v>Petrolia - Humboldt</v>
          </cell>
          <cell r="D1225">
            <v>7.3666666666666672E-2</v>
          </cell>
          <cell r="E1225">
            <v>1.043E-2</v>
          </cell>
        </row>
        <row r="1226">
          <cell r="C1226" t="str">
            <v>Phelan - San Bernardino</v>
          </cell>
          <cell r="D1226">
            <v>8.3833333333333329E-2</v>
          </cell>
          <cell r="E1226">
            <v>1.149E-2</v>
          </cell>
        </row>
        <row r="1227">
          <cell r="C1227" t="str">
            <v>Phillipsville - Humboldt</v>
          </cell>
          <cell r="D1227">
            <v>7.3666666666666672E-2</v>
          </cell>
          <cell r="E1227">
            <v>1.043E-2</v>
          </cell>
        </row>
        <row r="1228">
          <cell r="C1228" t="str">
            <v>Philo - Mendocino</v>
          </cell>
          <cell r="D1228">
            <v>6.5750000000000003E-2</v>
          </cell>
          <cell r="E1228">
            <v>1.123E-2</v>
          </cell>
        </row>
        <row r="1229">
          <cell r="C1229" t="str">
            <v>Pico Rivera - Los Angeles</v>
          </cell>
          <cell r="D1229">
            <v>8.2166666666666666E-2</v>
          </cell>
          <cell r="E1229">
            <v>1.1979999999999999E-2</v>
          </cell>
        </row>
        <row r="1230">
          <cell r="C1230" t="str">
            <v>Piedmont - Alameda</v>
          </cell>
          <cell r="D1230">
            <v>0.06</v>
          </cell>
          <cell r="E1230">
            <v>1.214E-2</v>
          </cell>
        </row>
        <row r="1231">
          <cell r="C1231" t="str">
            <v>Piedra - Fresno</v>
          </cell>
          <cell r="D1231">
            <v>0.11366666666666669</v>
          </cell>
          <cell r="E1231">
            <v>1.166E-2</v>
          </cell>
        </row>
        <row r="1232">
          <cell r="C1232" t="str">
            <v>Piercy - Mendocino</v>
          </cell>
          <cell r="D1232">
            <v>6.5750000000000003E-2</v>
          </cell>
          <cell r="E1232">
            <v>1.123E-2</v>
          </cell>
        </row>
        <row r="1233">
          <cell r="C1233" t="str">
            <v>Pilot Hill - El Dorado</v>
          </cell>
          <cell r="D1233">
            <v>7.0916666666666683E-2</v>
          </cell>
          <cell r="E1233">
            <v>1.0709999999999999E-2</v>
          </cell>
        </row>
        <row r="1234">
          <cell r="C1234" t="str">
            <v>Pine Grove - Amador</v>
          </cell>
          <cell r="D1234">
            <v>8.1583333333333327E-2</v>
          </cell>
          <cell r="E1234">
            <v>1.0169999999999998E-2</v>
          </cell>
        </row>
        <row r="1235">
          <cell r="C1235" t="str">
            <v>Pine Valley - San Diego</v>
          </cell>
          <cell r="D1235">
            <v>6.2E-2</v>
          </cell>
          <cell r="E1235">
            <v>1.1080000000000001E-2</v>
          </cell>
        </row>
        <row r="1236">
          <cell r="C1236" t="str">
            <v>Pinecrest - Tuolumne</v>
          </cell>
          <cell r="D1236">
            <v>8.0750000000000016E-2</v>
          </cell>
          <cell r="E1236">
            <v>1.061E-2</v>
          </cell>
        </row>
        <row r="1237">
          <cell r="C1237" t="str">
            <v>Pinedale  - Fresno</v>
          </cell>
          <cell r="D1237">
            <v>0.11366666666666669</v>
          </cell>
          <cell r="E1237">
            <v>1.166E-2</v>
          </cell>
        </row>
        <row r="1238">
          <cell r="C1238" t="str">
            <v>Pinetree - Los Angeles</v>
          </cell>
          <cell r="D1238">
            <v>8.2166666666666666E-2</v>
          </cell>
          <cell r="E1238">
            <v>1.1979999999999999E-2</v>
          </cell>
        </row>
        <row r="1239">
          <cell r="C1239" t="str">
            <v>Pinole - Contra Costa</v>
          </cell>
          <cell r="D1239">
            <v>6.1416666666666668E-2</v>
          </cell>
          <cell r="E1239">
            <v>1.1379999999999999E-2</v>
          </cell>
        </row>
        <row r="1240">
          <cell r="C1240" t="str">
            <v>Pinon Hills - San Bernardino</v>
          </cell>
          <cell r="D1240">
            <v>8.3833333333333329E-2</v>
          </cell>
          <cell r="E1240">
            <v>1.149E-2</v>
          </cell>
        </row>
        <row r="1241">
          <cell r="C1241" t="str">
            <v>Pioneer - Amador</v>
          </cell>
          <cell r="D1241">
            <v>8.1583333333333327E-2</v>
          </cell>
          <cell r="E1241">
            <v>1.0169999999999998E-2</v>
          </cell>
        </row>
        <row r="1242">
          <cell r="C1242" t="str">
            <v>Pioneertown - San Bernardino</v>
          </cell>
          <cell r="D1242">
            <v>8.3833333333333329E-2</v>
          </cell>
          <cell r="E1242">
            <v>1.149E-2</v>
          </cell>
        </row>
        <row r="1243">
          <cell r="C1243" t="str">
            <v>Piru - Ventura</v>
          </cell>
          <cell r="D1243">
            <v>6.6000000000000003E-2</v>
          </cell>
          <cell r="E1243">
            <v>1.0920000000000001E-2</v>
          </cell>
        </row>
        <row r="1244">
          <cell r="C1244" t="str">
            <v>Pismo Beach - San Luis Obispo</v>
          </cell>
          <cell r="D1244">
            <v>5.5916666666666656E-2</v>
          </cell>
          <cell r="E1244">
            <v>1.0189999999999999E-2</v>
          </cell>
        </row>
        <row r="1245">
          <cell r="C1245" t="str">
            <v>Pittsburg - Contra Costa</v>
          </cell>
          <cell r="D1245">
            <v>6.1416666666666668E-2</v>
          </cell>
          <cell r="E1245">
            <v>1.1379999999999999E-2</v>
          </cell>
        </row>
        <row r="1246">
          <cell r="C1246" t="str">
            <v>Pixley - Tulare</v>
          </cell>
          <cell r="D1246">
            <v>0.12874999999999998</v>
          </cell>
          <cell r="E1246">
            <v>1.0840000000000001E-2</v>
          </cell>
        </row>
        <row r="1247">
          <cell r="C1247" t="str">
            <v>Placentia - Orange</v>
          </cell>
          <cell r="D1247">
            <v>5.2749999999999991E-2</v>
          </cell>
          <cell r="E1247">
            <v>1.061E-2</v>
          </cell>
        </row>
        <row r="1248">
          <cell r="C1248" t="str">
            <v>Placerville - El Dorado</v>
          </cell>
          <cell r="D1248">
            <v>7.0916666666666683E-2</v>
          </cell>
          <cell r="E1248">
            <v>1.0709999999999999E-2</v>
          </cell>
        </row>
        <row r="1249">
          <cell r="C1249" t="str">
            <v>Plainview - Tulare</v>
          </cell>
          <cell r="D1249">
            <v>0.12874999999999998</v>
          </cell>
          <cell r="E1249">
            <v>1.0840000000000001E-2</v>
          </cell>
        </row>
        <row r="1250">
          <cell r="C1250" t="str">
            <v>Planada - Merced</v>
          </cell>
          <cell r="D1250">
            <v>0.13066666666666668</v>
          </cell>
          <cell r="E1250">
            <v>1.099E-2</v>
          </cell>
        </row>
        <row r="1251">
          <cell r="C1251" t="str">
            <v>Plaster City - Imperial</v>
          </cell>
          <cell r="D1251">
            <v>0.23408333333333331</v>
          </cell>
          <cell r="E1251">
            <v>1.1299999999999999E-2</v>
          </cell>
        </row>
        <row r="1252">
          <cell r="C1252" t="str">
            <v>Platina - Shasta</v>
          </cell>
          <cell r="D1252">
            <v>9.0499999999999983E-2</v>
          </cell>
          <cell r="E1252">
            <v>1.085E-2</v>
          </cell>
        </row>
        <row r="1253">
          <cell r="C1253" t="str">
            <v>Playa Del Rey - Los Angeles</v>
          </cell>
          <cell r="D1253">
            <v>8.2166666666666666E-2</v>
          </cell>
          <cell r="E1253">
            <v>1.1979999999999999E-2</v>
          </cell>
        </row>
        <row r="1254">
          <cell r="C1254" t="str">
            <v>Pleasant Grove - Sutter</v>
          </cell>
          <cell r="D1254">
            <v>0.13508333333333333</v>
          </cell>
          <cell r="E1254">
            <v>1.0900000000000002E-2</v>
          </cell>
        </row>
        <row r="1255">
          <cell r="C1255" t="str">
            <v>Pleasant Hill - Contra Costa</v>
          </cell>
          <cell r="D1255">
            <v>6.1416666666666668E-2</v>
          </cell>
          <cell r="E1255">
            <v>1.1379999999999999E-2</v>
          </cell>
        </row>
        <row r="1256">
          <cell r="C1256" t="str">
            <v>Pleasanton - Alameda</v>
          </cell>
          <cell r="D1256">
            <v>0.06</v>
          </cell>
          <cell r="E1256">
            <v>1.214E-2</v>
          </cell>
        </row>
        <row r="1257">
          <cell r="C1257" t="str">
            <v>Plymouth - Amador</v>
          </cell>
          <cell r="D1257">
            <v>8.1583333333333327E-2</v>
          </cell>
          <cell r="E1257">
            <v>1.0169999999999998E-2</v>
          </cell>
        </row>
        <row r="1258">
          <cell r="C1258" t="str">
            <v>Point Arena - Mendocino</v>
          </cell>
          <cell r="D1258">
            <v>6.5750000000000003E-2</v>
          </cell>
          <cell r="E1258">
            <v>1.123E-2</v>
          </cell>
        </row>
        <row r="1259">
          <cell r="C1259" t="str">
            <v>Point Mugu - Ventura</v>
          </cell>
          <cell r="D1259">
            <v>6.6000000000000003E-2</v>
          </cell>
          <cell r="E1259">
            <v>1.0920000000000001E-2</v>
          </cell>
        </row>
        <row r="1260">
          <cell r="C1260" t="str">
            <v>Point Pittsburg  - Contra Costa</v>
          </cell>
          <cell r="D1260">
            <v>6.1416666666666668E-2</v>
          </cell>
          <cell r="E1260">
            <v>1.1379999999999999E-2</v>
          </cell>
        </row>
        <row r="1261">
          <cell r="C1261" t="str">
            <v>Point Reyes Station - Marin</v>
          </cell>
          <cell r="D1261">
            <v>4.1499999999999995E-2</v>
          </cell>
          <cell r="E1261">
            <v>1.1000000000000001E-2</v>
          </cell>
        </row>
        <row r="1262">
          <cell r="C1262" t="str">
            <v>Pollock Pines - El Dorado</v>
          </cell>
          <cell r="D1262">
            <v>7.0916666666666683E-2</v>
          </cell>
          <cell r="E1262">
            <v>1.0709999999999999E-2</v>
          </cell>
        </row>
        <row r="1263">
          <cell r="C1263" t="str">
            <v>Pomona - Los Angeles</v>
          </cell>
          <cell r="D1263">
            <v>8.2166666666666666E-2</v>
          </cell>
          <cell r="E1263">
            <v>1.1979999999999999E-2</v>
          </cell>
        </row>
        <row r="1264">
          <cell r="C1264" t="str">
            <v>Pond - Kern</v>
          </cell>
          <cell r="D1264">
            <v>0.10558333333333332</v>
          </cell>
          <cell r="E1264">
            <v>1.15E-2</v>
          </cell>
        </row>
        <row r="1265">
          <cell r="C1265" t="str">
            <v>Pondosa - Siskiyou</v>
          </cell>
          <cell r="D1265">
            <v>0.11158333333333331</v>
          </cell>
          <cell r="E1265">
            <v>1.0489999999999999E-2</v>
          </cell>
        </row>
        <row r="1266">
          <cell r="C1266" t="str">
            <v>Pope Valley - Napa</v>
          </cell>
          <cell r="D1266">
            <v>5.1833333333333328E-2</v>
          </cell>
          <cell r="E1266">
            <v>1.0900000000000002E-2</v>
          </cell>
        </row>
        <row r="1267">
          <cell r="C1267" t="str">
            <v>Poplar - Tulare</v>
          </cell>
          <cell r="D1267">
            <v>0.12874999999999998</v>
          </cell>
          <cell r="E1267">
            <v>1.0840000000000001E-2</v>
          </cell>
        </row>
        <row r="1268">
          <cell r="C1268" t="str">
            <v>Port Costa - Contra Costa</v>
          </cell>
          <cell r="D1268">
            <v>6.1416666666666668E-2</v>
          </cell>
          <cell r="E1268">
            <v>1.1379999999999999E-2</v>
          </cell>
        </row>
        <row r="1269">
          <cell r="C1269" t="str">
            <v>Port Hueneme - Ventura</v>
          </cell>
          <cell r="D1269">
            <v>6.6000000000000003E-2</v>
          </cell>
          <cell r="E1269">
            <v>1.0920000000000001E-2</v>
          </cell>
        </row>
        <row r="1270">
          <cell r="C1270" t="str">
            <v>Porter Ranch  - Los Angeles</v>
          </cell>
          <cell r="D1270">
            <v>8.2166666666666666E-2</v>
          </cell>
          <cell r="E1270">
            <v>1.1979999999999999E-2</v>
          </cell>
        </row>
        <row r="1271">
          <cell r="C1271" t="str">
            <v>Porterville - Tulare</v>
          </cell>
          <cell r="D1271">
            <v>0.12874999999999998</v>
          </cell>
          <cell r="E1271">
            <v>1.0840000000000001E-2</v>
          </cell>
        </row>
        <row r="1272">
          <cell r="C1272" t="str">
            <v>Portola - Plumas</v>
          </cell>
          <cell r="D1272">
            <v>0.10208333333333332</v>
          </cell>
          <cell r="E1272">
            <v>1.0369999999999999E-2</v>
          </cell>
        </row>
        <row r="1273">
          <cell r="C1273" t="str">
            <v>Portola Valley - San Mateo</v>
          </cell>
          <cell r="D1273">
            <v>4.3500000000000004E-2</v>
          </cell>
          <cell r="E1273">
            <v>1.099E-2</v>
          </cell>
        </row>
        <row r="1274">
          <cell r="C1274" t="str">
            <v>Portuguese Bend - Los Angeles</v>
          </cell>
          <cell r="D1274">
            <v>8.2166666666666666E-2</v>
          </cell>
          <cell r="E1274">
            <v>1.1979999999999999E-2</v>
          </cell>
        </row>
        <row r="1275">
          <cell r="C1275" t="str">
            <v>Posey - Tulare</v>
          </cell>
          <cell r="D1275">
            <v>0.12874999999999998</v>
          </cell>
          <cell r="E1275">
            <v>1.0840000000000001E-2</v>
          </cell>
        </row>
        <row r="1276">
          <cell r="C1276" t="str">
            <v>Potrero - San Diego</v>
          </cell>
          <cell r="D1276">
            <v>6.2E-2</v>
          </cell>
          <cell r="E1276">
            <v>1.1080000000000001E-2</v>
          </cell>
        </row>
        <row r="1277">
          <cell r="C1277" t="str">
            <v>Potter Valley - Mendocino</v>
          </cell>
          <cell r="D1277">
            <v>6.5750000000000003E-2</v>
          </cell>
          <cell r="E1277">
            <v>1.123E-2</v>
          </cell>
        </row>
        <row r="1278">
          <cell r="C1278" t="str">
            <v>Poway - San Diego</v>
          </cell>
          <cell r="D1278">
            <v>6.2E-2</v>
          </cell>
          <cell r="E1278">
            <v>1.1080000000000001E-2</v>
          </cell>
        </row>
        <row r="1279">
          <cell r="C1279" t="str">
            <v>Prather - Fresno</v>
          </cell>
          <cell r="D1279">
            <v>0.11366666666666669</v>
          </cell>
          <cell r="E1279">
            <v>1.166E-2</v>
          </cell>
        </row>
        <row r="1280">
          <cell r="C1280" t="str">
            <v>Presidio  - San Francisco</v>
          </cell>
          <cell r="D1280">
            <v>4.6583333333333324E-2</v>
          </cell>
          <cell r="E1280">
            <v>1.17E-2</v>
          </cell>
        </row>
        <row r="1281">
          <cell r="C1281" t="str">
            <v>Presidio of Monterey  - Monterey</v>
          </cell>
          <cell r="D1281">
            <v>9.1249999999999998E-2</v>
          </cell>
          <cell r="E1281">
            <v>1.085E-2</v>
          </cell>
        </row>
        <row r="1282">
          <cell r="C1282" t="str">
            <v>Priest Valley - Monterey</v>
          </cell>
          <cell r="D1282">
            <v>9.1249999999999998E-2</v>
          </cell>
          <cell r="E1282">
            <v>1.085E-2</v>
          </cell>
        </row>
        <row r="1283">
          <cell r="C1283" t="str">
            <v>Princeton - Colusa</v>
          </cell>
          <cell r="D1283">
            <v>0.17433333333333334</v>
          </cell>
          <cell r="E1283">
            <v>1.0540000000000001E-2</v>
          </cell>
        </row>
        <row r="1284">
          <cell r="C1284" t="str">
            <v>Proberta - Tehama</v>
          </cell>
          <cell r="D1284">
            <v>9.7333333333333327E-2</v>
          </cell>
          <cell r="E1284">
            <v>1.023E-2</v>
          </cell>
        </row>
        <row r="1285">
          <cell r="C1285" t="str">
            <v>Project City - Shasta</v>
          </cell>
          <cell r="D1285">
            <v>9.0499999999999983E-2</v>
          </cell>
          <cell r="E1285">
            <v>1.085E-2</v>
          </cell>
        </row>
        <row r="1286">
          <cell r="C1286" t="str">
            <v>Prunedale - Monterey</v>
          </cell>
          <cell r="D1286">
            <v>9.1249999999999998E-2</v>
          </cell>
          <cell r="E1286">
            <v>1.085E-2</v>
          </cell>
        </row>
        <row r="1287">
          <cell r="C1287" t="str">
            <v>Pt. Dume - Los Angeles</v>
          </cell>
          <cell r="D1287">
            <v>8.2166666666666666E-2</v>
          </cell>
          <cell r="E1287">
            <v>1.1979999999999999E-2</v>
          </cell>
        </row>
        <row r="1288">
          <cell r="C1288" t="str">
            <v>Pulga - Butte</v>
          </cell>
          <cell r="D1288">
            <v>8.4749999999999992E-2</v>
          </cell>
          <cell r="E1288">
            <v>1.052E-2</v>
          </cell>
        </row>
        <row r="1289">
          <cell r="C1289" t="str">
            <v>Pumpkin Center - Kern</v>
          </cell>
          <cell r="D1289">
            <v>0.10558333333333332</v>
          </cell>
          <cell r="E1289">
            <v>1.15E-2</v>
          </cell>
        </row>
        <row r="1290">
          <cell r="C1290" t="str">
            <v>Quail Valley - Riverside</v>
          </cell>
          <cell r="D1290">
            <v>8.7000000000000008E-2</v>
          </cell>
          <cell r="E1290">
            <v>1.0970000000000001E-2</v>
          </cell>
        </row>
        <row r="1291">
          <cell r="C1291" t="str">
            <v>Quartz Hill - Los Angeles</v>
          </cell>
          <cell r="D1291">
            <v>8.2166666666666666E-2</v>
          </cell>
          <cell r="E1291">
            <v>1.1979999999999999E-2</v>
          </cell>
        </row>
        <row r="1292">
          <cell r="C1292" t="str">
            <v>Quincy - Plumas</v>
          </cell>
          <cell r="D1292">
            <v>0.10208333333333332</v>
          </cell>
          <cell r="E1292">
            <v>1.0369999999999999E-2</v>
          </cell>
        </row>
        <row r="1293">
          <cell r="C1293" t="str">
            <v>Rackerby - Yuba</v>
          </cell>
          <cell r="D1293">
            <v>0.12291666666666666</v>
          </cell>
          <cell r="E1293">
            <v>1.1180000000000001E-2</v>
          </cell>
        </row>
        <row r="1294">
          <cell r="C1294" t="str">
            <v>Rail Road Flat - Calaveras</v>
          </cell>
          <cell r="D1294">
            <v>8.5416666666666655E-2</v>
          </cell>
          <cell r="E1294">
            <v>1.1120000000000001E-2</v>
          </cell>
        </row>
        <row r="1295">
          <cell r="C1295" t="str">
            <v>Rainbow - San Diego</v>
          </cell>
          <cell r="D1295">
            <v>6.2E-2</v>
          </cell>
          <cell r="E1295">
            <v>1.1080000000000001E-2</v>
          </cell>
        </row>
        <row r="1296">
          <cell r="C1296" t="str">
            <v>Raisin City - Fresno</v>
          </cell>
          <cell r="D1296">
            <v>0.11366666666666669</v>
          </cell>
          <cell r="E1296">
            <v>1.166E-2</v>
          </cell>
        </row>
        <row r="1297">
          <cell r="C1297" t="str">
            <v>Ramona - San Diego</v>
          </cell>
          <cell r="D1297">
            <v>6.2E-2</v>
          </cell>
          <cell r="E1297">
            <v>1.1080000000000001E-2</v>
          </cell>
        </row>
        <row r="1298">
          <cell r="C1298" t="str">
            <v>Ranchita - San Diego</v>
          </cell>
          <cell r="D1298">
            <v>6.2E-2</v>
          </cell>
          <cell r="E1298">
            <v>1.1080000000000001E-2</v>
          </cell>
        </row>
        <row r="1299">
          <cell r="C1299" t="str">
            <v>Rancho Bernardo  - San Diego</v>
          </cell>
          <cell r="D1299">
            <v>6.2E-2</v>
          </cell>
          <cell r="E1299">
            <v>1.1080000000000001E-2</v>
          </cell>
        </row>
        <row r="1300">
          <cell r="C1300" t="str">
            <v>Rancho California - Riverside</v>
          </cell>
          <cell r="D1300">
            <v>8.7000000000000008E-2</v>
          </cell>
          <cell r="E1300">
            <v>1.0970000000000001E-2</v>
          </cell>
        </row>
        <row r="1301">
          <cell r="C1301" t="str">
            <v>Rancho Cordova - Sacramento</v>
          </cell>
          <cell r="D1301">
            <v>7.2666666666666671E-2</v>
          </cell>
          <cell r="E1301">
            <v>1.1169999999999999E-2</v>
          </cell>
        </row>
        <row r="1302">
          <cell r="C1302" t="str">
            <v>Rancho Cucamonga - San Bernardino</v>
          </cell>
          <cell r="D1302">
            <v>8.3833333333333329E-2</v>
          </cell>
          <cell r="E1302">
            <v>1.149E-2</v>
          </cell>
        </row>
        <row r="1303">
          <cell r="C1303" t="str">
            <v>Rancho Dominguez - Los Angeles</v>
          </cell>
          <cell r="D1303">
            <v>8.2166666666666666E-2</v>
          </cell>
          <cell r="E1303">
            <v>1.1979999999999999E-2</v>
          </cell>
        </row>
        <row r="1304">
          <cell r="C1304" t="str">
            <v>Rancho Mirage - Riverside</v>
          </cell>
          <cell r="D1304">
            <v>8.7000000000000008E-2</v>
          </cell>
          <cell r="E1304">
            <v>1.0970000000000001E-2</v>
          </cell>
        </row>
        <row r="1305">
          <cell r="C1305" t="str">
            <v>Rancho Murieta - Sacramento</v>
          </cell>
          <cell r="D1305">
            <v>7.2666666666666671E-2</v>
          </cell>
          <cell r="E1305">
            <v>1.1169999999999999E-2</v>
          </cell>
        </row>
        <row r="1306">
          <cell r="C1306" t="str">
            <v>Rancho Palos Verdes - Los Angeles</v>
          </cell>
          <cell r="D1306">
            <v>8.2166666666666666E-2</v>
          </cell>
          <cell r="E1306">
            <v>1.1979999999999999E-2</v>
          </cell>
        </row>
        <row r="1307">
          <cell r="C1307" t="str">
            <v>Rancho Park  - Los Angeles</v>
          </cell>
          <cell r="D1307">
            <v>8.2166666666666666E-2</v>
          </cell>
          <cell r="E1307">
            <v>1.1979999999999999E-2</v>
          </cell>
        </row>
        <row r="1308">
          <cell r="C1308" t="str">
            <v>Rancho Santa Fe - San Diego</v>
          </cell>
          <cell r="D1308">
            <v>6.2E-2</v>
          </cell>
          <cell r="E1308">
            <v>1.1080000000000001E-2</v>
          </cell>
        </row>
        <row r="1309">
          <cell r="C1309" t="str">
            <v>Rancho Santa Margarita - Orange</v>
          </cell>
          <cell r="D1309">
            <v>5.2749999999999991E-2</v>
          </cell>
          <cell r="E1309">
            <v>1.061E-2</v>
          </cell>
        </row>
        <row r="1310">
          <cell r="C1310" t="str">
            <v>Randsburg - Kern</v>
          </cell>
          <cell r="D1310">
            <v>0.10558333333333332</v>
          </cell>
          <cell r="E1310">
            <v>1.15E-2</v>
          </cell>
        </row>
        <row r="1311">
          <cell r="C1311" t="str">
            <v>Ravendale - Lassen</v>
          </cell>
          <cell r="D1311">
            <v>9.4750000000000001E-2</v>
          </cell>
          <cell r="E1311">
            <v>1.027E-2</v>
          </cell>
        </row>
        <row r="1312">
          <cell r="C1312" t="str">
            <v>Ravenna - Los Angeles</v>
          </cell>
          <cell r="D1312">
            <v>8.2166666666666666E-2</v>
          </cell>
          <cell r="E1312">
            <v>1.1979999999999999E-2</v>
          </cell>
        </row>
        <row r="1313">
          <cell r="C1313" t="str">
            <v>Raymond - Madera</v>
          </cell>
          <cell r="D1313">
            <v>0.10325000000000001</v>
          </cell>
          <cell r="E1313">
            <v>1.0149999999999999E-2</v>
          </cell>
        </row>
        <row r="1314">
          <cell r="C1314" t="str">
            <v>Red Bluff - Tehama</v>
          </cell>
          <cell r="D1314">
            <v>9.7333333333333327E-2</v>
          </cell>
          <cell r="E1314">
            <v>1.023E-2</v>
          </cell>
        </row>
        <row r="1315">
          <cell r="C1315" t="str">
            <v>Red Mountain - San Bernardino</v>
          </cell>
          <cell r="D1315">
            <v>8.3833333333333329E-2</v>
          </cell>
          <cell r="E1315">
            <v>1.149E-2</v>
          </cell>
        </row>
        <row r="1316">
          <cell r="C1316" t="str">
            <v>Red Top - Madera</v>
          </cell>
          <cell r="D1316">
            <v>0.10325000000000001</v>
          </cell>
          <cell r="E1316">
            <v>1.0149999999999999E-2</v>
          </cell>
        </row>
        <row r="1317">
          <cell r="C1317" t="str">
            <v>Redcrest - Humboldt</v>
          </cell>
          <cell r="D1317">
            <v>7.3666666666666672E-2</v>
          </cell>
          <cell r="E1317">
            <v>1.043E-2</v>
          </cell>
        </row>
        <row r="1318">
          <cell r="C1318" t="str">
            <v>Redding - Shasta</v>
          </cell>
          <cell r="D1318">
            <v>9.0499999999999983E-2</v>
          </cell>
          <cell r="E1318">
            <v>1.085E-2</v>
          </cell>
        </row>
        <row r="1319">
          <cell r="C1319" t="str">
            <v>Redlands - San Bernardino</v>
          </cell>
          <cell r="D1319">
            <v>8.3833333333333329E-2</v>
          </cell>
          <cell r="E1319">
            <v>1.149E-2</v>
          </cell>
        </row>
        <row r="1320">
          <cell r="C1320" t="str">
            <v>Redondo Beach - Los Angeles</v>
          </cell>
          <cell r="D1320">
            <v>8.2166666666666666E-2</v>
          </cell>
          <cell r="E1320">
            <v>1.1979999999999999E-2</v>
          </cell>
        </row>
        <row r="1321">
          <cell r="C1321" t="str">
            <v>Redway - Humboldt</v>
          </cell>
          <cell r="D1321">
            <v>7.3666666666666672E-2</v>
          </cell>
          <cell r="E1321">
            <v>1.043E-2</v>
          </cell>
        </row>
        <row r="1322">
          <cell r="C1322" t="str">
            <v>Redwood City - San Mateo</v>
          </cell>
          <cell r="D1322">
            <v>4.3500000000000004E-2</v>
          </cell>
          <cell r="E1322">
            <v>1.099E-2</v>
          </cell>
        </row>
        <row r="1323">
          <cell r="C1323" t="str">
            <v>Redwood Estates - Santa Clara</v>
          </cell>
          <cell r="D1323">
            <v>5.4583333333333331E-2</v>
          </cell>
          <cell r="E1323">
            <v>1.2030000000000001E-2</v>
          </cell>
        </row>
        <row r="1324">
          <cell r="C1324" t="str">
            <v>Redwood Valley - Mendocino</v>
          </cell>
          <cell r="D1324">
            <v>6.5750000000000003E-2</v>
          </cell>
          <cell r="E1324">
            <v>1.123E-2</v>
          </cell>
        </row>
        <row r="1325">
          <cell r="C1325" t="str">
            <v>Reedley - Fresno</v>
          </cell>
          <cell r="D1325">
            <v>0.11366666666666669</v>
          </cell>
          <cell r="E1325">
            <v>1.166E-2</v>
          </cell>
        </row>
        <row r="1326">
          <cell r="C1326" t="str">
            <v>Refugio Beach - Santa Barbara</v>
          </cell>
          <cell r="D1326">
            <v>5.8999999999999997E-2</v>
          </cell>
          <cell r="E1326">
            <v>1.055E-2</v>
          </cell>
        </row>
        <row r="1327">
          <cell r="C1327" t="str">
            <v>Represa - Sacramento</v>
          </cell>
          <cell r="D1327">
            <v>7.2666666666666671E-2</v>
          </cell>
          <cell r="E1327">
            <v>1.1169999999999999E-2</v>
          </cell>
        </row>
        <row r="1328">
          <cell r="C1328" t="str">
            <v>Requa - Del Norte</v>
          </cell>
          <cell r="D1328">
            <v>9.8666666666666653E-2</v>
          </cell>
          <cell r="E1328">
            <v>1.0369999999999999E-2</v>
          </cell>
        </row>
        <row r="1329">
          <cell r="C1329" t="str">
            <v>Rescue - El Dorado</v>
          </cell>
          <cell r="D1329">
            <v>7.0916666666666683E-2</v>
          </cell>
          <cell r="E1329">
            <v>1.0709999999999999E-2</v>
          </cell>
        </row>
        <row r="1330">
          <cell r="C1330" t="str">
            <v>Reseda  - Los Angeles</v>
          </cell>
          <cell r="D1330">
            <v>8.2166666666666666E-2</v>
          </cell>
          <cell r="E1330">
            <v>1.1979999999999999E-2</v>
          </cell>
        </row>
        <row r="1331">
          <cell r="C1331" t="str">
            <v>Rheem Valley  - Contra Costa</v>
          </cell>
          <cell r="D1331">
            <v>6.1416666666666668E-2</v>
          </cell>
          <cell r="E1331">
            <v>1.1379999999999999E-2</v>
          </cell>
        </row>
        <row r="1332">
          <cell r="C1332" t="str">
            <v>Rialto - San Bernardino</v>
          </cell>
          <cell r="D1332">
            <v>8.3833333333333329E-2</v>
          </cell>
          <cell r="E1332">
            <v>1.149E-2</v>
          </cell>
        </row>
        <row r="1333">
          <cell r="C1333" t="str">
            <v>Richardson Grove - Humboldt</v>
          </cell>
          <cell r="D1333">
            <v>7.3666666666666672E-2</v>
          </cell>
          <cell r="E1333">
            <v>1.043E-2</v>
          </cell>
        </row>
        <row r="1334">
          <cell r="C1334" t="str">
            <v>Richardson Springs - Butte</v>
          </cell>
          <cell r="D1334">
            <v>8.4749999999999992E-2</v>
          </cell>
          <cell r="E1334">
            <v>1.052E-2</v>
          </cell>
        </row>
        <row r="1335">
          <cell r="C1335" t="str">
            <v>Richfield - Tehama</v>
          </cell>
          <cell r="D1335">
            <v>9.7333333333333327E-2</v>
          </cell>
          <cell r="E1335">
            <v>1.023E-2</v>
          </cell>
        </row>
        <row r="1336">
          <cell r="C1336" t="str">
            <v>Richgrove - Tulare</v>
          </cell>
          <cell r="D1336">
            <v>0.12874999999999998</v>
          </cell>
          <cell r="E1336">
            <v>1.0840000000000001E-2</v>
          </cell>
        </row>
        <row r="1337">
          <cell r="C1337" t="str">
            <v>Richmond - Contra Costa</v>
          </cell>
          <cell r="D1337">
            <v>6.1416666666666668E-2</v>
          </cell>
          <cell r="E1337">
            <v>1.1379999999999999E-2</v>
          </cell>
        </row>
        <row r="1338">
          <cell r="C1338" t="str">
            <v>Richvale - Butte</v>
          </cell>
          <cell r="D1338">
            <v>8.4749999999999992E-2</v>
          </cell>
          <cell r="E1338">
            <v>1.052E-2</v>
          </cell>
        </row>
        <row r="1339">
          <cell r="C1339" t="str">
            <v>Ridgecrest - Kern</v>
          </cell>
          <cell r="D1339">
            <v>0.10558333333333332</v>
          </cell>
          <cell r="E1339">
            <v>1.15E-2</v>
          </cell>
        </row>
        <row r="1340">
          <cell r="C1340" t="str">
            <v>Rimforest - San Bernardino</v>
          </cell>
          <cell r="D1340">
            <v>8.3833333333333329E-2</v>
          </cell>
          <cell r="E1340">
            <v>1.149E-2</v>
          </cell>
        </row>
        <row r="1341">
          <cell r="C1341" t="str">
            <v>Rimpau  - Los Angeles</v>
          </cell>
          <cell r="D1341">
            <v>8.2166666666666666E-2</v>
          </cell>
          <cell r="E1341">
            <v>1.1979999999999999E-2</v>
          </cell>
        </row>
        <row r="1342">
          <cell r="C1342" t="str">
            <v>Rio Bravo - Kern</v>
          </cell>
          <cell r="D1342">
            <v>0.10558333333333332</v>
          </cell>
          <cell r="E1342">
            <v>1.15E-2</v>
          </cell>
        </row>
        <row r="1343">
          <cell r="C1343" t="str">
            <v>Rio Dell - Humboldt</v>
          </cell>
          <cell r="D1343">
            <v>7.3666666666666672E-2</v>
          </cell>
          <cell r="E1343">
            <v>1.043E-2</v>
          </cell>
        </row>
        <row r="1344">
          <cell r="C1344" t="str">
            <v>Rio Linda - Sacramento</v>
          </cell>
          <cell r="D1344">
            <v>7.2666666666666671E-2</v>
          </cell>
          <cell r="E1344">
            <v>1.1169999999999999E-2</v>
          </cell>
        </row>
        <row r="1345">
          <cell r="C1345" t="str">
            <v>Rio Nido - Sonoma</v>
          </cell>
          <cell r="D1345">
            <v>5.4333333333333324E-2</v>
          </cell>
          <cell r="E1345">
            <v>1.1180000000000001E-2</v>
          </cell>
        </row>
        <row r="1346">
          <cell r="C1346" t="str">
            <v>Rio Oso - Sutter</v>
          </cell>
          <cell r="D1346">
            <v>0.13508333333333333</v>
          </cell>
          <cell r="E1346">
            <v>1.0900000000000002E-2</v>
          </cell>
        </row>
        <row r="1347">
          <cell r="C1347" t="str">
            <v>Rio Vista - Solano</v>
          </cell>
          <cell r="D1347">
            <v>6.9833333333333317E-2</v>
          </cell>
          <cell r="E1347">
            <v>1.149E-2</v>
          </cell>
        </row>
        <row r="1348">
          <cell r="C1348" t="str">
            <v>Ripley - Riverside</v>
          </cell>
          <cell r="D1348">
            <v>8.7000000000000008E-2</v>
          </cell>
          <cell r="E1348">
            <v>1.0970000000000001E-2</v>
          </cell>
        </row>
        <row r="1349">
          <cell r="C1349" t="str">
            <v>Ripon - San Joaquin</v>
          </cell>
          <cell r="D1349">
            <v>0.11141666666666668</v>
          </cell>
          <cell r="E1349">
            <v>1.107E-2</v>
          </cell>
        </row>
        <row r="1350">
          <cell r="C1350" t="str">
            <v>River Pines - Amador</v>
          </cell>
          <cell r="D1350">
            <v>8.1583333333333327E-2</v>
          </cell>
          <cell r="E1350">
            <v>1.0169999999999998E-2</v>
          </cell>
        </row>
        <row r="1351">
          <cell r="C1351" t="str">
            <v>Riverbank - Stanislaus</v>
          </cell>
          <cell r="D1351">
            <v>0.114</v>
          </cell>
          <cell r="E1351">
            <v>1.1180000000000001E-2</v>
          </cell>
        </row>
        <row r="1352">
          <cell r="C1352" t="str">
            <v>Riverdale - Fresno</v>
          </cell>
          <cell r="D1352">
            <v>0.11366666666666669</v>
          </cell>
          <cell r="E1352">
            <v>1.166E-2</v>
          </cell>
        </row>
        <row r="1353">
          <cell r="C1353" t="str">
            <v>Riverside - Riverside</v>
          </cell>
          <cell r="D1353">
            <v>8.7000000000000008E-2</v>
          </cell>
          <cell r="E1353">
            <v>1.0970000000000001E-2</v>
          </cell>
        </row>
        <row r="1354">
          <cell r="C1354" t="str">
            <v>Robbins - Sutter</v>
          </cell>
          <cell r="D1354">
            <v>0.13508333333333333</v>
          </cell>
          <cell r="E1354">
            <v>1.0900000000000002E-2</v>
          </cell>
        </row>
        <row r="1355">
          <cell r="C1355" t="str">
            <v>Rocklin - Placer</v>
          </cell>
          <cell r="D1355">
            <v>6.2166666666666662E-2</v>
          </cell>
          <cell r="E1355">
            <v>1.0869999999999999E-2</v>
          </cell>
        </row>
        <row r="1356">
          <cell r="C1356" t="str">
            <v>Rodeo - Contra Costa</v>
          </cell>
          <cell r="D1356">
            <v>6.1416666666666668E-2</v>
          </cell>
          <cell r="E1356">
            <v>1.1379999999999999E-2</v>
          </cell>
        </row>
        <row r="1357">
          <cell r="C1357" t="str">
            <v>Rohnert Park - Sonoma</v>
          </cell>
          <cell r="D1357">
            <v>5.4333333333333324E-2</v>
          </cell>
          <cell r="E1357">
            <v>1.1180000000000001E-2</v>
          </cell>
        </row>
        <row r="1358">
          <cell r="C1358" t="str">
            <v>Rohnerville - Humboldt</v>
          </cell>
          <cell r="D1358">
            <v>7.3666666666666672E-2</v>
          </cell>
          <cell r="E1358">
            <v>1.043E-2</v>
          </cell>
        </row>
        <row r="1359">
          <cell r="C1359" t="str">
            <v>Rolling Hills - Los Angeles</v>
          </cell>
          <cell r="D1359">
            <v>8.2166666666666666E-2</v>
          </cell>
          <cell r="E1359">
            <v>1.1979999999999999E-2</v>
          </cell>
        </row>
        <row r="1360">
          <cell r="C1360" t="str">
            <v>Rolling Hills Estates - Los Angeles</v>
          </cell>
          <cell r="D1360">
            <v>8.2166666666666666E-2</v>
          </cell>
          <cell r="E1360">
            <v>1.1979999999999999E-2</v>
          </cell>
        </row>
        <row r="1361">
          <cell r="C1361" t="str">
            <v>Romoland - Riverside</v>
          </cell>
          <cell r="D1361">
            <v>8.7000000000000008E-2</v>
          </cell>
          <cell r="E1361">
            <v>1.0970000000000001E-2</v>
          </cell>
        </row>
        <row r="1362">
          <cell r="C1362" t="str">
            <v>Rosamond - Kern</v>
          </cell>
          <cell r="D1362">
            <v>0.10558333333333332</v>
          </cell>
          <cell r="E1362">
            <v>1.15E-2</v>
          </cell>
        </row>
        <row r="1363">
          <cell r="C1363" t="str">
            <v>Rose Bowl  - Los Angeles</v>
          </cell>
          <cell r="D1363">
            <v>8.2166666666666666E-2</v>
          </cell>
          <cell r="E1363">
            <v>1.1979999999999999E-2</v>
          </cell>
        </row>
        <row r="1364">
          <cell r="C1364" t="str">
            <v>Roseland  - Sonoma</v>
          </cell>
          <cell r="D1364">
            <v>5.4333333333333324E-2</v>
          </cell>
          <cell r="E1364">
            <v>1.1180000000000001E-2</v>
          </cell>
        </row>
        <row r="1365">
          <cell r="C1365" t="str">
            <v>Rosemead - Los Angeles</v>
          </cell>
          <cell r="D1365">
            <v>8.2166666666666666E-2</v>
          </cell>
          <cell r="E1365">
            <v>1.1979999999999999E-2</v>
          </cell>
        </row>
        <row r="1366">
          <cell r="C1366" t="str">
            <v>Roseville - Placer</v>
          </cell>
          <cell r="D1366">
            <v>6.2166666666666662E-2</v>
          </cell>
          <cell r="E1366">
            <v>1.0869999999999999E-2</v>
          </cell>
        </row>
        <row r="1367">
          <cell r="C1367" t="str">
            <v>Ross - Marin</v>
          </cell>
          <cell r="D1367">
            <v>4.1499999999999995E-2</v>
          </cell>
          <cell r="E1367">
            <v>1.1000000000000001E-2</v>
          </cell>
        </row>
        <row r="1368">
          <cell r="C1368" t="str">
            <v>Rossmoor - Orange</v>
          </cell>
          <cell r="D1368">
            <v>5.2749999999999991E-2</v>
          </cell>
          <cell r="E1368">
            <v>1.061E-2</v>
          </cell>
        </row>
        <row r="1369">
          <cell r="C1369" t="str">
            <v>Rough and Ready - Nevada</v>
          </cell>
          <cell r="D1369">
            <v>6.4083333333333339E-2</v>
          </cell>
          <cell r="E1369">
            <v>1.0529999999999999E-2</v>
          </cell>
        </row>
        <row r="1370">
          <cell r="C1370" t="str">
            <v>Round Mountain - Shasta</v>
          </cell>
          <cell r="D1370">
            <v>9.0499999999999983E-2</v>
          </cell>
          <cell r="E1370">
            <v>1.085E-2</v>
          </cell>
        </row>
        <row r="1371">
          <cell r="C1371" t="str">
            <v>Rowland Heights - Los Angeles</v>
          </cell>
          <cell r="D1371">
            <v>8.2166666666666666E-2</v>
          </cell>
          <cell r="E1371">
            <v>1.1979999999999999E-2</v>
          </cell>
        </row>
        <row r="1372">
          <cell r="C1372" t="str">
            <v>Royal Oaks - Monterey</v>
          </cell>
          <cell r="D1372">
            <v>9.1249999999999998E-2</v>
          </cell>
          <cell r="E1372">
            <v>1.085E-2</v>
          </cell>
        </row>
        <row r="1373">
          <cell r="C1373" t="str">
            <v>Rubidoux - Riverside</v>
          </cell>
          <cell r="D1373">
            <v>8.7000000000000008E-2</v>
          </cell>
          <cell r="E1373">
            <v>1.0970000000000001E-2</v>
          </cell>
        </row>
        <row r="1374">
          <cell r="C1374" t="str">
            <v>Ruby Valley - Humboldt</v>
          </cell>
          <cell r="D1374">
            <v>7.3666666666666672E-2</v>
          </cell>
          <cell r="E1374">
            <v>1.043E-2</v>
          </cell>
        </row>
        <row r="1375">
          <cell r="C1375" t="str">
            <v>Rumsey - Yolo</v>
          </cell>
          <cell r="D1375">
            <v>7.9750000000000001E-2</v>
          </cell>
          <cell r="E1375">
            <v>1.0620000000000001E-2</v>
          </cell>
        </row>
        <row r="1376">
          <cell r="C1376" t="str">
            <v>Running Springs - San Bernardino</v>
          </cell>
          <cell r="D1376">
            <v>8.3833333333333329E-2</v>
          </cell>
          <cell r="E1376">
            <v>1.149E-2</v>
          </cell>
        </row>
        <row r="1377">
          <cell r="C1377" t="str">
            <v>Ruth - Trinity</v>
          </cell>
          <cell r="D1377">
            <v>0.10183333333333332</v>
          </cell>
          <cell r="E1377">
            <v>1.022E-2</v>
          </cell>
        </row>
        <row r="1378">
          <cell r="C1378" t="str">
            <v>Rutherford - Napa</v>
          </cell>
          <cell r="D1378">
            <v>5.1833333333333328E-2</v>
          </cell>
          <cell r="E1378">
            <v>1.0900000000000002E-2</v>
          </cell>
        </row>
        <row r="1379">
          <cell r="C1379" t="str">
            <v>Ryde - Sacramento</v>
          </cell>
          <cell r="D1379">
            <v>7.2666666666666671E-2</v>
          </cell>
          <cell r="E1379">
            <v>1.1169999999999999E-2</v>
          </cell>
        </row>
        <row r="1380">
          <cell r="C1380" t="str">
            <v>Sacramento - Sacramento</v>
          </cell>
          <cell r="D1380">
            <v>7.2666666666666671E-2</v>
          </cell>
          <cell r="E1380">
            <v>1.1169999999999999E-2</v>
          </cell>
        </row>
        <row r="1381">
          <cell r="C1381" t="str">
            <v>Saint Helena - Napa</v>
          </cell>
          <cell r="D1381">
            <v>5.1833333333333328E-2</v>
          </cell>
          <cell r="E1381">
            <v>1.0900000000000002E-2</v>
          </cell>
        </row>
        <row r="1382">
          <cell r="C1382" t="str">
            <v>Salida - Stanislaus</v>
          </cell>
          <cell r="D1382">
            <v>0.114</v>
          </cell>
          <cell r="E1382">
            <v>1.1180000000000001E-2</v>
          </cell>
        </row>
        <row r="1383">
          <cell r="C1383" t="str">
            <v>Salinas - Monterey</v>
          </cell>
          <cell r="D1383">
            <v>9.1249999999999998E-2</v>
          </cell>
          <cell r="E1383">
            <v>1.085E-2</v>
          </cell>
        </row>
        <row r="1384">
          <cell r="C1384" t="str">
            <v>Salton City - Imperial</v>
          </cell>
          <cell r="D1384">
            <v>0.23408333333333331</v>
          </cell>
          <cell r="E1384">
            <v>1.1299999999999999E-2</v>
          </cell>
        </row>
        <row r="1385">
          <cell r="C1385" t="str">
            <v>Salyer - Trinity</v>
          </cell>
          <cell r="D1385">
            <v>0.10183333333333332</v>
          </cell>
          <cell r="E1385">
            <v>1.022E-2</v>
          </cell>
        </row>
        <row r="1386">
          <cell r="C1386" t="str">
            <v>Samoa - Humboldt</v>
          </cell>
          <cell r="D1386">
            <v>7.3666666666666672E-2</v>
          </cell>
          <cell r="E1386">
            <v>1.043E-2</v>
          </cell>
        </row>
        <row r="1387">
          <cell r="C1387" t="str">
            <v>San Andreas - Calaveras</v>
          </cell>
          <cell r="D1387">
            <v>8.5416666666666655E-2</v>
          </cell>
          <cell r="E1387">
            <v>1.1120000000000001E-2</v>
          </cell>
        </row>
        <row r="1388">
          <cell r="C1388" t="str">
            <v>San Anselmo - Marin</v>
          </cell>
          <cell r="D1388">
            <v>4.1499999999999995E-2</v>
          </cell>
          <cell r="E1388">
            <v>1.1000000000000001E-2</v>
          </cell>
        </row>
        <row r="1389">
          <cell r="C1389" t="str">
            <v>San Ardo - Monterey</v>
          </cell>
          <cell r="D1389">
            <v>9.1249999999999998E-2</v>
          </cell>
          <cell r="E1389">
            <v>1.085E-2</v>
          </cell>
        </row>
        <row r="1390">
          <cell r="C1390" t="str">
            <v>San Benito - San Benito</v>
          </cell>
          <cell r="D1390">
            <v>9.3250000000000013E-2</v>
          </cell>
          <cell r="E1390">
            <v>1.1550000000000001E-2</v>
          </cell>
        </row>
        <row r="1391">
          <cell r="C1391" t="str">
            <v>San Bernardino - San Bernardino</v>
          </cell>
          <cell r="D1391">
            <v>8.3833333333333329E-2</v>
          </cell>
          <cell r="E1391">
            <v>1.149E-2</v>
          </cell>
        </row>
        <row r="1392">
          <cell r="C1392" t="str">
            <v>San Bruno - San Mateo</v>
          </cell>
          <cell r="D1392">
            <v>4.3500000000000004E-2</v>
          </cell>
          <cell r="E1392">
            <v>1.099E-2</v>
          </cell>
        </row>
        <row r="1393">
          <cell r="C1393" t="str">
            <v>San Carlos - San Mateo</v>
          </cell>
          <cell r="D1393">
            <v>4.3500000000000004E-2</v>
          </cell>
          <cell r="E1393">
            <v>1.099E-2</v>
          </cell>
        </row>
        <row r="1394">
          <cell r="C1394" t="str">
            <v>San Clemente - Orange</v>
          </cell>
          <cell r="D1394">
            <v>5.2749999999999991E-2</v>
          </cell>
          <cell r="E1394">
            <v>1.061E-2</v>
          </cell>
        </row>
        <row r="1395">
          <cell r="C1395" t="str">
            <v>San Diego - San Diego</v>
          </cell>
          <cell r="D1395">
            <v>6.2E-2</v>
          </cell>
          <cell r="E1395">
            <v>1.1080000000000001E-2</v>
          </cell>
        </row>
        <row r="1396">
          <cell r="C1396" t="str">
            <v>San Dimas - Los Angeles</v>
          </cell>
          <cell r="D1396">
            <v>8.2166666666666666E-2</v>
          </cell>
          <cell r="E1396">
            <v>1.1979999999999999E-2</v>
          </cell>
        </row>
        <row r="1397">
          <cell r="C1397" t="str">
            <v>San Fernando - Los Angeles</v>
          </cell>
          <cell r="D1397">
            <v>8.2166666666666666E-2</v>
          </cell>
          <cell r="E1397">
            <v>1.1979999999999999E-2</v>
          </cell>
        </row>
        <row r="1398">
          <cell r="C1398" t="str">
            <v>San Francisco - San Francisco</v>
          </cell>
          <cell r="D1398">
            <v>4.6583333333333324E-2</v>
          </cell>
          <cell r="E1398">
            <v>1.17E-2</v>
          </cell>
        </row>
        <row r="1399">
          <cell r="C1399" t="str">
            <v>San Gabriel - Los Angeles</v>
          </cell>
          <cell r="D1399">
            <v>8.2166666666666666E-2</v>
          </cell>
          <cell r="E1399">
            <v>1.1979999999999999E-2</v>
          </cell>
        </row>
        <row r="1400">
          <cell r="C1400" t="str">
            <v>San Geronimo - Marin</v>
          </cell>
          <cell r="D1400">
            <v>4.1499999999999995E-2</v>
          </cell>
          <cell r="E1400">
            <v>1.1000000000000001E-2</v>
          </cell>
        </row>
        <row r="1401">
          <cell r="C1401" t="str">
            <v>San Gregorio - San Mateo</v>
          </cell>
          <cell r="D1401">
            <v>4.3500000000000004E-2</v>
          </cell>
          <cell r="E1401">
            <v>1.099E-2</v>
          </cell>
        </row>
        <row r="1402">
          <cell r="C1402" t="str">
            <v>San Jacinto - Riverside</v>
          </cell>
          <cell r="D1402">
            <v>8.7000000000000008E-2</v>
          </cell>
          <cell r="E1402">
            <v>1.0970000000000001E-2</v>
          </cell>
        </row>
        <row r="1403">
          <cell r="C1403" t="str">
            <v>San Joaquin - Fresno</v>
          </cell>
          <cell r="D1403">
            <v>0.11366666666666669</v>
          </cell>
          <cell r="E1403">
            <v>1.166E-2</v>
          </cell>
        </row>
        <row r="1404">
          <cell r="C1404" t="str">
            <v>San Jose - Santa Clara</v>
          </cell>
          <cell r="D1404">
            <v>5.4583333333333331E-2</v>
          </cell>
          <cell r="E1404">
            <v>1.2030000000000001E-2</v>
          </cell>
        </row>
        <row r="1405">
          <cell r="C1405" t="str">
            <v>San Juan Bautista - San Benito</v>
          </cell>
          <cell r="D1405">
            <v>9.3250000000000013E-2</v>
          </cell>
          <cell r="E1405">
            <v>1.1550000000000001E-2</v>
          </cell>
        </row>
        <row r="1406">
          <cell r="C1406" t="str">
            <v>San Juan Capistrano - Orange</v>
          </cell>
          <cell r="D1406">
            <v>5.2749999999999991E-2</v>
          </cell>
          <cell r="E1406">
            <v>1.061E-2</v>
          </cell>
        </row>
        <row r="1407">
          <cell r="C1407" t="str">
            <v>San Juan Plaza  - Orange</v>
          </cell>
          <cell r="D1407">
            <v>5.2749999999999991E-2</v>
          </cell>
          <cell r="E1407">
            <v>1.061E-2</v>
          </cell>
        </row>
        <row r="1408">
          <cell r="C1408" t="str">
            <v>San Leandro - Alameda</v>
          </cell>
          <cell r="D1408">
            <v>0.06</v>
          </cell>
          <cell r="E1408">
            <v>1.214E-2</v>
          </cell>
        </row>
        <row r="1409">
          <cell r="C1409" t="str">
            <v>San Lorenzo - Alameda</v>
          </cell>
          <cell r="D1409">
            <v>0.06</v>
          </cell>
          <cell r="E1409">
            <v>1.214E-2</v>
          </cell>
        </row>
        <row r="1410">
          <cell r="C1410" t="str">
            <v>San Lucas - Monterey</v>
          </cell>
          <cell r="D1410">
            <v>9.1249999999999998E-2</v>
          </cell>
          <cell r="E1410">
            <v>1.085E-2</v>
          </cell>
        </row>
        <row r="1411">
          <cell r="C1411" t="str">
            <v>San Luis Obispo - San Luis Obispo</v>
          </cell>
          <cell r="D1411">
            <v>5.5916666666666656E-2</v>
          </cell>
          <cell r="E1411">
            <v>1.0189999999999999E-2</v>
          </cell>
        </row>
        <row r="1412">
          <cell r="C1412" t="str">
            <v>San Luis Rey  - San Diego</v>
          </cell>
          <cell r="D1412">
            <v>6.2E-2</v>
          </cell>
          <cell r="E1412">
            <v>1.1080000000000001E-2</v>
          </cell>
        </row>
        <row r="1413">
          <cell r="C1413" t="str">
            <v>San Marcos - San Diego</v>
          </cell>
          <cell r="D1413">
            <v>6.2E-2</v>
          </cell>
          <cell r="E1413">
            <v>1.1080000000000001E-2</v>
          </cell>
        </row>
        <row r="1414">
          <cell r="C1414" t="str">
            <v>San Marino - Los Angeles</v>
          </cell>
          <cell r="D1414">
            <v>8.2166666666666666E-2</v>
          </cell>
          <cell r="E1414">
            <v>1.1979999999999999E-2</v>
          </cell>
        </row>
        <row r="1415">
          <cell r="C1415" t="str">
            <v>San Martin - Santa Clara</v>
          </cell>
          <cell r="D1415">
            <v>5.4583333333333331E-2</v>
          </cell>
          <cell r="E1415">
            <v>1.2030000000000001E-2</v>
          </cell>
        </row>
        <row r="1416">
          <cell r="C1416" t="str">
            <v>San Mateo - San Mateo</v>
          </cell>
          <cell r="D1416">
            <v>4.3500000000000004E-2</v>
          </cell>
          <cell r="E1416">
            <v>1.099E-2</v>
          </cell>
        </row>
        <row r="1417">
          <cell r="C1417" t="str">
            <v>San Miguel - San Luis Obispo</v>
          </cell>
          <cell r="D1417">
            <v>5.5916666666666656E-2</v>
          </cell>
          <cell r="E1417">
            <v>1.0189999999999999E-2</v>
          </cell>
        </row>
        <row r="1418">
          <cell r="C1418" t="str">
            <v>San Pablo - Contra Costa</v>
          </cell>
          <cell r="D1418">
            <v>6.1416666666666668E-2</v>
          </cell>
          <cell r="E1418">
            <v>1.1379999999999999E-2</v>
          </cell>
        </row>
        <row r="1419">
          <cell r="C1419" t="str">
            <v>San Pedro  - Los Angeles</v>
          </cell>
          <cell r="D1419">
            <v>8.2166666666666666E-2</v>
          </cell>
          <cell r="E1419">
            <v>1.1979999999999999E-2</v>
          </cell>
        </row>
        <row r="1420">
          <cell r="C1420" t="str">
            <v>San Quentin - Marin</v>
          </cell>
          <cell r="D1420">
            <v>4.1499999999999995E-2</v>
          </cell>
          <cell r="E1420">
            <v>1.1000000000000001E-2</v>
          </cell>
        </row>
        <row r="1421">
          <cell r="C1421" t="str">
            <v>San Rafael - Marin</v>
          </cell>
          <cell r="D1421">
            <v>4.1499999999999995E-2</v>
          </cell>
          <cell r="E1421">
            <v>1.1000000000000001E-2</v>
          </cell>
        </row>
        <row r="1422">
          <cell r="C1422" t="str">
            <v>San Ramon - Contra Costa</v>
          </cell>
          <cell r="D1422">
            <v>6.1416666666666668E-2</v>
          </cell>
          <cell r="E1422">
            <v>1.1379999999999999E-2</v>
          </cell>
        </row>
        <row r="1423">
          <cell r="C1423" t="str">
            <v>San Simeon - San Luis Obispo</v>
          </cell>
          <cell r="D1423">
            <v>5.5916666666666656E-2</v>
          </cell>
          <cell r="E1423">
            <v>1.0189999999999999E-2</v>
          </cell>
        </row>
        <row r="1424">
          <cell r="C1424" t="str">
            <v>San Tomas - Santa Clara</v>
          </cell>
          <cell r="D1424">
            <v>5.4583333333333331E-2</v>
          </cell>
          <cell r="E1424">
            <v>1.2030000000000001E-2</v>
          </cell>
        </row>
        <row r="1425">
          <cell r="C1425" t="str">
            <v>San Ysidro  - San Diego</v>
          </cell>
          <cell r="D1425">
            <v>6.2E-2</v>
          </cell>
          <cell r="E1425">
            <v>1.1080000000000001E-2</v>
          </cell>
        </row>
        <row r="1426">
          <cell r="C1426" t="str">
            <v>Sand City - Monterey</v>
          </cell>
          <cell r="D1426">
            <v>9.1249999999999998E-2</v>
          </cell>
          <cell r="E1426">
            <v>1.085E-2</v>
          </cell>
        </row>
        <row r="1427">
          <cell r="C1427" t="str">
            <v>Sanger - Fresno</v>
          </cell>
          <cell r="D1427">
            <v>0.11366666666666669</v>
          </cell>
          <cell r="E1427">
            <v>1.166E-2</v>
          </cell>
        </row>
        <row r="1428">
          <cell r="C1428" t="str">
            <v>Santa Ana - Orange</v>
          </cell>
          <cell r="D1428">
            <v>5.2749999999999991E-2</v>
          </cell>
          <cell r="E1428">
            <v>1.061E-2</v>
          </cell>
        </row>
        <row r="1429">
          <cell r="C1429" t="str">
            <v>Santa Barbara - Santa Barbara</v>
          </cell>
          <cell r="D1429">
            <v>5.8999999999999997E-2</v>
          </cell>
          <cell r="E1429">
            <v>1.055E-2</v>
          </cell>
        </row>
        <row r="1430">
          <cell r="C1430" t="str">
            <v>Santa Clara - Santa Clara</v>
          </cell>
          <cell r="D1430">
            <v>5.4583333333333331E-2</v>
          </cell>
          <cell r="E1430">
            <v>1.2030000000000001E-2</v>
          </cell>
        </row>
        <row r="1431">
          <cell r="C1431" t="str">
            <v>Santa Clarita - Los Angeles</v>
          </cell>
          <cell r="D1431">
            <v>8.2166666666666666E-2</v>
          </cell>
          <cell r="E1431">
            <v>1.1979999999999999E-2</v>
          </cell>
        </row>
        <row r="1432">
          <cell r="C1432" t="str">
            <v>Santa Cruz - Santa Cruz</v>
          </cell>
          <cell r="D1432">
            <v>8.1666666666666665E-2</v>
          </cell>
          <cell r="E1432">
            <v>1.0940000000000002E-2</v>
          </cell>
        </row>
        <row r="1433">
          <cell r="C1433" t="str">
            <v>Santa Fe Springs - Los Angeles</v>
          </cell>
          <cell r="D1433">
            <v>8.2166666666666666E-2</v>
          </cell>
          <cell r="E1433">
            <v>1.1979999999999999E-2</v>
          </cell>
        </row>
        <row r="1434">
          <cell r="C1434" t="str">
            <v>Santa Margarita - San Luis Obispo</v>
          </cell>
          <cell r="D1434">
            <v>5.5916666666666656E-2</v>
          </cell>
          <cell r="E1434">
            <v>1.0189999999999999E-2</v>
          </cell>
        </row>
        <row r="1435">
          <cell r="C1435" t="str">
            <v>Santa Maria - Santa Barbara</v>
          </cell>
          <cell r="D1435">
            <v>5.8999999999999997E-2</v>
          </cell>
          <cell r="E1435">
            <v>1.055E-2</v>
          </cell>
        </row>
        <row r="1436">
          <cell r="C1436" t="str">
            <v>Santa Monica - Los Angeles</v>
          </cell>
          <cell r="D1436">
            <v>8.2166666666666666E-2</v>
          </cell>
          <cell r="E1436">
            <v>1.1979999999999999E-2</v>
          </cell>
        </row>
        <row r="1437">
          <cell r="C1437" t="str">
            <v>Santa Nella - Merced</v>
          </cell>
          <cell r="D1437">
            <v>0.13066666666666668</v>
          </cell>
          <cell r="E1437">
            <v>1.099E-2</v>
          </cell>
        </row>
        <row r="1438">
          <cell r="C1438" t="str">
            <v>Santa Paula - Ventura</v>
          </cell>
          <cell r="D1438">
            <v>6.6000000000000003E-2</v>
          </cell>
          <cell r="E1438">
            <v>1.0920000000000001E-2</v>
          </cell>
        </row>
        <row r="1439">
          <cell r="C1439" t="str">
            <v>Santa Rita Park - Merced</v>
          </cell>
          <cell r="D1439">
            <v>0.13066666666666668</v>
          </cell>
          <cell r="E1439">
            <v>1.099E-2</v>
          </cell>
        </row>
        <row r="1440">
          <cell r="C1440" t="str">
            <v>Santa Rosa - Sonoma</v>
          </cell>
          <cell r="D1440">
            <v>5.4333333333333324E-2</v>
          </cell>
          <cell r="E1440">
            <v>1.1180000000000001E-2</v>
          </cell>
        </row>
        <row r="1441">
          <cell r="C1441" t="str">
            <v>Santa Ynez - Santa Barbara</v>
          </cell>
          <cell r="D1441">
            <v>5.8999999999999997E-2</v>
          </cell>
          <cell r="E1441">
            <v>1.055E-2</v>
          </cell>
        </row>
        <row r="1442">
          <cell r="C1442" t="str">
            <v>Santa Ysabel - San Diego</v>
          </cell>
          <cell r="D1442">
            <v>6.2E-2</v>
          </cell>
          <cell r="E1442">
            <v>1.1080000000000001E-2</v>
          </cell>
        </row>
        <row r="1443">
          <cell r="C1443" t="str">
            <v>Santee - San Diego</v>
          </cell>
          <cell r="D1443">
            <v>6.2E-2</v>
          </cell>
          <cell r="E1443">
            <v>1.1080000000000001E-2</v>
          </cell>
        </row>
        <row r="1444">
          <cell r="C1444" t="str">
            <v>Saratoga - Santa Clara</v>
          </cell>
          <cell r="D1444">
            <v>5.4583333333333331E-2</v>
          </cell>
          <cell r="E1444">
            <v>1.2030000000000001E-2</v>
          </cell>
        </row>
        <row r="1445">
          <cell r="C1445" t="str">
            <v>Saticoy - Ventura</v>
          </cell>
          <cell r="D1445">
            <v>6.6000000000000003E-2</v>
          </cell>
          <cell r="E1445">
            <v>1.0920000000000001E-2</v>
          </cell>
        </row>
        <row r="1446">
          <cell r="C1446" t="str">
            <v>Sattley - Sierra</v>
          </cell>
          <cell r="D1446">
            <v>0.10116666666666665</v>
          </cell>
          <cell r="E1446">
            <v>9.5199999999999989E-3</v>
          </cell>
        </row>
        <row r="1447">
          <cell r="C1447" t="str">
            <v>Saugus  - Los Angeles</v>
          </cell>
          <cell r="D1447">
            <v>8.2166666666666666E-2</v>
          </cell>
          <cell r="E1447">
            <v>1.1979999999999999E-2</v>
          </cell>
        </row>
        <row r="1448">
          <cell r="C1448" t="str">
            <v>Sausalito - Marin</v>
          </cell>
          <cell r="D1448">
            <v>4.1499999999999995E-2</v>
          </cell>
          <cell r="E1448">
            <v>1.1000000000000001E-2</v>
          </cell>
        </row>
        <row r="1449">
          <cell r="C1449" t="str">
            <v>Sawtelle  - Los Angeles</v>
          </cell>
          <cell r="D1449">
            <v>8.2166666666666666E-2</v>
          </cell>
          <cell r="E1449">
            <v>1.1979999999999999E-2</v>
          </cell>
        </row>
        <row r="1450">
          <cell r="C1450" t="str">
            <v>Sawyers Bar - Siskiyou</v>
          </cell>
          <cell r="D1450">
            <v>0.11158333333333331</v>
          </cell>
          <cell r="E1450">
            <v>1.0489999999999999E-2</v>
          </cell>
        </row>
        <row r="1451">
          <cell r="C1451" t="str">
            <v>Scotia - Humboldt</v>
          </cell>
          <cell r="D1451">
            <v>7.3666666666666672E-2</v>
          </cell>
          <cell r="E1451">
            <v>1.043E-2</v>
          </cell>
        </row>
        <row r="1452">
          <cell r="C1452" t="str">
            <v>Scott Bar - Siskiyou</v>
          </cell>
          <cell r="D1452">
            <v>0.11158333333333331</v>
          </cell>
          <cell r="E1452">
            <v>1.0489999999999999E-2</v>
          </cell>
        </row>
        <row r="1453">
          <cell r="C1453" t="str">
            <v>Scotts Valley - Santa Cruz</v>
          </cell>
          <cell r="D1453">
            <v>8.1666666666666665E-2</v>
          </cell>
          <cell r="E1453">
            <v>1.0940000000000002E-2</v>
          </cell>
        </row>
        <row r="1454">
          <cell r="C1454" t="str">
            <v>Sea Ranch - Sonoma</v>
          </cell>
          <cell r="D1454">
            <v>5.4333333333333324E-2</v>
          </cell>
          <cell r="E1454">
            <v>1.1180000000000001E-2</v>
          </cell>
        </row>
        <row r="1455">
          <cell r="C1455" t="str">
            <v>Seabright - Santa Cruz</v>
          </cell>
          <cell r="D1455">
            <v>8.1666666666666665E-2</v>
          </cell>
          <cell r="E1455">
            <v>1.0940000000000002E-2</v>
          </cell>
        </row>
        <row r="1456">
          <cell r="C1456" t="str">
            <v>Seal Beach - Orange</v>
          </cell>
          <cell r="D1456">
            <v>5.2749999999999991E-2</v>
          </cell>
          <cell r="E1456">
            <v>1.061E-2</v>
          </cell>
        </row>
        <row r="1457">
          <cell r="C1457" t="str">
            <v>Seaside - Monterey</v>
          </cell>
          <cell r="D1457">
            <v>9.1249999999999998E-2</v>
          </cell>
          <cell r="E1457">
            <v>1.085E-2</v>
          </cell>
        </row>
        <row r="1458">
          <cell r="C1458" t="str">
            <v>Sebastopol - Sonoma</v>
          </cell>
          <cell r="D1458">
            <v>5.4333333333333324E-2</v>
          </cell>
          <cell r="E1458">
            <v>1.1180000000000001E-2</v>
          </cell>
        </row>
        <row r="1459">
          <cell r="C1459" t="str">
            <v>Seeley - Imperial</v>
          </cell>
          <cell r="D1459">
            <v>0.23408333333333331</v>
          </cell>
          <cell r="E1459">
            <v>1.1299999999999999E-2</v>
          </cell>
        </row>
        <row r="1460">
          <cell r="C1460" t="str">
            <v>Seiad Valley - Siskiyou</v>
          </cell>
          <cell r="D1460">
            <v>0.11158333333333331</v>
          </cell>
          <cell r="E1460">
            <v>1.0489999999999999E-2</v>
          </cell>
        </row>
        <row r="1461">
          <cell r="C1461" t="str">
            <v>Selby - Contra Costa</v>
          </cell>
          <cell r="D1461">
            <v>6.1416666666666668E-2</v>
          </cell>
          <cell r="E1461">
            <v>1.1379999999999999E-2</v>
          </cell>
        </row>
        <row r="1462">
          <cell r="C1462" t="str">
            <v>Selma - Fresno</v>
          </cell>
          <cell r="D1462">
            <v>0.11366666666666669</v>
          </cell>
          <cell r="E1462">
            <v>1.166E-2</v>
          </cell>
        </row>
        <row r="1463">
          <cell r="C1463" t="str">
            <v>Seminole Hot Springs - Los Angeles</v>
          </cell>
          <cell r="D1463">
            <v>8.2166666666666666E-2</v>
          </cell>
          <cell r="E1463">
            <v>1.1979999999999999E-2</v>
          </cell>
        </row>
        <row r="1464">
          <cell r="C1464" t="str">
            <v>Sepulveda  - Los Angeles</v>
          </cell>
          <cell r="D1464">
            <v>8.2166666666666666E-2</v>
          </cell>
          <cell r="E1464">
            <v>1.1979999999999999E-2</v>
          </cell>
        </row>
        <row r="1465">
          <cell r="C1465" t="str">
            <v>Sequoia National Park - Tulare</v>
          </cell>
          <cell r="D1465">
            <v>0.12874999999999998</v>
          </cell>
          <cell r="E1465">
            <v>1.0840000000000001E-2</v>
          </cell>
        </row>
        <row r="1466">
          <cell r="C1466" t="str">
            <v>Shafter - Kern</v>
          </cell>
          <cell r="D1466">
            <v>0.10558333333333332</v>
          </cell>
          <cell r="E1466">
            <v>1.15E-2</v>
          </cell>
        </row>
        <row r="1467">
          <cell r="C1467" t="str">
            <v>Shandon - San Luis Obispo</v>
          </cell>
          <cell r="D1467">
            <v>5.5916666666666656E-2</v>
          </cell>
          <cell r="E1467">
            <v>1.0189999999999999E-2</v>
          </cell>
        </row>
        <row r="1468">
          <cell r="C1468" t="str">
            <v>Sharpe Army Depot - San Joaquin</v>
          </cell>
          <cell r="D1468">
            <v>0.11141666666666668</v>
          </cell>
          <cell r="E1468">
            <v>1.107E-2</v>
          </cell>
        </row>
        <row r="1469">
          <cell r="C1469" t="str">
            <v>Shasta - Shasta</v>
          </cell>
          <cell r="D1469">
            <v>9.0499999999999983E-2</v>
          </cell>
          <cell r="E1469">
            <v>1.085E-2</v>
          </cell>
        </row>
        <row r="1470">
          <cell r="C1470" t="str">
            <v>Shasta Lake - Shasta</v>
          </cell>
          <cell r="D1470">
            <v>9.0499999999999983E-2</v>
          </cell>
          <cell r="E1470">
            <v>1.085E-2</v>
          </cell>
        </row>
        <row r="1471">
          <cell r="C1471" t="str">
            <v>Shaver Lake - Fresno</v>
          </cell>
          <cell r="D1471">
            <v>0.11366666666666669</v>
          </cell>
          <cell r="E1471">
            <v>1.166E-2</v>
          </cell>
        </row>
        <row r="1472">
          <cell r="C1472" t="str">
            <v>Sheepranch - Calaveras</v>
          </cell>
          <cell r="D1472">
            <v>8.5416666666666655E-2</v>
          </cell>
          <cell r="E1472">
            <v>1.1120000000000001E-2</v>
          </cell>
        </row>
        <row r="1473">
          <cell r="C1473" t="str">
            <v>Shell Beach  - San Luis Obispo</v>
          </cell>
          <cell r="D1473">
            <v>5.5916666666666656E-2</v>
          </cell>
          <cell r="E1473">
            <v>1.0189999999999999E-2</v>
          </cell>
        </row>
        <row r="1474">
          <cell r="C1474" t="str">
            <v>Sheridan - Placer</v>
          </cell>
          <cell r="D1474">
            <v>6.2166666666666662E-2</v>
          </cell>
          <cell r="E1474">
            <v>1.0869999999999999E-2</v>
          </cell>
        </row>
        <row r="1475">
          <cell r="C1475" t="str">
            <v>Sherman Island - Sacramento</v>
          </cell>
          <cell r="D1475">
            <v>7.2666666666666671E-2</v>
          </cell>
          <cell r="E1475">
            <v>1.1169999999999999E-2</v>
          </cell>
        </row>
        <row r="1476">
          <cell r="C1476" t="str">
            <v>Sherman Oaks  - Los Angeles</v>
          </cell>
          <cell r="D1476">
            <v>8.2166666666666666E-2</v>
          </cell>
          <cell r="E1476">
            <v>1.1979999999999999E-2</v>
          </cell>
        </row>
        <row r="1477">
          <cell r="C1477" t="str">
            <v>Sherwin Plaza - Mono</v>
          </cell>
          <cell r="D1477">
            <v>7.3249999999999996E-2</v>
          </cell>
          <cell r="E1477">
            <v>1.1240000000000002E-2</v>
          </cell>
        </row>
        <row r="1478">
          <cell r="C1478" t="str">
            <v>Shingle Springs - El Dorado</v>
          </cell>
          <cell r="D1478">
            <v>7.0916666666666683E-2</v>
          </cell>
          <cell r="E1478">
            <v>1.0709999999999999E-2</v>
          </cell>
        </row>
        <row r="1479">
          <cell r="C1479" t="str">
            <v>Shingletown - Shasta</v>
          </cell>
          <cell r="D1479">
            <v>9.0499999999999983E-2</v>
          </cell>
          <cell r="E1479">
            <v>1.085E-2</v>
          </cell>
        </row>
        <row r="1480">
          <cell r="C1480" t="str">
            <v>Shively - Humboldt</v>
          </cell>
          <cell r="D1480">
            <v>7.3666666666666672E-2</v>
          </cell>
          <cell r="E1480">
            <v>1.043E-2</v>
          </cell>
        </row>
        <row r="1481">
          <cell r="C1481" t="str">
            <v>Shore Acres - Contra Costa</v>
          </cell>
          <cell r="D1481">
            <v>6.1416666666666668E-2</v>
          </cell>
          <cell r="E1481">
            <v>1.1379999999999999E-2</v>
          </cell>
        </row>
        <row r="1482">
          <cell r="C1482" t="str">
            <v>Shoshone - Inyo</v>
          </cell>
          <cell r="D1482">
            <v>7.1833333333333332E-2</v>
          </cell>
          <cell r="E1482">
            <v>1.056E-2</v>
          </cell>
        </row>
        <row r="1483">
          <cell r="C1483" t="str">
            <v>Sierra City - Sierra</v>
          </cell>
          <cell r="D1483">
            <v>0.10116666666666665</v>
          </cell>
          <cell r="E1483">
            <v>9.5199999999999989E-3</v>
          </cell>
        </row>
        <row r="1484">
          <cell r="C1484" t="str">
            <v>Sierra Madre - Los Angeles</v>
          </cell>
          <cell r="D1484">
            <v>8.2166666666666666E-2</v>
          </cell>
          <cell r="E1484">
            <v>1.1979999999999999E-2</v>
          </cell>
        </row>
        <row r="1485">
          <cell r="C1485" t="str">
            <v>Sierraville - Sierra</v>
          </cell>
          <cell r="D1485">
            <v>0.10116666666666665</v>
          </cell>
          <cell r="E1485">
            <v>9.5199999999999989E-3</v>
          </cell>
        </row>
        <row r="1486">
          <cell r="C1486" t="str">
            <v>Signal Hill - Los Angeles</v>
          </cell>
          <cell r="D1486">
            <v>8.2166666666666666E-2</v>
          </cell>
          <cell r="E1486">
            <v>1.1979999999999999E-2</v>
          </cell>
        </row>
        <row r="1487">
          <cell r="C1487" t="str">
            <v>Silver Lake - Amador</v>
          </cell>
          <cell r="D1487">
            <v>8.1583333333333327E-2</v>
          </cell>
          <cell r="E1487">
            <v>1.0169999999999998E-2</v>
          </cell>
        </row>
        <row r="1488">
          <cell r="C1488" t="str">
            <v>Silverado Canyon - Orange</v>
          </cell>
          <cell r="D1488">
            <v>5.2749999999999991E-2</v>
          </cell>
          <cell r="E1488">
            <v>1.061E-2</v>
          </cell>
        </row>
        <row r="1489">
          <cell r="C1489" t="str">
            <v>Simi Valley - Ventura</v>
          </cell>
          <cell r="D1489">
            <v>6.6000000000000003E-2</v>
          </cell>
          <cell r="E1489">
            <v>1.0920000000000001E-2</v>
          </cell>
        </row>
        <row r="1490">
          <cell r="C1490" t="str">
            <v>Sisquoc - Santa Barbara</v>
          </cell>
          <cell r="D1490">
            <v>5.8999999999999997E-2</v>
          </cell>
          <cell r="E1490">
            <v>1.055E-2</v>
          </cell>
        </row>
        <row r="1491">
          <cell r="C1491" t="str">
            <v>Sites - Colusa</v>
          </cell>
          <cell r="D1491">
            <v>0.17433333333333334</v>
          </cell>
          <cell r="E1491">
            <v>1.0540000000000001E-2</v>
          </cell>
        </row>
        <row r="1492">
          <cell r="C1492" t="str">
            <v>Sky Valley - Riverside</v>
          </cell>
          <cell r="D1492">
            <v>8.7000000000000008E-2</v>
          </cell>
          <cell r="E1492">
            <v>1.0970000000000001E-2</v>
          </cell>
        </row>
        <row r="1493">
          <cell r="C1493" t="str">
            <v>Skyforest - San Bernardino</v>
          </cell>
          <cell r="D1493">
            <v>8.3833333333333329E-2</v>
          </cell>
          <cell r="E1493">
            <v>1.149E-2</v>
          </cell>
        </row>
        <row r="1494">
          <cell r="C1494" t="str">
            <v>Sleepy Valley - Los Angeles</v>
          </cell>
          <cell r="D1494">
            <v>8.2166666666666666E-2</v>
          </cell>
          <cell r="E1494">
            <v>1.1979999999999999E-2</v>
          </cell>
        </row>
        <row r="1495">
          <cell r="C1495" t="str">
            <v>Sloat - Plumas</v>
          </cell>
          <cell r="D1495">
            <v>0.10208333333333332</v>
          </cell>
          <cell r="E1495">
            <v>1.0369999999999999E-2</v>
          </cell>
        </row>
        <row r="1496">
          <cell r="C1496" t="str">
            <v>Sloughhouse - Sacramento</v>
          </cell>
          <cell r="D1496">
            <v>7.2666666666666671E-2</v>
          </cell>
          <cell r="E1496">
            <v>1.1169999999999999E-2</v>
          </cell>
        </row>
        <row r="1497">
          <cell r="C1497" t="str">
            <v>Smartsville - Yuba</v>
          </cell>
          <cell r="D1497">
            <v>0.12291666666666666</v>
          </cell>
          <cell r="E1497">
            <v>1.1180000000000001E-2</v>
          </cell>
        </row>
        <row r="1498">
          <cell r="C1498" t="str">
            <v>Smith River - Del Norte</v>
          </cell>
          <cell r="D1498">
            <v>9.8666666666666653E-2</v>
          </cell>
          <cell r="E1498">
            <v>1.0369999999999999E-2</v>
          </cell>
        </row>
        <row r="1499">
          <cell r="C1499" t="str">
            <v>Smithflat - El Dorado</v>
          </cell>
          <cell r="D1499">
            <v>7.0916666666666683E-2</v>
          </cell>
          <cell r="E1499">
            <v>1.0709999999999999E-2</v>
          </cell>
        </row>
        <row r="1500">
          <cell r="C1500" t="str">
            <v>Smoke Tree  - San Bernardino</v>
          </cell>
          <cell r="D1500">
            <v>8.3833333333333329E-2</v>
          </cell>
          <cell r="E1500">
            <v>1.149E-2</v>
          </cell>
        </row>
        <row r="1501">
          <cell r="C1501" t="str">
            <v>Snelling - Merced</v>
          </cell>
          <cell r="D1501">
            <v>0.13066666666666668</v>
          </cell>
          <cell r="E1501">
            <v>1.099E-2</v>
          </cell>
        </row>
        <row r="1502">
          <cell r="C1502" t="str">
            <v>Soda Springs - Nevada</v>
          </cell>
          <cell r="D1502">
            <v>6.4083333333333339E-2</v>
          </cell>
          <cell r="E1502">
            <v>1.0529999999999999E-2</v>
          </cell>
        </row>
        <row r="1503">
          <cell r="C1503" t="str">
            <v>Solana Beach - San Diego</v>
          </cell>
          <cell r="D1503">
            <v>6.2E-2</v>
          </cell>
          <cell r="E1503">
            <v>1.1080000000000001E-2</v>
          </cell>
        </row>
        <row r="1504">
          <cell r="C1504" t="str">
            <v>Soledad - Monterey</v>
          </cell>
          <cell r="D1504">
            <v>9.1249999999999998E-2</v>
          </cell>
          <cell r="E1504">
            <v>1.085E-2</v>
          </cell>
        </row>
        <row r="1505">
          <cell r="C1505" t="str">
            <v>Solemint - Los Angeles</v>
          </cell>
          <cell r="D1505">
            <v>8.2166666666666666E-2</v>
          </cell>
          <cell r="E1505">
            <v>1.1979999999999999E-2</v>
          </cell>
        </row>
        <row r="1506">
          <cell r="C1506" t="str">
            <v>Solvang - Santa Barbara</v>
          </cell>
          <cell r="D1506">
            <v>5.8999999999999997E-2</v>
          </cell>
          <cell r="E1506">
            <v>1.055E-2</v>
          </cell>
        </row>
        <row r="1507">
          <cell r="C1507" t="str">
            <v>Somerset - El Dorado</v>
          </cell>
          <cell r="D1507">
            <v>7.0916666666666683E-2</v>
          </cell>
          <cell r="E1507">
            <v>1.0709999999999999E-2</v>
          </cell>
        </row>
        <row r="1508">
          <cell r="C1508" t="str">
            <v>Somes Bar - Siskiyou</v>
          </cell>
          <cell r="D1508">
            <v>0.11158333333333331</v>
          </cell>
          <cell r="E1508">
            <v>1.0489999999999999E-2</v>
          </cell>
        </row>
        <row r="1509">
          <cell r="C1509" t="str">
            <v>Somis - Ventura</v>
          </cell>
          <cell r="D1509">
            <v>6.6000000000000003E-2</v>
          </cell>
          <cell r="E1509">
            <v>1.0920000000000001E-2</v>
          </cell>
        </row>
        <row r="1510">
          <cell r="C1510" t="str">
            <v>Sonoma - Sonoma</v>
          </cell>
          <cell r="D1510">
            <v>5.4333333333333324E-2</v>
          </cell>
          <cell r="E1510">
            <v>1.1180000000000001E-2</v>
          </cell>
        </row>
        <row r="1511">
          <cell r="C1511" t="str">
            <v>Sonora - Tuolumne</v>
          </cell>
          <cell r="D1511">
            <v>8.0750000000000016E-2</v>
          </cell>
          <cell r="E1511">
            <v>1.061E-2</v>
          </cell>
        </row>
        <row r="1512">
          <cell r="C1512" t="str">
            <v>Soquel - Santa Cruz</v>
          </cell>
          <cell r="D1512">
            <v>8.1666666666666665E-2</v>
          </cell>
          <cell r="E1512">
            <v>1.0940000000000002E-2</v>
          </cell>
        </row>
        <row r="1513">
          <cell r="C1513" t="str">
            <v>Soulsbyville - Tuolumne</v>
          </cell>
          <cell r="D1513">
            <v>8.0750000000000016E-2</v>
          </cell>
          <cell r="E1513">
            <v>1.061E-2</v>
          </cell>
        </row>
        <row r="1514">
          <cell r="C1514" t="str">
            <v>South Dos Palos - Merced</v>
          </cell>
          <cell r="D1514">
            <v>0.13066666666666668</v>
          </cell>
          <cell r="E1514">
            <v>1.099E-2</v>
          </cell>
        </row>
        <row r="1515">
          <cell r="C1515" t="str">
            <v>South El Monte - Los Angeles</v>
          </cell>
          <cell r="D1515">
            <v>8.2166666666666666E-2</v>
          </cell>
          <cell r="E1515">
            <v>1.1979999999999999E-2</v>
          </cell>
        </row>
        <row r="1516">
          <cell r="C1516" t="str">
            <v>South Fork - Humboldt</v>
          </cell>
          <cell r="D1516">
            <v>7.3666666666666672E-2</v>
          </cell>
          <cell r="E1516">
            <v>1.043E-2</v>
          </cell>
        </row>
        <row r="1517">
          <cell r="C1517" t="str">
            <v>South Gate - Los Angeles</v>
          </cell>
          <cell r="D1517">
            <v>8.2166666666666666E-2</v>
          </cell>
          <cell r="E1517">
            <v>1.1979999999999999E-2</v>
          </cell>
        </row>
        <row r="1518">
          <cell r="C1518" t="str">
            <v>South Laguna  - Orange</v>
          </cell>
          <cell r="D1518">
            <v>5.2749999999999991E-2</v>
          </cell>
          <cell r="E1518">
            <v>1.061E-2</v>
          </cell>
        </row>
        <row r="1519">
          <cell r="C1519" t="str">
            <v>South Lake Tahoe - El Dorado</v>
          </cell>
          <cell r="D1519">
            <v>7.0916666666666683E-2</v>
          </cell>
          <cell r="E1519">
            <v>1.0709999999999999E-2</v>
          </cell>
        </row>
        <row r="1520">
          <cell r="C1520" t="str">
            <v>South Pasadena - Los Angeles</v>
          </cell>
          <cell r="D1520">
            <v>8.2166666666666666E-2</v>
          </cell>
          <cell r="E1520">
            <v>1.1979999999999999E-2</v>
          </cell>
        </row>
        <row r="1521">
          <cell r="C1521" t="str">
            <v>South San Francisco - San Mateo</v>
          </cell>
          <cell r="D1521">
            <v>4.3500000000000004E-2</v>
          </cell>
          <cell r="E1521">
            <v>1.099E-2</v>
          </cell>
        </row>
        <row r="1522">
          <cell r="C1522" t="str">
            <v>South Shore  - Alameda</v>
          </cell>
          <cell r="D1522">
            <v>0.06</v>
          </cell>
          <cell r="E1522">
            <v>1.214E-2</v>
          </cell>
        </row>
        <row r="1523">
          <cell r="C1523" t="str">
            <v>South Whittier - Los Angeles</v>
          </cell>
          <cell r="D1523">
            <v>8.2166666666666666E-2</v>
          </cell>
          <cell r="E1523">
            <v>1.1979999999999999E-2</v>
          </cell>
        </row>
        <row r="1524">
          <cell r="C1524" t="str">
            <v>Spanish Flat - Napa</v>
          </cell>
          <cell r="D1524">
            <v>5.1833333333333328E-2</v>
          </cell>
          <cell r="E1524">
            <v>1.0900000000000002E-2</v>
          </cell>
        </row>
        <row r="1525">
          <cell r="C1525" t="str">
            <v>Spreckels - Monterey</v>
          </cell>
          <cell r="D1525">
            <v>9.1249999999999998E-2</v>
          </cell>
          <cell r="E1525">
            <v>1.085E-2</v>
          </cell>
        </row>
        <row r="1526">
          <cell r="C1526" t="str">
            <v>Spring Garden - Plumas</v>
          </cell>
          <cell r="D1526">
            <v>0.10208333333333332</v>
          </cell>
          <cell r="E1526">
            <v>1.0369999999999999E-2</v>
          </cell>
        </row>
        <row r="1527">
          <cell r="C1527" t="str">
            <v>Spring Valley - San Diego</v>
          </cell>
          <cell r="D1527">
            <v>6.2E-2</v>
          </cell>
          <cell r="E1527">
            <v>1.1080000000000001E-2</v>
          </cell>
        </row>
        <row r="1528">
          <cell r="C1528" t="str">
            <v>Springville - Tulare</v>
          </cell>
          <cell r="D1528">
            <v>0.12874999999999998</v>
          </cell>
          <cell r="E1528">
            <v>1.0840000000000001E-2</v>
          </cell>
        </row>
        <row r="1529">
          <cell r="C1529" t="str">
            <v>Spyrock - Mendocino</v>
          </cell>
          <cell r="D1529">
            <v>6.5750000000000003E-2</v>
          </cell>
          <cell r="E1529">
            <v>1.123E-2</v>
          </cell>
        </row>
        <row r="1530">
          <cell r="C1530" t="str">
            <v>Squaw Valley - Fresno</v>
          </cell>
          <cell r="D1530">
            <v>0.11366666666666669</v>
          </cell>
          <cell r="E1530">
            <v>1.166E-2</v>
          </cell>
        </row>
        <row r="1531">
          <cell r="C1531" t="str">
            <v>St. Helena - Napa</v>
          </cell>
          <cell r="D1531">
            <v>5.1833333333333328E-2</v>
          </cell>
          <cell r="E1531">
            <v>1.0900000000000002E-2</v>
          </cell>
        </row>
        <row r="1532">
          <cell r="C1532" t="str">
            <v>Standard - Tuolumne</v>
          </cell>
          <cell r="D1532">
            <v>8.0750000000000016E-2</v>
          </cell>
          <cell r="E1532">
            <v>1.061E-2</v>
          </cell>
        </row>
        <row r="1533">
          <cell r="C1533" t="str">
            <v>Standish - Lassen</v>
          </cell>
          <cell r="D1533">
            <v>9.4750000000000001E-2</v>
          </cell>
          <cell r="E1533">
            <v>1.027E-2</v>
          </cell>
        </row>
        <row r="1534">
          <cell r="C1534" t="str">
            <v>Stanford - Santa Clara</v>
          </cell>
          <cell r="D1534">
            <v>5.4583333333333331E-2</v>
          </cell>
          <cell r="E1534">
            <v>1.2030000000000001E-2</v>
          </cell>
        </row>
        <row r="1535">
          <cell r="C1535" t="str">
            <v>Stanislaus - Tuolumne</v>
          </cell>
          <cell r="D1535">
            <v>8.0750000000000016E-2</v>
          </cell>
          <cell r="E1535">
            <v>1.061E-2</v>
          </cell>
        </row>
        <row r="1536">
          <cell r="C1536" t="str">
            <v>Stanton - Orange</v>
          </cell>
          <cell r="D1536">
            <v>5.2749999999999991E-2</v>
          </cell>
          <cell r="E1536">
            <v>1.061E-2</v>
          </cell>
        </row>
        <row r="1537">
          <cell r="C1537" t="str">
            <v>Steele Park - Napa</v>
          </cell>
          <cell r="D1537">
            <v>5.1833333333333328E-2</v>
          </cell>
          <cell r="E1537">
            <v>1.0900000000000002E-2</v>
          </cell>
        </row>
        <row r="1538">
          <cell r="C1538" t="str">
            <v>Stevenson Ranch - Los Angeles</v>
          </cell>
          <cell r="D1538">
            <v>8.2166666666666666E-2</v>
          </cell>
          <cell r="E1538">
            <v>1.1979999999999999E-2</v>
          </cell>
        </row>
        <row r="1539">
          <cell r="C1539" t="str">
            <v>Stevinson - Merced</v>
          </cell>
          <cell r="D1539">
            <v>0.13066666666666668</v>
          </cell>
          <cell r="E1539">
            <v>1.099E-2</v>
          </cell>
        </row>
        <row r="1540">
          <cell r="C1540" t="str">
            <v>Stewarts Point - Sonoma</v>
          </cell>
          <cell r="D1540">
            <v>5.4333333333333324E-2</v>
          </cell>
          <cell r="E1540">
            <v>1.1180000000000001E-2</v>
          </cell>
        </row>
        <row r="1541">
          <cell r="C1541" t="str">
            <v>Stinson Beach - Marin</v>
          </cell>
          <cell r="D1541">
            <v>4.1499999999999995E-2</v>
          </cell>
          <cell r="E1541">
            <v>1.1000000000000001E-2</v>
          </cell>
        </row>
        <row r="1542">
          <cell r="C1542" t="str">
            <v>Stirling City - Butte</v>
          </cell>
          <cell r="D1542">
            <v>8.4749999999999992E-2</v>
          </cell>
          <cell r="E1542">
            <v>1.052E-2</v>
          </cell>
        </row>
        <row r="1543">
          <cell r="C1543" t="str">
            <v>Stockton - San Joaquin</v>
          </cell>
          <cell r="D1543">
            <v>0.11141666666666668</v>
          </cell>
          <cell r="E1543">
            <v>1.107E-2</v>
          </cell>
        </row>
        <row r="1544">
          <cell r="C1544" t="str">
            <v>Stonyford - Colusa</v>
          </cell>
          <cell r="D1544">
            <v>0.17433333333333334</v>
          </cell>
          <cell r="E1544">
            <v>1.0540000000000001E-2</v>
          </cell>
        </row>
        <row r="1545">
          <cell r="C1545" t="str">
            <v>Storrie - Plumas</v>
          </cell>
          <cell r="D1545">
            <v>0.10208333333333332</v>
          </cell>
          <cell r="E1545">
            <v>1.0369999999999999E-2</v>
          </cell>
        </row>
        <row r="1546">
          <cell r="C1546" t="str">
            <v>Stratford - Kings</v>
          </cell>
          <cell r="D1546">
            <v>0.12166666666666666</v>
          </cell>
          <cell r="E1546">
            <v>1.026E-2</v>
          </cell>
        </row>
        <row r="1547">
          <cell r="C1547" t="str">
            <v>Strathmore - Tulare</v>
          </cell>
          <cell r="D1547">
            <v>0.12874999999999998</v>
          </cell>
          <cell r="E1547">
            <v>1.0840000000000001E-2</v>
          </cell>
        </row>
        <row r="1548">
          <cell r="C1548" t="str">
            <v>Strawberry - Tuolumne</v>
          </cell>
          <cell r="D1548">
            <v>8.0750000000000016E-2</v>
          </cell>
          <cell r="E1548">
            <v>1.061E-2</v>
          </cell>
        </row>
        <row r="1549">
          <cell r="C1549" t="str">
            <v>Strawberry Valley - Yuba</v>
          </cell>
          <cell r="D1549">
            <v>0.12291666666666666</v>
          </cell>
          <cell r="E1549">
            <v>1.1180000000000001E-2</v>
          </cell>
        </row>
        <row r="1550">
          <cell r="C1550" t="str">
            <v>Studio City  - Los Angeles</v>
          </cell>
          <cell r="D1550">
            <v>8.2166666666666666E-2</v>
          </cell>
          <cell r="E1550">
            <v>1.1979999999999999E-2</v>
          </cell>
        </row>
        <row r="1551">
          <cell r="C1551" t="str">
            <v>Sugarloaf - San Bernardino</v>
          </cell>
          <cell r="D1551">
            <v>8.3833333333333329E-2</v>
          </cell>
          <cell r="E1551">
            <v>1.149E-2</v>
          </cell>
        </row>
        <row r="1552">
          <cell r="C1552" t="str">
            <v>Suisun City - Solano</v>
          </cell>
          <cell r="D1552">
            <v>6.9833333333333317E-2</v>
          </cell>
          <cell r="E1552">
            <v>1.149E-2</v>
          </cell>
        </row>
        <row r="1553">
          <cell r="C1553" t="str">
            <v>Sulphur Springs - Los Angeles</v>
          </cell>
          <cell r="D1553">
            <v>8.2166666666666666E-2</v>
          </cell>
          <cell r="E1553">
            <v>1.1979999999999999E-2</v>
          </cell>
        </row>
        <row r="1554">
          <cell r="C1554" t="str">
            <v>Sultana - Tulare</v>
          </cell>
          <cell r="D1554">
            <v>0.12874999999999998</v>
          </cell>
          <cell r="E1554">
            <v>1.0840000000000001E-2</v>
          </cell>
        </row>
        <row r="1555">
          <cell r="C1555" t="str">
            <v>Summerland - Santa Barbara</v>
          </cell>
          <cell r="D1555">
            <v>5.8999999999999997E-2</v>
          </cell>
          <cell r="E1555">
            <v>1.055E-2</v>
          </cell>
        </row>
        <row r="1556">
          <cell r="C1556" t="str">
            <v>Summit - San Bernardino</v>
          </cell>
          <cell r="D1556">
            <v>8.3833333333333329E-2</v>
          </cell>
          <cell r="E1556">
            <v>1.149E-2</v>
          </cell>
        </row>
        <row r="1557">
          <cell r="C1557" t="str">
            <v>Summit City - Shasta</v>
          </cell>
          <cell r="D1557">
            <v>9.0499999999999983E-2</v>
          </cell>
          <cell r="E1557">
            <v>1.085E-2</v>
          </cell>
        </row>
        <row r="1558">
          <cell r="C1558" t="str">
            <v>Sun City - Riverside</v>
          </cell>
          <cell r="D1558">
            <v>8.7000000000000008E-2</v>
          </cell>
          <cell r="E1558">
            <v>1.0970000000000001E-2</v>
          </cell>
        </row>
        <row r="1559">
          <cell r="C1559" t="str">
            <v>Sun Valley  - Los Angeles</v>
          </cell>
          <cell r="D1559">
            <v>8.2166666666666666E-2</v>
          </cell>
          <cell r="E1559">
            <v>1.1979999999999999E-2</v>
          </cell>
        </row>
        <row r="1560">
          <cell r="C1560" t="str">
            <v>Sunland  - Los Angeles</v>
          </cell>
          <cell r="D1560">
            <v>8.2166666666666666E-2</v>
          </cell>
          <cell r="E1560">
            <v>1.1979999999999999E-2</v>
          </cell>
        </row>
        <row r="1561">
          <cell r="C1561" t="str">
            <v>Sunnymead  - Riverside</v>
          </cell>
          <cell r="D1561">
            <v>8.7000000000000008E-2</v>
          </cell>
          <cell r="E1561">
            <v>1.0970000000000001E-2</v>
          </cell>
        </row>
        <row r="1562">
          <cell r="C1562" t="str">
            <v>Sunnyside - San Diego</v>
          </cell>
          <cell r="D1562">
            <v>6.2E-2</v>
          </cell>
          <cell r="E1562">
            <v>1.1080000000000001E-2</v>
          </cell>
        </row>
        <row r="1563">
          <cell r="C1563" t="str">
            <v>Sunnyvale - Santa Clara</v>
          </cell>
          <cell r="D1563">
            <v>5.4583333333333331E-2</v>
          </cell>
          <cell r="E1563">
            <v>1.2030000000000001E-2</v>
          </cell>
        </row>
        <row r="1564">
          <cell r="C1564" t="str">
            <v>Sunol - Alameda</v>
          </cell>
          <cell r="D1564">
            <v>0.06</v>
          </cell>
          <cell r="E1564">
            <v>1.214E-2</v>
          </cell>
        </row>
        <row r="1565">
          <cell r="C1565" t="str">
            <v>Sunset Beach - Orange</v>
          </cell>
          <cell r="D1565">
            <v>5.2749999999999991E-2</v>
          </cell>
          <cell r="E1565">
            <v>1.061E-2</v>
          </cell>
        </row>
        <row r="1566">
          <cell r="C1566" t="str">
            <v>Sunset Whitney Ranch - Placer</v>
          </cell>
          <cell r="D1566">
            <v>6.2166666666666662E-2</v>
          </cell>
          <cell r="E1566">
            <v>1.0869999999999999E-2</v>
          </cell>
        </row>
        <row r="1567">
          <cell r="C1567" t="str">
            <v>Surfside  - Orange</v>
          </cell>
          <cell r="D1567">
            <v>5.2749999999999991E-2</v>
          </cell>
          <cell r="E1567">
            <v>1.061E-2</v>
          </cell>
        </row>
        <row r="1568">
          <cell r="C1568" t="str">
            <v>Susanville - Lassen</v>
          </cell>
          <cell r="D1568">
            <v>9.4750000000000001E-2</v>
          </cell>
          <cell r="E1568">
            <v>1.027E-2</v>
          </cell>
        </row>
        <row r="1569">
          <cell r="C1569" t="str">
            <v>Sutter - Sutter</v>
          </cell>
          <cell r="D1569">
            <v>0.13508333333333333</v>
          </cell>
          <cell r="E1569">
            <v>1.0900000000000002E-2</v>
          </cell>
        </row>
        <row r="1570">
          <cell r="C1570" t="str">
            <v>Sutter Creek - Amador</v>
          </cell>
          <cell r="D1570">
            <v>8.1583333333333327E-2</v>
          </cell>
          <cell r="E1570">
            <v>1.0169999999999998E-2</v>
          </cell>
        </row>
        <row r="1571">
          <cell r="C1571" t="str">
            <v>Swall Meadows  - Inyo</v>
          </cell>
          <cell r="D1571">
            <v>7.1833333333333332E-2</v>
          </cell>
          <cell r="E1571">
            <v>1.056E-2</v>
          </cell>
        </row>
        <row r="1572">
          <cell r="C1572" t="str">
            <v>Sylmar  - Los Angeles</v>
          </cell>
          <cell r="D1572">
            <v>8.2166666666666666E-2</v>
          </cell>
          <cell r="E1572">
            <v>1.1979999999999999E-2</v>
          </cell>
        </row>
        <row r="1573">
          <cell r="C1573" t="str">
            <v>Taft - Kern</v>
          </cell>
          <cell r="D1573">
            <v>0.10558333333333332</v>
          </cell>
          <cell r="E1573">
            <v>1.15E-2</v>
          </cell>
        </row>
        <row r="1574">
          <cell r="C1574" t="str">
            <v>Tagus Ranch - Tulare</v>
          </cell>
          <cell r="D1574">
            <v>0.12874999999999998</v>
          </cell>
          <cell r="E1574">
            <v>1.0840000000000001E-2</v>
          </cell>
        </row>
        <row r="1575">
          <cell r="C1575" t="str">
            <v>Tahoe City - Placer</v>
          </cell>
          <cell r="D1575">
            <v>6.2166666666666662E-2</v>
          </cell>
          <cell r="E1575">
            <v>1.0869999999999999E-2</v>
          </cell>
        </row>
        <row r="1576">
          <cell r="C1576" t="str">
            <v>Tahoe Paradise - El Dorado</v>
          </cell>
          <cell r="D1576">
            <v>7.0916666666666683E-2</v>
          </cell>
          <cell r="E1576">
            <v>1.0709999999999999E-2</v>
          </cell>
        </row>
        <row r="1577">
          <cell r="C1577" t="str">
            <v>Tahoe Valley - El Dorado</v>
          </cell>
          <cell r="D1577">
            <v>7.0916666666666683E-2</v>
          </cell>
          <cell r="E1577">
            <v>1.0709999999999999E-2</v>
          </cell>
        </row>
        <row r="1578">
          <cell r="C1578" t="str">
            <v>Tahoe Vista - Placer</v>
          </cell>
          <cell r="D1578">
            <v>6.2166666666666662E-2</v>
          </cell>
          <cell r="E1578">
            <v>1.0869999999999999E-2</v>
          </cell>
        </row>
        <row r="1579">
          <cell r="C1579" t="str">
            <v>Tahoma - Placer</v>
          </cell>
          <cell r="D1579">
            <v>6.2166666666666662E-2</v>
          </cell>
          <cell r="E1579">
            <v>1.0869999999999999E-2</v>
          </cell>
        </row>
        <row r="1580">
          <cell r="C1580" t="str">
            <v>Talmage - Mendocino</v>
          </cell>
          <cell r="D1580">
            <v>6.5750000000000003E-2</v>
          </cell>
          <cell r="E1580">
            <v>1.123E-2</v>
          </cell>
        </row>
        <row r="1581">
          <cell r="C1581" t="str">
            <v>Tamal  - Marin</v>
          </cell>
          <cell r="D1581">
            <v>4.1499999999999995E-2</v>
          </cell>
          <cell r="E1581">
            <v>1.1000000000000001E-2</v>
          </cell>
        </row>
        <row r="1582">
          <cell r="C1582" t="str">
            <v>Tarzana - Los Angeles</v>
          </cell>
          <cell r="D1582">
            <v>8.2166666666666666E-2</v>
          </cell>
          <cell r="E1582">
            <v>1.1979999999999999E-2</v>
          </cell>
        </row>
        <row r="1583">
          <cell r="C1583" t="str">
            <v>Taylorsville - Plumas</v>
          </cell>
          <cell r="D1583">
            <v>0.10208333333333332</v>
          </cell>
          <cell r="E1583">
            <v>1.0369999999999999E-2</v>
          </cell>
        </row>
        <row r="1584">
          <cell r="C1584" t="str">
            <v>Tecate - San Diego</v>
          </cell>
          <cell r="D1584">
            <v>6.2E-2</v>
          </cell>
          <cell r="E1584">
            <v>1.1080000000000001E-2</v>
          </cell>
        </row>
        <row r="1585">
          <cell r="C1585" t="str">
            <v>Tecopa - Inyo</v>
          </cell>
          <cell r="D1585">
            <v>7.1833333333333332E-2</v>
          </cell>
          <cell r="E1585">
            <v>1.056E-2</v>
          </cell>
        </row>
        <row r="1586">
          <cell r="C1586" t="str">
            <v>Tehachapi - Kern</v>
          </cell>
          <cell r="D1586">
            <v>0.10558333333333332</v>
          </cell>
          <cell r="E1586">
            <v>1.15E-2</v>
          </cell>
        </row>
        <row r="1587">
          <cell r="C1587" t="str">
            <v>Tehama - Tehama</v>
          </cell>
          <cell r="D1587">
            <v>9.7333333333333327E-2</v>
          </cell>
          <cell r="E1587">
            <v>1.023E-2</v>
          </cell>
        </row>
        <row r="1588">
          <cell r="C1588" t="str">
            <v>Temecula - Riverside</v>
          </cell>
          <cell r="D1588">
            <v>8.7000000000000008E-2</v>
          </cell>
          <cell r="E1588">
            <v>1.0970000000000001E-2</v>
          </cell>
        </row>
        <row r="1589">
          <cell r="C1589" t="str">
            <v>Temple City - Los Angeles</v>
          </cell>
          <cell r="D1589">
            <v>8.2166666666666666E-2</v>
          </cell>
          <cell r="E1589">
            <v>1.1979999999999999E-2</v>
          </cell>
        </row>
        <row r="1590">
          <cell r="C1590" t="str">
            <v>Templeton - San Luis Obispo</v>
          </cell>
          <cell r="D1590">
            <v>5.5916666666666656E-2</v>
          </cell>
          <cell r="E1590">
            <v>1.0189999999999999E-2</v>
          </cell>
        </row>
        <row r="1591">
          <cell r="C1591" t="str">
            <v>Terminal Island  - Los Angeles</v>
          </cell>
          <cell r="D1591">
            <v>8.2166666666666666E-2</v>
          </cell>
          <cell r="E1591">
            <v>1.1979999999999999E-2</v>
          </cell>
        </row>
        <row r="1592">
          <cell r="C1592" t="str">
            <v>Termo - Lassen</v>
          </cell>
          <cell r="D1592">
            <v>9.4750000000000001E-2</v>
          </cell>
          <cell r="E1592">
            <v>1.027E-2</v>
          </cell>
        </row>
        <row r="1593">
          <cell r="C1593" t="str">
            <v>Terra Bella - Tulare</v>
          </cell>
          <cell r="D1593">
            <v>0.12874999999999998</v>
          </cell>
          <cell r="E1593">
            <v>1.0840000000000001E-2</v>
          </cell>
        </row>
        <row r="1594">
          <cell r="C1594" t="str">
            <v>Thermal - Riverside</v>
          </cell>
          <cell r="D1594">
            <v>8.7000000000000008E-2</v>
          </cell>
          <cell r="E1594">
            <v>1.0970000000000001E-2</v>
          </cell>
        </row>
        <row r="1595">
          <cell r="C1595" t="str">
            <v>Thornton - San Joaquin</v>
          </cell>
          <cell r="D1595">
            <v>0.11141666666666668</v>
          </cell>
          <cell r="E1595">
            <v>1.107E-2</v>
          </cell>
        </row>
        <row r="1596">
          <cell r="C1596" t="str">
            <v>Thousand Oaks - Ventura</v>
          </cell>
          <cell r="D1596">
            <v>6.6000000000000003E-2</v>
          </cell>
          <cell r="E1596">
            <v>1.0920000000000001E-2</v>
          </cell>
        </row>
        <row r="1597">
          <cell r="C1597" t="str">
            <v>Thousand Palms - Riverside</v>
          </cell>
          <cell r="D1597">
            <v>8.7000000000000008E-2</v>
          </cell>
          <cell r="E1597">
            <v>1.0970000000000001E-2</v>
          </cell>
        </row>
        <row r="1598">
          <cell r="C1598" t="str">
            <v>Three Rivers - Tulare</v>
          </cell>
          <cell r="D1598">
            <v>0.12874999999999998</v>
          </cell>
          <cell r="E1598">
            <v>1.0840000000000001E-2</v>
          </cell>
        </row>
        <row r="1599">
          <cell r="C1599" t="str">
            <v>Tiburon - Marin</v>
          </cell>
          <cell r="D1599">
            <v>4.1499999999999995E-2</v>
          </cell>
          <cell r="E1599">
            <v>1.1000000000000001E-2</v>
          </cell>
        </row>
        <row r="1600">
          <cell r="C1600" t="str">
            <v>Tierra Del Sol - San Diego</v>
          </cell>
          <cell r="D1600">
            <v>6.2E-2</v>
          </cell>
          <cell r="E1600">
            <v>1.1080000000000001E-2</v>
          </cell>
        </row>
        <row r="1601">
          <cell r="C1601" t="str">
            <v>Tierrasanta  - San Diego</v>
          </cell>
          <cell r="D1601">
            <v>6.2E-2</v>
          </cell>
          <cell r="E1601">
            <v>1.1080000000000001E-2</v>
          </cell>
        </row>
        <row r="1602">
          <cell r="C1602" t="str">
            <v>Tipton - Tulare</v>
          </cell>
          <cell r="D1602">
            <v>0.12874999999999998</v>
          </cell>
          <cell r="E1602">
            <v>1.0840000000000001E-2</v>
          </cell>
        </row>
        <row r="1603">
          <cell r="C1603" t="str">
            <v>Tollhouse - Fresno</v>
          </cell>
          <cell r="D1603">
            <v>0.11366666666666669</v>
          </cell>
          <cell r="E1603">
            <v>1.166E-2</v>
          </cell>
        </row>
        <row r="1604">
          <cell r="C1604" t="str">
            <v>Toluca Lake  - Los Angeles</v>
          </cell>
          <cell r="D1604">
            <v>8.2166666666666666E-2</v>
          </cell>
          <cell r="E1604">
            <v>1.1979999999999999E-2</v>
          </cell>
        </row>
        <row r="1605">
          <cell r="C1605" t="str">
            <v>Tomales - Marin</v>
          </cell>
          <cell r="D1605">
            <v>4.1499999999999995E-2</v>
          </cell>
          <cell r="E1605">
            <v>1.1000000000000001E-2</v>
          </cell>
        </row>
        <row r="1606">
          <cell r="C1606" t="str">
            <v>Toms Place - Mono</v>
          </cell>
          <cell r="D1606">
            <v>7.3249999999999996E-2</v>
          </cell>
          <cell r="E1606">
            <v>1.1240000000000002E-2</v>
          </cell>
        </row>
        <row r="1607">
          <cell r="C1607" t="str">
            <v>Topanga  - Los Angeles</v>
          </cell>
          <cell r="D1607">
            <v>8.2166666666666666E-2</v>
          </cell>
          <cell r="E1607">
            <v>1.1979999999999999E-2</v>
          </cell>
        </row>
        <row r="1608">
          <cell r="C1608" t="str">
            <v>Topanga Park  - Los Angeles</v>
          </cell>
          <cell r="D1608">
            <v>8.2166666666666666E-2</v>
          </cell>
          <cell r="E1608">
            <v>1.1979999999999999E-2</v>
          </cell>
        </row>
        <row r="1609">
          <cell r="C1609" t="str">
            <v>Topaz - Mono</v>
          </cell>
          <cell r="D1609">
            <v>7.3249999999999996E-2</v>
          </cell>
          <cell r="E1609">
            <v>1.1240000000000002E-2</v>
          </cell>
        </row>
        <row r="1610">
          <cell r="C1610" t="str">
            <v>Torrance - Los Angeles</v>
          </cell>
          <cell r="D1610">
            <v>8.2166666666666666E-2</v>
          </cell>
          <cell r="E1610">
            <v>1.1979999999999999E-2</v>
          </cell>
        </row>
        <row r="1611">
          <cell r="C1611" t="str">
            <v>Town Center - Tulare</v>
          </cell>
          <cell r="D1611">
            <v>0.12874999999999998</v>
          </cell>
          <cell r="E1611">
            <v>1.0840000000000001E-2</v>
          </cell>
        </row>
        <row r="1612">
          <cell r="C1612" t="str">
            <v>Trabuco Canyon - Orange</v>
          </cell>
          <cell r="D1612">
            <v>5.2749999999999991E-2</v>
          </cell>
          <cell r="E1612">
            <v>1.061E-2</v>
          </cell>
        </row>
        <row r="1613">
          <cell r="C1613" t="str">
            <v>Tracy - San Joaquin</v>
          </cell>
          <cell r="D1613">
            <v>0.11141666666666668</v>
          </cell>
          <cell r="E1613">
            <v>1.107E-2</v>
          </cell>
        </row>
        <row r="1614">
          <cell r="C1614" t="str">
            <v>Tranquillity - Fresno</v>
          </cell>
          <cell r="D1614">
            <v>0.11366666666666669</v>
          </cell>
          <cell r="E1614">
            <v>1.166E-2</v>
          </cell>
        </row>
        <row r="1615">
          <cell r="C1615" t="str">
            <v>Traver - Tulare</v>
          </cell>
          <cell r="D1615">
            <v>0.12874999999999998</v>
          </cell>
          <cell r="E1615">
            <v>1.0840000000000001E-2</v>
          </cell>
        </row>
        <row r="1616">
          <cell r="C1616" t="str">
            <v>Travis A.F.B.  - Solano</v>
          </cell>
          <cell r="D1616">
            <v>6.9833333333333317E-2</v>
          </cell>
          <cell r="E1616">
            <v>1.149E-2</v>
          </cell>
        </row>
        <row r="1617">
          <cell r="C1617" t="str">
            <v>Tres Pinos - San Benito</v>
          </cell>
          <cell r="D1617">
            <v>9.3250000000000013E-2</v>
          </cell>
          <cell r="E1617">
            <v>1.1550000000000001E-2</v>
          </cell>
        </row>
        <row r="1618">
          <cell r="C1618" t="str">
            <v>Trinidad - Humboldt</v>
          </cell>
          <cell r="D1618">
            <v>7.3666666666666672E-2</v>
          </cell>
          <cell r="E1618">
            <v>1.043E-2</v>
          </cell>
        </row>
        <row r="1619">
          <cell r="C1619" t="str">
            <v>Trinity Center - Trinity</v>
          </cell>
          <cell r="D1619">
            <v>0.10183333333333332</v>
          </cell>
          <cell r="E1619">
            <v>1.022E-2</v>
          </cell>
        </row>
        <row r="1620">
          <cell r="C1620" t="str">
            <v>Trona - San Bernardino</v>
          </cell>
          <cell r="D1620">
            <v>8.3833333333333329E-2</v>
          </cell>
          <cell r="E1620">
            <v>1.149E-2</v>
          </cell>
        </row>
        <row r="1621">
          <cell r="C1621" t="str">
            <v>Trowbridge - Sutter</v>
          </cell>
          <cell r="D1621">
            <v>0.13508333333333333</v>
          </cell>
          <cell r="E1621">
            <v>1.0900000000000002E-2</v>
          </cell>
        </row>
        <row r="1622">
          <cell r="C1622" t="str">
            <v>Truckee - Nevada</v>
          </cell>
          <cell r="D1622">
            <v>6.4083333333333339E-2</v>
          </cell>
          <cell r="E1622">
            <v>1.0529999999999999E-2</v>
          </cell>
        </row>
        <row r="1623">
          <cell r="C1623" t="str">
            <v>Tujunga  - Los Angeles</v>
          </cell>
          <cell r="D1623">
            <v>8.2166666666666666E-2</v>
          </cell>
          <cell r="E1623">
            <v>1.1979999999999999E-2</v>
          </cell>
        </row>
        <row r="1624">
          <cell r="C1624" t="str">
            <v>Tulare - Tulare</v>
          </cell>
          <cell r="D1624">
            <v>0.12874999999999998</v>
          </cell>
          <cell r="E1624">
            <v>1.0840000000000001E-2</v>
          </cell>
        </row>
        <row r="1625">
          <cell r="C1625" t="str">
            <v>Tulelake - Siskiyou</v>
          </cell>
          <cell r="D1625">
            <v>0.11158333333333331</v>
          </cell>
          <cell r="E1625">
            <v>1.0489999999999999E-2</v>
          </cell>
        </row>
        <row r="1626">
          <cell r="C1626" t="str">
            <v>Tuolumne - Tuolumne</v>
          </cell>
          <cell r="D1626">
            <v>8.0750000000000016E-2</v>
          </cell>
          <cell r="E1626">
            <v>1.061E-2</v>
          </cell>
        </row>
        <row r="1627">
          <cell r="C1627" t="str">
            <v>Tuolumne Meadows - Mariposa</v>
          </cell>
          <cell r="D1627">
            <v>7.5833333333333322E-2</v>
          </cell>
          <cell r="E1627">
            <v>1.0059999999999999E-2</v>
          </cell>
        </row>
        <row r="1628">
          <cell r="C1628" t="str">
            <v>Tupman - Kern</v>
          </cell>
          <cell r="D1628">
            <v>0.10558333333333332</v>
          </cell>
          <cell r="E1628">
            <v>1.15E-2</v>
          </cell>
        </row>
        <row r="1629">
          <cell r="C1629" t="str">
            <v>Turlock - Stanislaus</v>
          </cell>
          <cell r="D1629">
            <v>0.114</v>
          </cell>
          <cell r="E1629">
            <v>1.1180000000000001E-2</v>
          </cell>
        </row>
        <row r="1630">
          <cell r="C1630" t="str">
            <v>Tustin - Orange</v>
          </cell>
          <cell r="D1630">
            <v>5.2749999999999991E-2</v>
          </cell>
          <cell r="E1630">
            <v>1.061E-2</v>
          </cell>
        </row>
        <row r="1631">
          <cell r="C1631" t="str">
            <v>Twain - Plumas</v>
          </cell>
          <cell r="D1631">
            <v>0.10208333333333332</v>
          </cell>
          <cell r="E1631">
            <v>1.0369999999999999E-2</v>
          </cell>
        </row>
        <row r="1632">
          <cell r="C1632" t="str">
            <v>Twain Harte - Tuolumne</v>
          </cell>
          <cell r="D1632">
            <v>8.0750000000000016E-2</v>
          </cell>
          <cell r="E1632">
            <v>1.061E-2</v>
          </cell>
        </row>
        <row r="1633">
          <cell r="C1633" t="str">
            <v>Twentynine Palms - San Bernardino</v>
          </cell>
          <cell r="D1633">
            <v>8.3833333333333329E-2</v>
          </cell>
          <cell r="E1633">
            <v>1.149E-2</v>
          </cell>
        </row>
        <row r="1634">
          <cell r="C1634" t="str">
            <v>Twin Bridges - El Dorado</v>
          </cell>
          <cell r="D1634">
            <v>7.0916666666666683E-2</v>
          </cell>
          <cell r="E1634">
            <v>1.0709999999999999E-2</v>
          </cell>
        </row>
        <row r="1635">
          <cell r="C1635" t="str">
            <v>Twin Peaks - San Bernardino</v>
          </cell>
          <cell r="D1635">
            <v>8.3833333333333329E-2</v>
          </cell>
          <cell r="E1635">
            <v>1.149E-2</v>
          </cell>
        </row>
        <row r="1636">
          <cell r="C1636" t="str">
            <v>Two Rock Coast Guard Station - Sonoma</v>
          </cell>
          <cell r="D1636">
            <v>5.4333333333333324E-2</v>
          </cell>
          <cell r="E1636">
            <v>1.1180000000000001E-2</v>
          </cell>
        </row>
        <row r="1637">
          <cell r="C1637" t="str">
            <v>U.S.Naval Postgrad School  - Monterey</v>
          </cell>
          <cell r="D1637">
            <v>9.1249999999999998E-2</v>
          </cell>
          <cell r="E1637">
            <v>1.085E-2</v>
          </cell>
        </row>
        <row r="1638">
          <cell r="C1638" t="str">
            <v>Ukiah - Mendocino</v>
          </cell>
          <cell r="D1638">
            <v>6.5750000000000003E-2</v>
          </cell>
          <cell r="E1638">
            <v>1.123E-2</v>
          </cell>
        </row>
        <row r="1639">
          <cell r="C1639" t="str">
            <v>Union City - Alameda</v>
          </cell>
          <cell r="D1639">
            <v>0.06</v>
          </cell>
          <cell r="E1639">
            <v>1.214E-2</v>
          </cell>
        </row>
        <row r="1640">
          <cell r="C1640" t="str">
            <v>Universal City - Los Angeles</v>
          </cell>
          <cell r="D1640">
            <v>8.2166666666666666E-2</v>
          </cell>
          <cell r="E1640">
            <v>1.1979999999999999E-2</v>
          </cell>
        </row>
        <row r="1641">
          <cell r="C1641" t="str">
            <v>University - Santa Barbara</v>
          </cell>
          <cell r="D1641">
            <v>5.8999999999999997E-2</v>
          </cell>
          <cell r="E1641">
            <v>1.055E-2</v>
          </cell>
        </row>
        <row r="1642">
          <cell r="C1642" t="str">
            <v>University Park  - Orange</v>
          </cell>
          <cell r="D1642">
            <v>5.2749999999999991E-2</v>
          </cell>
          <cell r="E1642">
            <v>1.061E-2</v>
          </cell>
        </row>
        <row r="1643">
          <cell r="C1643" t="str">
            <v>Upland - San Bernardino</v>
          </cell>
          <cell r="D1643">
            <v>8.3833333333333329E-2</v>
          </cell>
          <cell r="E1643">
            <v>1.149E-2</v>
          </cell>
        </row>
        <row r="1644">
          <cell r="C1644" t="str">
            <v>Upper Lake/ Upper Lake Valley - Lake</v>
          </cell>
          <cell r="D1644">
            <v>9.9083333333333329E-2</v>
          </cell>
          <cell r="E1644">
            <v>1.0800000000000001E-2</v>
          </cell>
        </row>
        <row r="1645">
          <cell r="C1645" t="str">
            <v>Vacaville - Solano</v>
          </cell>
          <cell r="D1645">
            <v>6.9833333333333317E-2</v>
          </cell>
          <cell r="E1645">
            <v>1.149E-2</v>
          </cell>
        </row>
        <row r="1646">
          <cell r="C1646" t="str">
            <v>Val Verde Park - Los Angeles</v>
          </cell>
          <cell r="D1646">
            <v>8.2166666666666666E-2</v>
          </cell>
          <cell r="E1646">
            <v>1.1979999999999999E-2</v>
          </cell>
        </row>
        <row r="1647">
          <cell r="C1647" t="str">
            <v>Valencia  - Los Angeles</v>
          </cell>
          <cell r="D1647">
            <v>8.2166666666666666E-2</v>
          </cell>
          <cell r="E1647">
            <v>1.1979999999999999E-2</v>
          </cell>
        </row>
        <row r="1648">
          <cell r="C1648" t="str">
            <v>Valinda - Los Angeles</v>
          </cell>
          <cell r="D1648">
            <v>8.2166666666666666E-2</v>
          </cell>
          <cell r="E1648">
            <v>1.1979999999999999E-2</v>
          </cell>
        </row>
        <row r="1649">
          <cell r="C1649" t="str">
            <v>Vallecito - Calaveras</v>
          </cell>
          <cell r="D1649">
            <v>8.5416666666666655E-2</v>
          </cell>
          <cell r="E1649">
            <v>1.1120000000000001E-2</v>
          </cell>
        </row>
        <row r="1650">
          <cell r="C1650" t="str">
            <v>Vallejo - Solano</v>
          </cell>
          <cell r="D1650">
            <v>6.9833333333333317E-2</v>
          </cell>
          <cell r="E1650">
            <v>1.149E-2</v>
          </cell>
        </row>
        <row r="1651">
          <cell r="C1651" t="str">
            <v>Valley Center - San Diego</v>
          </cell>
          <cell r="D1651">
            <v>6.2E-2</v>
          </cell>
          <cell r="E1651">
            <v>1.1080000000000001E-2</v>
          </cell>
        </row>
        <row r="1652">
          <cell r="C1652" t="str">
            <v>Valley Fair - Santa Clara</v>
          </cell>
          <cell r="D1652">
            <v>5.4583333333333331E-2</v>
          </cell>
          <cell r="E1652">
            <v>1.2030000000000001E-2</v>
          </cell>
        </row>
        <row r="1653">
          <cell r="C1653" t="str">
            <v>Valley Ford - Sonoma</v>
          </cell>
          <cell r="D1653">
            <v>5.4333333333333324E-2</v>
          </cell>
          <cell r="E1653">
            <v>1.1180000000000001E-2</v>
          </cell>
        </row>
        <row r="1654">
          <cell r="C1654" t="str">
            <v>Valley Home - Stanislaus</v>
          </cell>
          <cell r="D1654">
            <v>0.114</v>
          </cell>
          <cell r="E1654">
            <v>1.1180000000000001E-2</v>
          </cell>
        </row>
        <row r="1655">
          <cell r="C1655" t="str">
            <v>Valley Springs - Calaveras</v>
          </cell>
          <cell r="D1655">
            <v>8.5416666666666655E-2</v>
          </cell>
          <cell r="E1655">
            <v>1.1120000000000001E-2</v>
          </cell>
        </row>
        <row r="1656">
          <cell r="C1656" t="str">
            <v>Valley Village - Los Angeles</v>
          </cell>
          <cell r="D1656">
            <v>8.2166666666666666E-2</v>
          </cell>
          <cell r="E1656">
            <v>1.1979999999999999E-2</v>
          </cell>
        </row>
        <row r="1657">
          <cell r="C1657" t="str">
            <v>Valyermo - Los Angeles</v>
          </cell>
          <cell r="D1657">
            <v>8.2166666666666666E-2</v>
          </cell>
          <cell r="E1657">
            <v>1.1979999999999999E-2</v>
          </cell>
        </row>
        <row r="1658">
          <cell r="C1658" t="str">
            <v>Van Nuys  - Los Angeles</v>
          </cell>
          <cell r="D1658">
            <v>8.2166666666666666E-2</v>
          </cell>
          <cell r="E1658">
            <v>1.1979999999999999E-2</v>
          </cell>
        </row>
        <row r="1659">
          <cell r="C1659" t="str">
            <v>Vandenberg A.F.B - Santa Barbara</v>
          </cell>
          <cell r="D1659">
            <v>5.8999999999999997E-2</v>
          </cell>
          <cell r="E1659">
            <v>1.055E-2</v>
          </cell>
        </row>
        <row r="1660">
          <cell r="C1660" t="str">
            <v>Vasquez Rocks - Los Angeles</v>
          </cell>
          <cell r="D1660">
            <v>8.2166666666666666E-2</v>
          </cell>
          <cell r="E1660">
            <v>1.1979999999999999E-2</v>
          </cell>
        </row>
        <row r="1661">
          <cell r="C1661" t="str">
            <v>Venice - Los Angeles</v>
          </cell>
          <cell r="D1661">
            <v>8.2166666666666666E-2</v>
          </cell>
          <cell r="E1661">
            <v>1.1979999999999999E-2</v>
          </cell>
        </row>
        <row r="1662">
          <cell r="C1662" t="str">
            <v>Ventucopa - Santa Barbara</v>
          </cell>
          <cell r="D1662">
            <v>5.8999999999999997E-2</v>
          </cell>
          <cell r="E1662">
            <v>1.055E-2</v>
          </cell>
        </row>
        <row r="1663">
          <cell r="C1663" t="str">
            <v>Ventura - Ventura</v>
          </cell>
          <cell r="D1663">
            <v>6.6000000000000003E-2</v>
          </cell>
          <cell r="E1663">
            <v>1.0920000000000001E-2</v>
          </cell>
        </row>
        <row r="1664">
          <cell r="C1664" t="str">
            <v>Verdugo City  - Los Angeles</v>
          </cell>
          <cell r="D1664">
            <v>8.2166666666666666E-2</v>
          </cell>
          <cell r="E1664">
            <v>1.1979999999999999E-2</v>
          </cell>
        </row>
        <row r="1665">
          <cell r="C1665" t="str">
            <v>Vernalis - San Joaquin</v>
          </cell>
          <cell r="D1665">
            <v>0.11141666666666668</v>
          </cell>
          <cell r="E1665">
            <v>1.107E-2</v>
          </cell>
        </row>
        <row r="1666">
          <cell r="C1666" t="str">
            <v>Vernon - Los Angeles</v>
          </cell>
          <cell r="D1666">
            <v>8.2166666666666666E-2</v>
          </cell>
          <cell r="E1666">
            <v>1.1979999999999999E-2</v>
          </cell>
        </row>
        <row r="1667">
          <cell r="C1667" t="str">
            <v>Veteran's Hospital  - Los Angeles</v>
          </cell>
          <cell r="D1667">
            <v>8.2166666666666666E-2</v>
          </cell>
          <cell r="E1667">
            <v>1.1979999999999999E-2</v>
          </cell>
        </row>
        <row r="1668">
          <cell r="C1668" t="str">
            <v>Victor - San Joaquin</v>
          </cell>
          <cell r="D1668">
            <v>0.11141666666666668</v>
          </cell>
          <cell r="E1668">
            <v>1.107E-2</v>
          </cell>
        </row>
        <row r="1669">
          <cell r="C1669" t="str">
            <v>Victorville - San Bernardino</v>
          </cell>
          <cell r="D1669">
            <v>8.3833333333333329E-2</v>
          </cell>
          <cell r="E1669">
            <v>1.149E-2</v>
          </cell>
        </row>
        <row r="1670">
          <cell r="C1670" t="str">
            <v>Vidal - San Bernardino</v>
          </cell>
          <cell r="D1670">
            <v>8.3833333333333329E-2</v>
          </cell>
          <cell r="E1670">
            <v>1.149E-2</v>
          </cell>
        </row>
        <row r="1671">
          <cell r="C1671" t="str">
            <v>View Park - Los Angeles</v>
          </cell>
          <cell r="D1671">
            <v>8.2166666666666666E-2</v>
          </cell>
          <cell r="E1671">
            <v>1.1979999999999999E-2</v>
          </cell>
        </row>
        <row r="1672">
          <cell r="C1672" t="str">
            <v>Villa Grande - Sonoma</v>
          </cell>
          <cell r="D1672">
            <v>5.4333333333333324E-2</v>
          </cell>
          <cell r="E1672">
            <v>1.1180000000000001E-2</v>
          </cell>
        </row>
        <row r="1673">
          <cell r="C1673" t="str">
            <v>Villa Park - Orange</v>
          </cell>
          <cell r="D1673">
            <v>5.2749999999999991E-2</v>
          </cell>
          <cell r="E1673">
            <v>1.061E-2</v>
          </cell>
        </row>
        <row r="1674">
          <cell r="C1674" t="str">
            <v>Vina - Tehama</v>
          </cell>
          <cell r="D1674">
            <v>9.7333333333333327E-2</v>
          </cell>
          <cell r="E1674">
            <v>1.023E-2</v>
          </cell>
        </row>
        <row r="1675">
          <cell r="C1675" t="str">
            <v>Vincent - Los Angeles</v>
          </cell>
          <cell r="D1675">
            <v>8.2166666666666666E-2</v>
          </cell>
          <cell r="E1675">
            <v>1.1979999999999999E-2</v>
          </cell>
        </row>
        <row r="1676">
          <cell r="C1676" t="str">
            <v>Vineburg - Sonoma</v>
          </cell>
          <cell r="D1676">
            <v>5.4333333333333324E-2</v>
          </cell>
          <cell r="E1676">
            <v>1.1180000000000001E-2</v>
          </cell>
        </row>
        <row r="1677">
          <cell r="C1677" t="str">
            <v>Vinton - Plumas</v>
          </cell>
          <cell r="D1677">
            <v>0.10208333333333332</v>
          </cell>
          <cell r="E1677">
            <v>1.0369999999999999E-2</v>
          </cell>
        </row>
        <row r="1678">
          <cell r="C1678" t="str">
            <v>Virgilia - Plumas</v>
          </cell>
          <cell r="D1678">
            <v>0.10208333333333332</v>
          </cell>
          <cell r="E1678">
            <v>1.0369999999999999E-2</v>
          </cell>
        </row>
        <row r="1679">
          <cell r="C1679" t="str">
            <v>Visalia - Tulare</v>
          </cell>
          <cell r="D1679">
            <v>0.12874999999999998</v>
          </cell>
          <cell r="E1679">
            <v>1.0840000000000001E-2</v>
          </cell>
        </row>
        <row r="1680">
          <cell r="C1680" t="str">
            <v>Vista - San Diego</v>
          </cell>
          <cell r="D1680">
            <v>6.2E-2</v>
          </cell>
          <cell r="E1680">
            <v>1.1080000000000001E-2</v>
          </cell>
        </row>
        <row r="1681">
          <cell r="C1681" t="str">
            <v>Vista Park - Kern</v>
          </cell>
          <cell r="D1681">
            <v>0.10558333333333332</v>
          </cell>
          <cell r="E1681">
            <v>1.15E-2</v>
          </cell>
        </row>
        <row r="1682">
          <cell r="C1682" t="str">
            <v>Volcano - Amador</v>
          </cell>
          <cell r="D1682">
            <v>8.1583333333333327E-2</v>
          </cell>
          <cell r="E1682">
            <v>1.0169999999999998E-2</v>
          </cell>
        </row>
        <row r="1683">
          <cell r="C1683" t="str">
            <v>Volta - Merced</v>
          </cell>
          <cell r="D1683">
            <v>0.13066666666666668</v>
          </cell>
          <cell r="E1683">
            <v>1.099E-2</v>
          </cell>
        </row>
        <row r="1684">
          <cell r="C1684" t="str">
            <v>Wallace - Calaveras</v>
          </cell>
          <cell r="D1684">
            <v>8.5416666666666655E-2</v>
          </cell>
          <cell r="E1684">
            <v>1.1120000000000001E-2</v>
          </cell>
        </row>
        <row r="1685">
          <cell r="C1685" t="str">
            <v>Walnut - Los Angeles</v>
          </cell>
          <cell r="D1685">
            <v>8.2166666666666666E-2</v>
          </cell>
          <cell r="E1685">
            <v>1.1979999999999999E-2</v>
          </cell>
        </row>
        <row r="1686">
          <cell r="C1686" t="str">
            <v>Walnut Creek - Contra Costa</v>
          </cell>
          <cell r="D1686">
            <v>6.1416666666666668E-2</v>
          </cell>
          <cell r="E1686">
            <v>1.1379999999999999E-2</v>
          </cell>
        </row>
        <row r="1687">
          <cell r="C1687" t="str">
            <v>Walnut Grove - Sacramento</v>
          </cell>
          <cell r="D1687">
            <v>7.2666666666666671E-2</v>
          </cell>
          <cell r="E1687">
            <v>1.1169999999999999E-2</v>
          </cell>
        </row>
        <row r="1688">
          <cell r="C1688" t="str">
            <v>Walnut Park - Los Angeles</v>
          </cell>
          <cell r="D1688">
            <v>8.2166666666666666E-2</v>
          </cell>
          <cell r="E1688">
            <v>1.1979999999999999E-2</v>
          </cell>
        </row>
        <row r="1689">
          <cell r="C1689" t="str">
            <v>Warm Springs  - Alameda</v>
          </cell>
          <cell r="D1689">
            <v>0.06</v>
          </cell>
          <cell r="E1689">
            <v>1.214E-2</v>
          </cell>
        </row>
        <row r="1690">
          <cell r="C1690" t="str">
            <v>Warner Springs - San Diego</v>
          </cell>
          <cell r="D1690">
            <v>6.2E-2</v>
          </cell>
          <cell r="E1690">
            <v>1.1080000000000001E-2</v>
          </cell>
        </row>
        <row r="1691">
          <cell r="C1691" t="str">
            <v>Wasco - Kern</v>
          </cell>
          <cell r="D1691">
            <v>0.10558333333333332</v>
          </cell>
          <cell r="E1691">
            <v>1.15E-2</v>
          </cell>
        </row>
        <row r="1692">
          <cell r="C1692" t="str">
            <v>Waterford - Stanislaus</v>
          </cell>
          <cell r="D1692">
            <v>0.114</v>
          </cell>
          <cell r="E1692">
            <v>1.1180000000000001E-2</v>
          </cell>
        </row>
        <row r="1693">
          <cell r="C1693" t="str">
            <v>Watsonville - Santa Cruz</v>
          </cell>
          <cell r="D1693">
            <v>8.1666666666666665E-2</v>
          </cell>
          <cell r="E1693">
            <v>1.0940000000000002E-2</v>
          </cell>
        </row>
        <row r="1694">
          <cell r="C1694" t="str">
            <v>Watts - Los Angeles</v>
          </cell>
          <cell r="D1694">
            <v>8.2166666666666666E-2</v>
          </cell>
          <cell r="E1694">
            <v>1.1979999999999999E-2</v>
          </cell>
        </row>
        <row r="1695">
          <cell r="C1695" t="str">
            <v>Waukena - Tulare</v>
          </cell>
          <cell r="D1695">
            <v>0.12874999999999998</v>
          </cell>
          <cell r="E1695">
            <v>1.0840000000000001E-2</v>
          </cell>
        </row>
        <row r="1696">
          <cell r="C1696" t="str">
            <v>Wawona - Mariposa</v>
          </cell>
          <cell r="D1696">
            <v>7.5833333333333322E-2</v>
          </cell>
          <cell r="E1696">
            <v>1.0059999999999999E-2</v>
          </cell>
        </row>
        <row r="1697">
          <cell r="C1697" t="str">
            <v>Weaverville - Trinity</v>
          </cell>
          <cell r="D1697">
            <v>0.10183333333333332</v>
          </cell>
          <cell r="E1697">
            <v>1.022E-2</v>
          </cell>
        </row>
        <row r="1698">
          <cell r="C1698" t="str">
            <v>Weed - Siskiyou</v>
          </cell>
          <cell r="D1698">
            <v>0.11158333333333331</v>
          </cell>
          <cell r="E1698">
            <v>1.0489999999999999E-2</v>
          </cell>
        </row>
        <row r="1699">
          <cell r="C1699" t="str">
            <v>Weimar - Placer</v>
          </cell>
          <cell r="D1699">
            <v>6.2166666666666662E-2</v>
          </cell>
          <cell r="E1699">
            <v>1.0869999999999999E-2</v>
          </cell>
        </row>
        <row r="1700">
          <cell r="C1700" t="str">
            <v>Weldon - Kern</v>
          </cell>
          <cell r="D1700">
            <v>0.10558333333333332</v>
          </cell>
          <cell r="E1700">
            <v>1.15E-2</v>
          </cell>
        </row>
        <row r="1701">
          <cell r="C1701" t="str">
            <v>Wendel - Lassen</v>
          </cell>
          <cell r="D1701">
            <v>9.4750000000000001E-2</v>
          </cell>
          <cell r="E1701">
            <v>1.027E-2</v>
          </cell>
        </row>
        <row r="1702">
          <cell r="C1702" t="str">
            <v>Weott - Humboldt</v>
          </cell>
          <cell r="D1702">
            <v>7.3666666666666672E-2</v>
          </cell>
          <cell r="E1702">
            <v>1.043E-2</v>
          </cell>
        </row>
        <row r="1703">
          <cell r="C1703" t="str">
            <v>West Covina - Los Angeles</v>
          </cell>
          <cell r="D1703">
            <v>8.2166666666666666E-2</v>
          </cell>
          <cell r="E1703">
            <v>1.1979999999999999E-2</v>
          </cell>
        </row>
        <row r="1704">
          <cell r="C1704" t="str">
            <v>West Hills - Los Angeles</v>
          </cell>
          <cell r="D1704">
            <v>8.2166666666666666E-2</v>
          </cell>
          <cell r="E1704">
            <v>1.1979999999999999E-2</v>
          </cell>
        </row>
        <row r="1705">
          <cell r="C1705" t="str">
            <v>West Hollywood - Los Angeles</v>
          </cell>
          <cell r="D1705">
            <v>8.2166666666666666E-2</v>
          </cell>
          <cell r="E1705">
            <v>1.1979999999999999E-2</v>
          </cell>
        </row>
        <row r="1706">
          <cell r="C1706" t="str">
            <v>West Los Angeles - Los Angeles</v>
          </cell>
          <cell r="D1706">
            <v>8.2166666666666666E-2</v>
          </cell>
          <cell r="E1706">
            <v>1.1979999999999999E-2</v>
          </cell>
        </row>
        <row r="1707">
          <cell r="C1707" t="str">
            <v>West Pittsburg - Contra Costa</v>
          </cell>
          <cell r="D1707">
            <v>6.1416666666666668E-2</v>
          </cell>
          <cell r="E1707">
            <v>1.1379999999999999E-2</v>
          </cell>
        </row>
        <row r="1708">
          <cell r="C1708" t="str">
            <v>West Point - Calaveras</v>
          </cell>
          <cell r="D1708">
            <v>8.5416666666666655E-2</v>
          </cell>
          <cell r="E1708">
            <v>1.1120000000000001E-2</v>
          </cell>
        </row>
        <row r="1709">
          <cell r="C1709" t="str">
            <v>West Sacramento - Yolo</v>
          </cell>
          <cell r="D1709">
            <v>7.9750000000000001E-2</v>
          </cell>
          <cell r="E1709">
            <v>1.0620000000000001E-2</v>
          </cell>
        </row>
        <row r="1710">
          <cell r="C1710" t="str">
            <v>Westchester  - Los Angeles</v>
          </cell>
          <cell r="D1710">
            <v>8.2166666666666666E-2</v>
          </cell>
          <cell r="E1710">
            <v>1.1979999999999999E-2</v>
          </cell>
        </row>
        <row r="1711">
          <cell r="C1711" t="str">
            <v>Westend - San Bernardino</v>
          </cell>
          <cell r="D1711">
            <v>8.3833333333333329E-2</v>
          </cell>
          <cell r="E1711">
            <v>1.149E-2</v>
          </cell>
        </row>
        <row r="1712">
          <cell r="C1712" t="str">
            <v>Westhaven - Humboldt</v>
          </cell>
          <cell r="D1712">
            <v>7.3666666666666672E-2</v>
          </cell>
          <cell r="E1712">
            <v>1.043E-2</v>
          </cell>
        </row>
        <row r="1713">
          <cell r="C1713" t="str">
            <v>Westlake - Los Angeles</v>
          </cell>
          <cell r="D1713">
            <v>8.2166666666666666E-2</v>
          </cell>
          <cell r="E1713">
            <v>1.1979999999999999E-2</v>
          </cell>
        </row>
        <row r="1714">
          <cell r="C1714" t="str">
            <v>Westlake Village  - Ventura</v>
          </cell>
          <cell r="D1714">
            <v>6.6000000000000003E-2</v>
          </cell>
          <cell r="E1714">
            <v>1.0920000000000001E-2</v>
          </cell>
        </row>
        <row r="1715">
          <cell r="C1715" t="str">
            <v>Westlake Village - Los Angeles</v>
          </cell>
          <cell r="D1715">
            <v>8.2166666666666666E-2</v>
          </cell>
          <cell r="E1715">
            <v>1.1979999999999999E-2</v>
          </cell>
        </row>
        <row r="1716">
          <cell r="C1716" t="str">
            <v>Westley - Stanislaus</v>
          </cell>
          <cell r="D1716">
            <v>0.114</v>
          </cell>
          <cell r="E1716">
            <v>1.1180000000000001E-2</v>
          </cell>
        </row>
        <row r="1717">
          <cell r="C1717" t="str">
            <v>Westminster - Orange</v>
          </cell>
          <cell r="D1717">
            <v>5.2749999999999991E-2</v>
          </cell>
          <cell r="E1717">
            <v>1.061E-2</v>
          </cell>
        </row>
        <row r="1718">
          <cell r="C1718" t="str">
            <v>Westmorland - Imperial</v>
          </cell>
          <cell r="D1718">
            <v>0.23408333333333331</v>
          </cell>
          <cell r="E1718">
            <v>1.1299999999999999E-2</v>
          </cell>
        </row>
        <row r="1719">
          <cell r="C1719" t="str">
            <v>Westport - Mendocino</v>
          </cell>
          <cell r="D1719">
            <v>6.5750000000000003E-2</v>
          </cell>
          <cell r="E1719">
            <v>1.123E-2</v>
          </cell>
        </row>
        <row r="1720">
          <cell r="C1720" t="str">
            <v>Westside - Stanislaus</v>
          </cell>
          <cell r="D1720">
            <v>0.114</v>
          </cell>
          <cell r="E1720">
            <v>1.1180000000000001E-2</v>
          </cell>
        </row>
        <row r="1721">
          <cell r="C1721" t="str">
            <v>Westwood  - Los Angeles</v>
          </cell>
          <cell r="D1721">
            <v>8.2166666666666666E-2</v>
          </cell>
          <cell r="E1721">
            <v>1.1979999999999999E-2</v>
          </cell>
        </row>
        <row r="1722">
          <cell r="C1722" t="str">
            <v>Westwood - Lassen</v>
          </cell>
          <cell r="D1722">
            <v>9.4750000000000001E-2</v>
          </cell>
          <cell r="E1722">
            <v>1.027E-2</v>
          </cell>
        </row>
        <row r="1723">
          <cell r="C1723" t="str">
            <v>Wheatland - Yuba</v>
          </cell>
          <cell r="D1723">
            <v>0.12291666666666666</v>
          </cell>
          <cell r="E1723">
            <v>1.1180000000000001E-2</v>
          </cell>
        </row>
        <row r="1724">
          <cell r="C1724" t="str">
            <v>Wheeler Ridge - Kern</v>
          </cell>
          <cell r="D1724">
            <v>0.10558333333333332</v>
          </cell>
          <cell r="E1724">
            <v>1.15E-2</v>
          </cell>
        </row>
        <row r="1725">
          <cell r="C1725" t="str">
            <v>Whiskeytown - Shasta</v>
          </cell>
          <cell r="D1725">
            <v>9.0499999999999983E-2</v>
          </cell>
          <cell r="E1725">
            <v>1.085E-2</v>
          </cell>
        </row>
        <row r="1726">
          <cell r="C1726" t="str">
            <v>Whispering Pines - Lake</v>
          </cell>
          <cell r="D1726">
            <v>9.9083333333333329E-2</v>
          </cell>
          <cell r="E1726">
            <v>1.0800000000000001E-2</v>
          </cell>
        </row>
        <row r="1727">
          <cell r="C1727" t="str">
            <v>White Pines - Calaveras</v>
          </cell>
          <cell r="D1727">
            <v>8.5416666666666655E-2</v>
          </cell>
          <cell r="E1727">
            <v>1.1120000000000001E-2</v>
          </cell>
        </row>
        <row r="1728">
          <cell r="C1728" t="str">
            <v>Whitethorn - Humboldt</v>
          </cell>
          <cell r="D1728">
            <v>7.3666666666666672E-2</v>
          </cell>
          <cell r="E1728">
            <v>1.043E-2</v>
          </cell>
        </row>
        <row r="1729">
          <cell r="C1729" t="str">
            <v>Whitewater - Riverside</v>
          </cell>
          <cell r="D1729">
            <v>8.7000000000000008E-2</v>
          </cell>
          <cell r="E1729">
            <v>1.0970000000000001E-2</v>
          </cell>
        </row>
        <row r="1730">
          <cell r="C1730" t="str">
            <v>Whitlow - Humboldt</v>
          </cell>
          <cell r="D1730">
            <v>7.3666666666666672E-2</v>
          </cell>
          <cell r="E1730">
            <v>1.043E-2</v>
          </cell>
        </row>
        <row r="1731">
          <cell r="C1731" t="str">
            <v>Whitmore - Shasta</v>
          </cell>
          <cell r="D1731">
            <v>9.0499999999999983E-2</v>
          </cell>
          <cell r="E1731">
            <v>1.085E-2</v>
          </cell>
        </row>
        <row r="1732">
          <cell r="C1732" t="str">
            <v>Whittier - Los Angeles</v>
          </cell>
          <cell r="D1732">
            <v>8.2166666666666666E-2</v>
          </cell>
          <cell r="E1732">
            <v>1.1979999999999999E-2</v>
          </cell>
        </row>
        <row r="1733">
          <cell r="C1733" t="str">
            <v>Wildomar - Riverside</v>
          </cell>
          <cell r="D1733">
            <v>8.7000000000000008E-2</v>
          </cell>
          <cell r="E1733">
            <v>1.0970000000000001E-2</v>
          </cell>
        </row>
        <row r="1734">
          <cell r="C1734" t="str">
            <v>Wildwood - Shasta</v>
          </cell>
          <cell r="D1734">
            <v>9.0499999999999983E-2</v>
          </cell>
          <cell r="E1734">
            <v>1.085E-2</v>
          </cell>
        </row>
        <row r="1735">
          <cell r="C1735" t="str">
            <v>Williams - Colusa</v>
          </cell>
          <cell r="D1735">
            <v>0.17433333333333334</v>
          </cell>
          <cell r="E1735">
            <v>1.0540000000000001E-2</v>
          </cell>
        </row>
        <row r="1736">
          <cell r="C1736" t="str">
            <v>Willits - Mendocino</v>
          </cell>
          <cell r="D1736">
            <v>6.5750000000000003E-2</v>
          </cell>
          <cell r="E1736">
            <v>1.123E-2</v>
          </cell>
        </row>
        <row r="1737">
          <cell r="C1737" t="str">
            <v>Willow Creek - Humboldt</v>
          </cell>
          <cell r="D1737">
            <v>7.3666666666666672E-2</v>
          </cell>
          <cell r="E1737">
            <v>1.043E-2</v>
          </cell>
        </row>
        <row r="1738">
          <cell r="C1738" t="str">
            <v>Willow Ranch - Modoc</v>
          </cell>
          <cell r="D1738">
            <v>9.9749999999999991E-2</v>
          </cell>
          <cell r="E1738">
            <v>1.027E-2</v>
          </cell>
        </row>
        <row r="1739">
          <cell r="C1739" t="str">
            <v>Willowbrook - Los Angeles</v>
          </cell>
          <cell r="D1739">
            <v>8.2166666666666666E-2</v>
          </cell>
          <cell r="E1739">
            <v>1.1979999999999999E-2</v>
          </cell>
        </row>
        <row r="1740">
          <cell r="C1740" t="str">
            <v>Willows - Glenn</v>
          </cell>
          <cell r="D1740">
            <v>0.10549999999999998</v>
          </cell>
          <cell r="E1740">
            <v>1.0500000000000001E-2</v>
          </cell>
        </row>
        <row r="1741">
          <cell r="C1741" t="str">
            <v>Wilmington  - Los Angeles</v>
          </cell>
          <cell r="D1741">
            <v>8.2166666666666666E-2</v>
          </cell>
          <cell r="E1741">
            <v>1.1979999999999999E-2</v>
          </cell>
        </row>
        <row r="1742">
          <cell r="C1742" t="str">
            <v>Wilseyville - Calaveras</v>
          </cell>
          <cell r="D1742">
            <v>8.5416666666666655E-2</v>
          </cell>
          <cell r="E1742">
            <v>1.1120000000000001E-2</v>
          </cell>
        </row>
        <row r="1743">
          <cell r="C1743" t="str">
            <v>Wilsona Gardens - Los Angeles</v>
          </cell>
          <cell r="D1743">
            <v>8.2166666666666666E-2</v>
          </cell>
          <cell r="E1743">
            <v>1.1979999999999999E-2</v>
          </cell>
        </row>
        <row r="1744">
          <cell r="C1744" t="str">
            <v>Wilton - Sacramento</v>
          </cell>
          <cell r="D1744">
            <v>7.2666666666666671E-2</v>
          </cell>
          <cell r="E1744">
            <v>1.1169999999999999E-2</v>
          </cell>
        </row>
        <row r="1745">
          <cell r="C1745" t="str">
            <v>Winchester - Riverside</v>
          </cell>
          <cell r="D1745">
            <v>8.7000000000000008E-2</v>
          </cell>
          <cell r="E1745">
            <v>1.0970000000000001E-2</v>
          </cell>
        </row>
        <row r="1746">
          <cell r="C1746" t="str">
            <v>Windsor - Sonoma</v>
          </cell>
          <cell r="D1746">
            <v>5.4333333333333324E-2</v>
          </cell>
          <cell r="E1746">
            <v>1.1180000000000001E-2</v>
          </cell>
        </row>
        <row r="1747">
          <cell r="C1747" t="str">
            <v>Windsor Hills - Los Angeles</v>
          </cell>
          <cell r="D1747">
            <v>8.2166666666666666E-2</v>
          </cell>
          <cell r="E1747">
            <v>1.1979999999999999E-2</v>
          </cell>
        </row>
        <row r="1748">
          <cell r="C1748" t="str">
            <v>Winnetka  - Los Angeles</v>
          </cell>
          <cell r="D1748">
            <v>8.2166666666666666E-2</v>
          </cell>
          <cell r="E1748">
            <v>1.1979999999999999E-2</v>
          </cell>
        </row>
        <row r="1749">
          <cell r="C1749" t="str">
            <v>Winterhaven - Imperial</v>
          </cell>
          <cell r="D1749">
            <v>0.23408333333333331</v>
          </cell>
          <cell r="E1749">
            <v>1.1299999999999999E-2</v>
          </cell>
        </row>
        <row r="1750">
          <cell r="C1750" t="str">
            <v>Winters - Yolo</v>
          </cell>
          <cell r="D1750">
            <v>7.9750000000000001E-2</v>
          </cell>
          <cell r="E1750">
            <v>1.0620000000000001E-2</v>
          </cell>
        </row>
        <row r="1751">
          <cell r="C1751" t="str">
            <v>Winton - Merced</v>
          </cell>
          <cell r="D1751">
            <v>0.13066666666666668</v>
          </cell>
          <cell r="E1751">
            <v>1.099E-2</v>
          </cell>
        </row>
        <row r="1752">
          <cell r="C1752" t="str">
            <v>Wishon - Madera</v>
          </cell>
          <cell r="D1752">
            <v>0.10325000000000001</v>
          </cell>
          <cell r="E1752">
            <v>1.0149999999999999E-2</v>
          </cell>
        </row>
        <row r="1753">
          <cell r="C1753" t="str">
            <v>Witter Springs - Lake</v>
          </cell>
          <cell r="D1753">
            <v>9.9083333333333329E-2</v>
          </cell>
          <cell r="E1753">
            <v>1.0800000000000001E-2</v>
          </cell>
        </row>
        <row r="1754">
          <cell r="C1754" t="str">
            <v>Wofford Heights - Kern</v>
          </cell>
          <cell r="D1754">
            <v>0.10558333333333332</v>
          </cell>
          <cell r="E1754">
            <v>1.15E-2</v>
          </cell>
        </row>
        <row r="1755">
          <cell r="C1755" t="str">
            <v>Woodacre - Marin</v>
          </cell>
          <cell r="D1755">
            <v>4.1499999999999995E-2</v>
          </cell>
          <cell r="E1755">
            <v>1.1000000000000001E-2</v>
          </cell>
        </row>
        <row r="1756">
          <cell r="C1756" t="str">
            <v>Woodbridge - San Joaquin</v>
          </cell>
          <cell r="D1756">
            <v>0.11141666666666668</v>
          </cell>
          <cell r="E1756">
            <v>1.107E-2</v>
          </cell>
        </row>
        <row r="1757">
          <cell r="C1757" t="str">
            <v>Woodfords - Alpine</v>
          </cell>
          <cell r="D1757">
            <v>0.10216666666666667</v>
          </cell>
          <cell r="E1757">
            <v>0.01</v>
          </cell>
        </row>
        <row r="1758">
          <cell r="C1758" t="str">
            <v>Woodlake - Tulare</v>
          </cell>
          <cell r="D1758">
            <v>0.12874999999999998</v>
          </cell>
          <cell r="E1758">
            <v>1.0840000000000001E-2</v>
          </cell>
        </row>
        <row r="1759">
          <cell r="C1759" t="str">
            <v>Woodland - Yolo</v>
          </cell>
          <cell r="D1759">
            <v>7.9750000000000001E-2</v>
          </cell>
          <cell r="E1759">
            <v>1.0620000000000001E-2</v>
          </cell>
        </row>
        <row r="1760">
          <cell r="C1760" t="str">
            <v>Woodland Hills  - Los Angeles</v>
          </cell>
          <cell r="D1760">
            <v>8.2166666666666666E-2</v>
          </cell>
          <cell r="E1760">
            <v>1.1979999999999999E-2</v>
          </cell>
        </row>
        <row r="1761">
          <cell r="C1761" t="str">
            <v>Woodleaf - Yuba</v>
          </cell>
          <cell r="D1761">
            <v>0.12291666666666666</v>
          </cell>
          <cell r="E1761">
            <v>1.1180000000000001E-2</v>
          </cell>
        </row>
        <row r="1762">
          <cell r="C1762" t="str">
            <v>Woodside - San Mateo</v>
          </cell>
          <cell r="D1762">
            <v>4.3500000000000004E-2</v>
          </cell>
          <cell r="E1762">
            <v>1.099E-2</v>
          </cell>
        </row>
        <row r="1763">
          <cell r="C1763" t="str">
            <v>Woodville - Tulare</v>
          </cell>
          <cell r="D1763">
            <v>0.12874999999999998</v>
          </cell>
          <cell r="E1763">
            <v>1.0840000000000001E-2</v>
          </cell>
        </row>
        <row r="1764">
          <cell r="C1764" t="str">
            <v>Woody - Kern</v>
          </cell>
          <cell r="D1764">
            <v>0.10558333333333332</v>
          </cell>
          <cell r="E1764">
            <v>1.15E-2</v>
          </cell>
        </row>
        <row r="1765">
          <cell r="C1765" t="str">
            <v>Wrightwood - San Bernardino</v>
          </cell>
          <cell r="D1765">
            <v>8.3833333333333329E-2</v>
          </cell>
          <cell r="E1765">
            <v>1.149E-2</v>
          </cell>
        </row>
        <row r="1766">
          <cell r="C1766" t="str">
            <v>Yankee Hill - Butte</v>
          </cell>
          <cell r="D1766">
            <v>8.4749999999999992E-2</v>
          </cell>
          <cell r="E1766">
            <v>1.052E-2</v>
          </cell>
        </row>
        <row r="1767">
          <cell r="C1767" t="str">
            <v>Yermo - San Bernardino</v>
          </cell>
          <cell r="D1767">
            <v>8.3833333333333329E-2</v>
          </cell>
          <cell r="E1767">
            <v>1.149E-2</v>
          </cell>
        </row>
        <row r="1768">
          <cell r="C1768" t="str">
            <v>Yettem - Tulare</v>
          </cell>
          <cell r="D1768">
            <v>0.12874999999999998</v>
          </cell>
          <cell r="E1768">
            <v>1.0840000000000001E-2</v>
          </cell>
        </row>
        <row r="1769">
          <cell r="C1769" t="str">
            <v>Yolo - Yolo</v>
          </cell>
          <cell r="D1769">
            <v>7.9750000000000001E-2</v>
          </cell>
          <cell r="E1769">
            <v>1.0620000000000001E-2</v>
          </cell>
        </row>
        <row r="1770">
          <cell r="C1770" t="str">
            <v>Yorba Linda - Orange</v>
          </cell>
          <cell r="D1770">
            <v>5.2749999999999991E-2</v>
          </cell>
          <cell r="E1770">
            <v>1.061E-2</v>
          </cell>
        </row>
        <row r="1771">
          <cell r="C1771" t="str">
            <v>Yorkville - Mendocino</v>
          </cell>
          <cell r="D1771">
            <v>6.5750000000000003E-2</v>
          </cell>
          <cell r="E1771">
            <v>1.123E-2</v>
          </cell>
        </row>
        <row r="1772">
          <cell r="C1772" t="str">
            <v>Yosemite Lodge - Mariposa</v>
          </cell>
          <cell r="D1772">
            <v>7.5833333333333322E-2</v>
          </cell>
          <cell r="E1772">
            <v>1.0059999999999999E-2</v>
          </cell>
        </row>
        <row r="1773">
          <cell r="C1773" t="str">
            <v>Yosemite National Park - Mariposa</v>
          </cell>
          <cell r="D1773">
            <v>7.5833333333333322E-2</v>
          </cell>
          <cell r="E1773">
            <v>1.0059999999999999E-2</v>
          </cell>
        </row>
        <row r="1774">
          <cell r="C1774" t="str">
            <v>Yountville - Napa</v>
          </cell>
          <cell r="D1774">
            <v>5.1833333333333328E-2</v>
          </cell>
          <cell r="E1774">
            <v>1.0900000000000002E-2</v>
          </cell>
        </row>
        <row r="1775">
          <cell r="C1775" t="str">
            <v>Yreka - Siskiyou</v>
          </cell>
          <cell r="D1775">
            <v>0.11158333333333331</v>
          </cell>
          <cell r="E1775">
            <v>1.0489999999999999E-2</v>
          </cell>
        </row>
        <row r="1776">
          <cell r="C1776" t="str">
            <v>Yuba City - Sutter</v>
          </cell>
          <cell r="D1776">
            <v>0.13508333333333333</v>
          </cell>
          <cell r="E1776">
            <v>1.0900000000000002E-2</v>
          </cell>
        </row>
        <row r="1777">
          <cell r="C1777" t="str">
            <v>Yucaipa - San Bernardino</v>
          </cell>
          <cell r="D1777">
            <v>8.3833333333333329E-2</v>
          </cell>
          <cell r="E1777">
            <v>1.149E-2</v>
          </cell>
        </row>
        <row r="1778">
          <cell r="C1778" t="str">
            <v>Yucca Valley - San Bernardino</v>
          </cell>
          <cell r="D1778">
            <v>8.3833333333333329E-2</v>
          </cell>
          <cell r="E1778">
            <v>1.149E-2</v>
          </cell>
        </row>
        <row r="1779">
          <cell r="C1779" t="str">
            <v>Zamora - Yolo</v>
          </cell>
          <cell r="D1779">
            <v>7.9750000000000001E-2</v>
          </cell>
          <cell r="E1779">
            <v>1.0620000000000001E-2</v>
          </cell>
        </row>
        <row r="1780">
          <cell r="C1780" t="str">
            <v>Zenia - Trinity</v>
          </cell>
          <cell r="D1780">
            <v>0.10183333333333332</v>
          </cell>
          <cell r="E1780">
            <v>1.022E-2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nt_Information"/>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8" Type="http://schemas.openxmlformats.org/officeDocument/2006/relationships/hyperlink" Target="http://www.arb.ca.gov/fuels/lcfs/121514hsad.pdf" TargetMode="External"/><Relationship Id="rId3" Type="http://schemas.openxmlformats.org/officeDocument/2006/relationships/hyperlink" Target="http://www.arb.ca.gov/fuels/lcfs/lu_tables_11282012.pdf" TargetMode="External"/><Relationship Id="rId7" Type="http://schemas.openxmlformats.org/officeDocument/2006/relationships/hyperlink" Target="http://www.arb.ca.gov/fuels/lcfs/lu_tables_11282012.pdf" TargetMode="External"/><Relationship Id="rId2" Type="http://schemas.openxmlformats.org/officeDocument/2006/relationships/hyperlink" Target="http://www.arb.ca.gov/fuels/lcfs/lu_tables_11282012.pdf" TargetMode="External"/><Relationship Id="rId1" Type="http://schemas.openxmlformats.org/officeDocument/2006/relationships/hyperlink" Target="http://www.arb.ca.gov/fuels/lcfs/lu_tables_11282012.pdf" TargetMode="External"/><Relationship Id="rId6" Type="http://schemas.openxmlformats.org/officeDocument/2006/relationships/hyperlink" Target="http://www.arb.ca.gov/fuels/lcfs/lu_tables_11282012.pdf" TargetMode="External"/><Relationship Id="rId5" Type="http://schemas.openxmlformats.org/officeDocument/2006/relationships/hyperlink" Target="http://www.arb.ca.gov/fuels/lcfs/lu_tables_11282012.pdf" TargetMode="External"/><Relationship Id="rId10" Type="http://schemas.openxmlformats.org/officeDocument/2006/relationships/hyperlink" Target="http://www.arb.ca.gov/fuels/lcfs/022709lcfs_forestw.pdf" TargetMode="External"/><Relationship Id="rId4" Type="http://schemas.openxmlformats.org/officeDocument/2006/relationships/hyperlink" Target="http://www.arb.ca.gov/fuels/lcfs/lu_tables_11282012.pdf" TargetMode="External"/><Relationship Id="rId9" Type="http://schemas.openxmlformats.org/officeDocument/2006/relationships/hyperlink" Target="http://www.arb.ca.gov/fuels/lcfs/022709lcfs_tree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6"/>
  <sheetViews>
    <sheetView showGridLines="0" workbookViewId="0">
      <selection activeCell="L11" sqref="L11"/>
    </sheetView>
  </sheetViews>
  <sheetFormatPr defaultColWidth="8.5703125" defaultRowHeight="15" x14ac:dyDescent="0.25"/>
  <cols>
    <col min="1" max="8" width="8.5703125" style="52"/>
    <col min="9" max="9" width="16.42578125" style="52" customWidth="1"/>
    <col min="10" max="16384" width="8.5703125" style="52"/>
  </cols>
  <sheetData>
    <row r="1" spans="1:13" x14ac:dyDescent="0.25">
      <c r="M1" s="279"/>
    </row>
    <row r="2" spans="1:13" x14ac:dyDescent="0.25">
      <c r="M2" s="279"/>
    </row>
    <row r="3" spans="1:13" x14ac:dyDescent="0.25">
      <c r="M3" s="279"/>
    </row>
    <row r="4" spans="1:13" ht="18.75" x14ac:dyDescent="0.3">
      <c r="A4" s="551" t="s">
        <v>0</v>
      </c>
      <c r="B4" s="551"/>
      <c r="C4" s="551"/>
      <c r="D4" s="551"/>
      <c r="E4" s="551"/>
      <c r="F4" s="551"/>
      <c r="G4" s="551"/>
      <c r="H4" s="551"/>
      <c r="I4" s="551"/>
    </row>
    <row r="5" spans="1:13" ht="25.5" customHeight="1" x14ac:dyDescent="0.3">
      <c r="A5" s="552" t="s">
        <v>2668</v>
      </c>
      <c r="B5" s="553"/>
      <c r="C5" s="553"/>
      <c r="D5" s="553"/>
      <c r="E5" s="553"/>
      <c r="F5" s="553"/>
      <c r="G5" s="553"/>
      <c r="H5" s="553"/>
      <c r="I5" s="553"/>
      <c r="J5" s="53"/>
      <c r="K5" s="54"/>
      <c r="L5" s="53"/>
      <c r="M5" s="54"/>
    </row>
    <row r="6" spans="1:13" ht="18.75" x14ac:dyDescent="0.3">
      <c r="B6" s="54"/>
      <c r="C6" s="54"/>
      <c r="D6" s="54"/>
      <c r="E6" s="54"/>
      <c r="F6" s="54"/>
      <c r="G6" s="54"/>
      <c r="H6" s="54"/>
      <c r="I6" s="54"/>
      <c r="J6" s="53"/>
      <c r="K6" s="54"/>
      <c r="L6" s="53"/>
      <c r="M6" s="54"/>
    </row>
  </sheetData>
  <sheetProtection algorithmName="SHA-512" hashValue="PoLK6UW2m+ofYn2HHkM3AeOfqPTb5eQ1DKYgxVDWqvTP7uIsxxj0qok1cACje9TLOhSWJEf2xyhltEI+QZe5wA==" saltValue="mCzFL8t7wlA0tdiJALGsHg==" spinCount="100000" sheet="1" objects="1" scenarios="1"/>
  <mergeCells count="2">
    <mergeCell ref="A4:I4"/>
    <mergeCell ref="A5:I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fitToPage="1"/>
  </sheetPr>
  <dimension ref="A1:O94"/>
  <sheetViews>
    <sheetView showGridLines="0" zoomScaleNormal="100" zoomScalePageLayoutView="75" workbookViewId="0">
      <selection activeCell="D55" sqref="D55"/>
    </sheetView>
  </sheetViews>
  <sheetFormatPr defaultColWidth="9.140625" defaultRowHeight="12.75" x14ac:dyDescent="0.2"/>
  <cols>
    <col min="1" max="1" width="6.42578125" style="29" customWidth="1"/>
    <col min="2" max="2" width="76.5703125" style="30" customWidth="1"/>
    <col min="3" max="3" width="44" style="51" customWidth="1"/>
    <col min="4" max="4" width="36" style="35" customWidth="1"/>
    <col min="5" max="5" width="77.42578125" style="30" customWidth="1"/>
    <col min="6" max="6" width="15.42578125" style="30" customWidth="1"/>
    <col min="7" max="7" width="9.140625" style="29"/>
    <col min="8" max="10" width="15.42578125" style="30" customWidth="1"/>
    <col min="11" max="16384" width="9.140625" style="29"/>
  </cols>
  <sheetData>
    <row r="1" spans="1:10" ht="36.75" customHeight="1" x14ac:dyDescent="0.2">
      <c r="B1" s="29"/>
      <c r="C1" s="46"/>
      <c r="D1" s="521" t="s">
        <v>279</v>
      </c>
    </row>
    <row r="2" spans="1:10" s="548" customFormat="1" ht="27.6" customHeight="1" thickBot="1" x14ac:dyDescent="0.4">
      <c r="A2" s="545" t="str">
        <f>IF(Applicant_Information!B8=D1,"",IF(Applicant_Information!B8="BioFuels",(HYPERLINK("#"&amp;"BioFuels!A1","-&gt; THIS PAGE FOR "&amp; D1 &amp;" APPLICANTS ONLY -&gt; Go to "&amp;Applicant_Information!B8&amp;" Section")),
IF(Applicant_Information!B8="Energy_Efficiency",(HYPERLINK("#"&amp;"Energy_Efficiency!A1","-&gt; THIS PAGE FOR "&amp; D1&amp;" APPLICANTS ONLY -&gt; Go to "&amp;Applicant_Information!B8&amp;" Section")),
IF(Applicant_Information!B8="Alternative_Energy",(HYPERLINK("#"&amp;"Alternative_Energy!A1","-&gt; THIS PAGE FOR "&amp; D1 &amp;" APPLICANTS ONLY -&gt; Go to "&amp;Applicant_Information!B8&amp;" Section")),
IF(Applicant_Information!B8="Advanced_Transportation",(HYPERLINK("#"&amp;"Advanced_Transportation!A1","-&gt; THIS PAGE FOR "&amp; D1 &amp;" APPLICANTS ONLY -&gt; Go to "&amp;Applicant_Information!B8&amp;" Section")),IF(Applicant_Information!B8="Advanced_Manufacturing",(HYPERLINK("#"&amp;"Advanced_Manufacturing!A1","-&gt; THIS PAGE FOR "&amp; D1 &amp;" APPLICANTS ONLY -&gt; Go to "&amp;Applicant_Information!B8&amp;" Section")),
IF(Applicant_Information!B8="SELECT FROM DROPDOWN",(HYPERLINK("#"&amp;"Applicant_Information!A8","-&gt; THIS PAGE FOR "&amp; D1 &amp;" APPLICANTS ONLY -&gt; Go to "&amp;Applicant_Information!B8&amp;" Section")),
(HYPERLINK("#"&amp;"Other_Application_Types!A1","-&gt; THIS PAGE FOR "&amp; D1&amp;" APPLICANTS ONLY -&gt; Go to "&amp;Applicant_Information!B8&amp;" Section")))))))))</f>
        <v>-&gt; THIS PAGE FOR OTHER_APPLICATION_TYPES APPLICANTS ONLY -&gt; Go to SELECT FROM DROPDOWN Section</v>
      </c>
      <c r="B2" s="545"/>
      <c r="C2" s="545"/>
      <c r="D2" s="545"/>
      <c r="E2" s="546"/>
      <c r="F2" s="547"/>
      <c r="H2" s="547"/>
      <c r="I2" s="547"/>
      <c r="J2" s="547"/>
    </row>
    <row r="3" spans="1:10" ht="47.1" customHeight="1" x14ac:dyDescent="0.2">
      <c r="A3" s="659" t="s">
        <v>220</v>
      </c>
      <c r="B3" s="660"/>
      <c r="C3" s="660"/>
      <c r="D3" s="661"/>
      <c r="E3" s="31"/>
    </row>
    <row r="4" spans="1:10" ht="24" customHeight="1" x14ac:dyDescent="0.25">
      <c r="A4" s="242" t="s">
        <v>95</v>
      </c>
      <c r="B4" s="243"/>
      <c r="C4" s="243"/>
      <c r="D4" s="96"/>
      <c r="E4" s="31"/>
    </row>
    <row r="5" spans="1:10" ht="61.5" customHeight="1" x14ac:dyDescent="0.25">
      <c r="A5" s="244" t="s">
        <v>96</v>
      </c>
      <c r="B5" s="669" t="s">
        <v>97</v>
      </c>
      <c r="C5" s="670"/>
      <c r="D5" s="287"/>
      <c r="E5" s="32"/>
      <c r="F5" s="33"/>
      <c r="H5" s="32"/>
      <c r="I5" s="32"/>
      <c r="J5" s="32"/>
    </row>
    <row r="6" spans="1:10" ht="54.75" customHeight="1" thickBot="1" x14ac:dyDescent="0.25">
      <c r="A6" s="206"/>
      <c r="B6" s="210" t="s">
        <v>98</v>
      </c>
      <c r="C6" s="631"/>
      <c r="D6" s="646"/>
      <c r="E6" s="29"/>
      <c r="G6" s="30"/>
      <c r="I6" s="29"/>
      <c r="J6" s="29"/>
    </row>
    <row r="7" spans="1:10" ht="75" customHeight="1" x14ac:dyDescent="0.25">
      <c r="A7" s="244" t="s">
        <v>99</v>
      </c>
      <c r="B7" s="598" t="s">
        <v>100</v>
      </c>
      <c r="C7" s="608"/>
      <c r="D7" s="297"/>
      <c r="E7" s="29"/>
      <c r="G7" s="30"/>
      <c r="I7" s="29"/>
      <c r="J7" s="29"/>
    </row>
    <row r="8" spans="1:10" ht="75" customHeight="1" thickBot="1" x14ac:dyDescent="0.25">
      <c r="A8" s="206"/>
      <c r="B8" s="201" t="s">
        <v>170</v>
      </c>
      <c r="C8" s="693"/>
      <c r="D8" s="694"/>
      <c r="E8" s="29"/>
      <c r="G8" s="30"/>
      <c r="I8" s="29"/>
      <c r="J8" s="29"/>
    </row>
    <row r="9" spans="1:10" ht="75" customHeight="1" x14ac:dyDescent="0.2">
      <c r="A9" s="666" t="s">
        <v>102</v>
      </c>
      <c r="B9" s="633" t="s">
        <v>171</v>
      </c>
      <c r="C9" s="634"/>
      <c r="D9" s="288"/>
      <c r="E9" s="29"/>
      <c r="G9" s="30"/>
      <c r="I9" s="29"/>
      <c r="J9" s="29"/>
    </row>
    <row r="10" spans="1:10" ht="75" customHeight="1" thickBot="1" x14ac:dyDescent="0.25">
      <c r="A10" s="700"/>
      <c r="B10" s="201" t="s">
        <v>172</v>
      </c>
      <c r="C10" s="635"/>
      <c r="D10" s="636"/>
      <c r="E10" s="29"/>
      <c r="G10" s="30"/>
      <c r="I10" s="29"/>
      <c r="J10" s="29"/>
    </row>
    <row r="11" spans="1:10" ht="77.849999999999994" customHeight="1" x14ac:dyDescent="0.25">
      <c r="A11" s="90" t="s">
        <v>105</v>
      </c>
      <c r="B11" s="607" t="s">
        <v>106</v>
      </c>
      <c r="C11" s="608"/>
      <c r="D11" s="297"/>
      <c r="E11" s="29"/>
      <c r="G11" s="30"/>
      <c r="I11" s="29"/>
      <c r="J11" s="29"/>
    </row>
    <row r="12" spans="1:10" ht="77.849999999999994" customHeight="1" thickBot="1" x14ac:dyDescent="0.25">
      <c r="A12" s="206"/>
      <c r="B12" s="202" t="s">
        <v>173</v>
      </c>
      <c r="C12" s="693"/>
      <c r="D12" s="694"/>
      <c r="E12" s="29"/>
      <c r="G12" s="30"/>
      <c r="I12" s="29"/>
      <c r="J12" s="29"/>
    </row>
    <row r="13" spans="1:10" ht="17.850000000000001" customHeight="1" x14ac:dyDescent="0.2">
      <c r="A13" s="245" t="s">
        <v>174</v>
      </c>
      <c r="B13" s="246"/>
      <c r="C13" s="246"/>
      <c r="D13" s="97"/>
      <c r="E13" s="29"/>
      <c r="G13" s="30"/>
      <c r="I13" s="29"/>
      <c r="J13" s="29"/>
    </row>
    <row r="14" spans="1:10" ht="33.6" customHeight="1" thickBot="1" x14ac:dyDescent="0.25">
      <c r="A14" s="81" t="s">
        <v>109</v>
      </c>
      <c r="B14" s="611" t="s">
        <v>110</v>
      </c>
      <c r="C14" s="612"/>
      <c r="D14" s="298"/>
      <c r="E14" s="29"/>
      <c r="G14" s="30"/>
      <c r="I14" s="29"/>
      <c r="J14" s="29"/>
    </row>
    <row r="15" spans="1:10" ht="77.099999999999994" customHeight="1" x14ac:dyDescent="0.25">
      <c r="A15" s="90" t="s">
        <v>115</v>
      </c>
      <c r="B15" s="613" t="s">
        <v>175</v>
      </c>
      <c r="C15" s="614"/>
      <c r="D15" s="291"/>
      <c r="E15" s="29"/>
      <c r="G15" s="30"/>
      <c r="I15" s="29"/>
      <c r="J15" s="29"/>
    </row>
    <row r="16" spans="1:10" ht="57.75" customHeight="1" thickBot="1" x14ac:dyDescent="0.25">
      <c r="A16" s="79"/>
      <c r="B16" s="158" t="s">
        <v>235</v>
      </c>
      <c r="C16" s="649"/>
      <c r="D16" s="650"/>
      <c r="E16" s="29"/>
      <c r="G16" s="30"/>
      <c r="I16" s="29"/>
      <c r="J16" s="29"/>
    </row>
    <row r="17" spans="1:10" ht="35.1" customHeight="1" x14ac:dyDescent="0.25">
      <c r="A17" s="244" t="s">
        <v>118</v>
      </c>
      <c r="B17" s="573" t="s">
        <v>119</v>
      </c>
      <c r="C17" s="668"/>
      <c r="D17" s="299"/>
      <c r="E17" s="29"/>
      <c r="G17" s="30"/>
      <c r="I17" s="29"/>
      <c r="J17" s="29"/>
    </row>
    <row r="18" spans="1:10" ht="53.25" customHeight="1" thickBot="1" x14ac:dyDescent="0.25">
      <c r="A18" s="206"/>
      <c r="B18" s="201" t="s">
        <v>177</v>
      </c>
      <c r="C18" s="679"/>
      <c r="D18" s="680"/>
      <c r="E18" s="29"/>
      <c r="G18" s="30"/>
      <c r="I18" s="29"/>
      <c r="J18" s="29"/>
    </row>
    <row r="19" spans="1:10" ht="71.25" customHeight="1" x14ac:dyDescent="0.25">
      <c r="A19" s="244" t="s">
        <v>121</v>
      </c>
      <c r="B19" s="667" t="s">
        <v>122</v>
      </c>
      <c r="C19" s="668"/>
      <c r="D19" s="211"/>
      <c r="E19" s="29"/>
      <c r="G19" s="30"/>
      <c r="I19" s="29"/>
      <c r="J19" s="29"/>
    </row>
    <row r="20" spans="1:10" ht="62.85" customHeight="1" thickBot="1" x14ac:dyDescent="0.25">
      <c r="A20" s="206"/>
      <c r="B20" s="202" t="s">
        <v>178</v>
      </c>
      <c r="C20" s="679"/>
      <c r="D20" s="680"/>
      <c r="E20" s="29"/>
      <c r="G20" s="30"/>
      <c r="I20" s="29"/>
      <c r="J20" s="29"/>
    </row>
    <row r="21" spans="1:10" ht="54" customHeight="1" x14ac:dyDescent="0.25">
      <c r="A21" s="244" t="s">
        <v>124</v>
      </c>
      <c r="B21" s="573" t="s">
        <v>125</v>
      </c>
      <c r="C21" s="574"/>
      <c r="D21" s="283"/>
      <c r="E21" s="29"/>
      <c r="G21" s="30"/>
      <c r="I21" s="29"/>
      <c r="J21" s="29"/>
    </row>
    <row r="22" spans="1:10" ht="51.75" customHeight="1" thickBot="1" x14ac:dyDescent="0.25">
      <c r="A22" s="206"/>
      <c r="B22" s="201" t="s">
        <v>179</v>
      </c>
      <c r="C22" s="585"/>
      <c r="D22" s="586"/>
      <c r="E22" s="29"/>
      <c r="G22" s="30"/>
      <c r="I22" s="29"/>
      <c r="J22" s="29"/>
    </row>
    <row r="23" spans="1:10" s="30" customFormat="1" ht="48" customHeight="1" x14ac:dyDescent="0.25">
      <c r="A23" s="244" t="s">
        <v>127</v>
      </c>
      <c r="B23" s="667" t="s">
        <v>128</v>
      </c>
      <c r="C23" s="668"/>
      <c r="D23" s="299"/>
    </row>
    <row r="24" spans="1:10" s="30" customFormat="1" ht="48" customHeight="1" thickBot="1" x14ac:dyDescent="0.25">
      <c r="A24" s="206"/>
      <c r="B24" s="202" t="s">
        <v>180</v>
      </c>
      <c r="C24" s="679"/>
      <c r="D24" s="680"/>
    </row>
    <row r="25" spans="1:10" ht="32.1" customHeight="1" x14ac:dyDescent="0.25">
      <c r="A25" s="244" t="s">
        <v>130</v>
      </c>
      <c r="B25" s="667" t="s">
        <v>131</v>
      </c>
      <c r="C25" s="668"/>
      <c r="D25" s="302"/>
      <c r="E25" s="29"/>
      <c r="G25" s="30"/>
      <c r="I25" s="29"/>
      <c r="J25" s="29"/>
    </row>
    <row r="26" spans="1:10" ht="52.5" customHeight="1" thickBot="1" x14ac:dyDescent="0.25">
      <c r="A26" s="206"/>
      <c r="B26" s="202" t="s">
        <v>181</v>
      </c>
      <c r="C26" s="679"/>
      <c r="D26" s="680"/>
      <c r="E26" s="29"/>
      <c r="G26" s="30"/>
      <c r="I26" s="29"/>
      <c r="J26" s="29"/>
    </row>
    <row r="27" spans="1:10" ht="33.6" customHeight="1" thickBot="1" x14ac:dyDescent="0.25">
      <c r="A27" s="80" t="s">
        <v>133</v>
      </c>
      <c r="B27" s="647" t="s">
        <v>182</v>
      </c>
      <c r="C27" s="648"/>
      <c r="D27" s="293"/>
      <c r="E27" s="29"/>
      <c r="G27" s="30"/>
      <c r="I27" s="29"/>
      <c r="J27" s="29"/>
    </row>
    <row r="28" spans="1:10" ht="48.6" customHeight="1" thickBot="1" x14ac:dyDescent="0.25">
      <c r="A28" s="80" t="s">
        <v>183</v>
      </c>
      <c r="B28" s="647" t="s">
        <v>184</v>
      </c>
      <c r="C28" s="648"/>
      <c r="D28" s="282" t="s">
        <v>6</v>
      </c>
      <c r="E28" s="29"/>
      <c r="G28" s="30"/>
      <c r="I28" s="29"/>
      <c r="J28" s="29"/>
    </row>
    <row r="29" spans="1:10" ht="48" customHeight="1" x14ac:dyDescent="0.25">
      <c r="A29" s="244" t="s">
        <v>185</v>
      </c>
      <c r="B29" s="573" t="s">
        <v>186</v>
      </c>
      <c r="C29" s="574"/>
      <c r="D29" s="294"/>
      <c r="E29" s="29"/>
      <c r="G29" s="30"/>
      <c r="I29" s="29"/>
      <c r="J29" s="29"/>
    </row>
    <row r="30" spans="1:10" ht="63" customHeight="1" thickBot="1" x14ac:dyDescent="0.25">
      <c r="A30" s="206"/>
      <c r="B30" s="307" t="s">
        <v>280</v>
      </c>
      <c r="C30" s="701"/>
      <c r="D30" s="702"/>
      <c r="E30" s="29"/>
      <c r="G30" s="30"/>
      <c r="I30" s="29"/>
      <c r="J30" s="29"/>
    </row>
    <row r="31" spans="1:10" ht="35.85" customHeight="1" x14ac:dyDescent="0.25">
      <c r="A31" s="244" t="s">
        <v>188</v>
      </c>
      <c r="B31" s="573" t="s">
        <v>281</v>
      </c>
      <c r="C31" s="574"/>
      <c r="D31" s="302"/>
      <c r="E31" s="29"/>
      <c r="G31" s="30"/>
      <c r="I31" s="29"/>
      <c r="J31" s="29"/>
    </row>
    <row r="32" spans="1:10" ht="51" customHeight="1" thickBot="1" x14ac:dyDescent="0.25">
      <c r="A32" s="206"/>
      <c r="B32" s="307" t="s">
        <v>282</v>
      </c>
      <c r="C32" s="703"/>
      <c r="D32" s="704"/>
      <c r="E32" s="29"/>
      <c r="G32" s="30"/>
      <c r="I32" s="29"/>
      <c r="J32" s="29"/>
    </row>
    <row r="33" spans="1:10" ht="51" customHeight="1" thickBot="1" x14ac:dyDescent="0.25">
      <c r="A33" s="271" t="s">
        <v>191</v>
      </c>
      <c r="B33" s="575" t="s">
        <v>134</v>
      </c>
      <c r="C33" s="576"/>
      <c r="D33" s="282" t="s">
        <v>6</v>
      </c>
      <c r="E33" s="29"/>
      <c r="G33" s="30"/>
      <c r="I33" s="29"/>
      <c r="J33" s="29"/>
    </row>
    <row r="34" spans="1:10" ht="51" customHeight="1" x14ac:dyDescent="0.2">
      <c r="A34" s="708" t="s">
        <v>192</v>
      </c>
      <c r="B34" s="583" t="s">
        <v>136</v>
      </c>
      <c r="C34" s="584"/>
      <c r="D34" s="300"/>
      <c r="E34" s="29"/>
      <c r="G34" s="30"/>
      <c r="I34" s="29"/>
      <c r="J34" s="29"/>
    </row>
    <row r="35" spans="1:10" ht="51" customHeight="1" thickBot="1" x14ac:dyDescent="0.25">
      <c r="A35" s="699"/>
      <c r="B35" s="201" t="s">
        <v>283</v>
      </c>
      <c r="C35" s="585"/>
      <c r="D35" s="680"/>
      <c r="E35" s="29"/>
      <c r="G35" s="30"/>
      <c r="I35" s="29"/>
      <c r="J35" s="29"/>
    </row>
    <row r="36" spans="1:10" ht="20.100000000000001" customHeight="1" x14ac:dyDescent="0.25">
      <c r="A36" s="108" t="s">
        <v>194</v>
      </c>
      <c r="B36" s="102"/>
      <c r="C36" s="102"/>
      <c r="D36" s="103"/>
      <c r="E36" s="29"/>
      <c r="G36" s="30"/>
      <c r="I36" s="29"/>
      <c r="J36" s="29"/>
    </row>
    <row r="37" spans="1:10" ht="34.35" customHeight="1" thickBot="1" x14ac:dyDescent="0.25">
      <c r="A37" s="83" t="s">
        <v>284</v>
      </c>
      <c r="B37" s="93" t="s">
        <v>285</v>
      </c>
      <c r="C37" s="627"/>
      <c r="D37" s="628"/>
      <c r="E37" s="29"/>
      <c r="G37" s="30"/>
      <c r="I37" s="29"/>
      <c r="J37" s="29"/>
    </row>
    <row r="38" spans="1:10" ht="35.85" customHeight="1" x14ac:dyDescent="0.25">
      <c r="A38" s="90" t="s">
        <v>286</v>
      </c>
      <c r="B38" s="613" t="s">
        <v>287</v>
      </c>
      <c r="C38" s="614"/>
      <c r="D38" s="308"/>
      <c r="E38" s="29"/>
      <c r="G38" s="30"/>
      <c r="I38" s="29"/>
      <c r="J38" s="29"/>
    </row>
    <row r="39" spans="1:10" ht="30.6" customHeight="1" thickBot="1" x14ac:dyDescent="0.25">
      <c r="A39" s="79"/>
      <c r="B39" s="158" t="s">
        <v>198</v>
      </c>
      <c r="C39" s="649"/>
      <c r="D39" s="650"/>
      <c r="E39" s="29"/>
      <c r="G39" s="30"/>
      <c r="I39" s="29"/>
      <c r="J39" s="29"/>
    </row>
    <row r="40" spans="1:10" ht="33.6" customHeight="1" x14ac:dyDescent="0.25">
      <c r="A40" s="90" t="s">
        <v>288</v>
      </c>
      <c r="B40" s="613" t="s">
        <v>289</v>
      </c>
      <c r="C40" s="614"/>
      <c r="D40" s="308"/>
      <c r="E40" s="29"/>
      <c r="F40" s="34"/>
      <c r="G40" s="34"/>
      <c r="H40" s="34"/>
      <c r="I40" s="29"/>
      <c r="J40" s="29"/>
    </row>
    <row r="41" spans="1:10" ht="33.6" customHeight="1" thickBot="1" x14ac:dyDescent="0.25">
      <c r="A41" s="79"/>
      <c r="B41" s="158" t="s">
        <v>198</v>
      </c>
      <c r="C41" s="649"/>
      <c r="D41" s="650"/>
      <c r="E41" s="29"/>
      <c r="F41" s="34"/>
      <c r="G41" s="34"/>
      <c r="H41" s="34"/>
      <c r="I41" s="29"/>
      <c r="J41" s="29"/>
    </row>
    <row r="42" spans="1:10" ht="20.85" customHeight="1" thickBot="1" x14ac:dyDescent="0.3">
      <c r="A42" s="247" t="s">
        <v>138</v>
      </c>
      <c r="B42" s="248"/>
      <c r="C42" s="248"/>
      <c r="D42" s="98"/>
      <c r="E42" s="29"/>
      <c r="F42" s="34"/>
      <c r="G42" s="34"/>
      <c r="H42" s="34"/>
      <c r="I42" s="29"/>
      <c r="J42" s="29"/>
    </row>
    <row r="43" spans="1:10" ht="39.6" customHeight="1" thickBot="1" x14ac:dyDescent="0.25">
      <c r="A43" s="83" t="s">
        <v>212</v>
      </c>
      <c r="B43" s="621" t="s">
        <v>213</v>
      </c>
      <c r="C43" s="622"/>
      <c r="D43" s="282" t="s">
        <v>6</v>
      </c>
      <c r="E43" s="29"/>
      <c r="F43" s="34"/>
      <c r="G43" s="34"/>
      <c r="H43" s="34"/>
      <c r="I43" s="29"/>
      <c r="J43" s="29"/>
    </row>
    <row r="44" spans="1:10" ht="63.6" customHeight="1" thickBot="1" x14ac:dyDescent="0.25">
      <c r="A44" s="83" t="s">
        <v>214</v>
      </c>
      <c r="B44" s="93" t="s">
        <v>215</v>
      </c>
      <c r="C44" s="627"/>
      <c r="D44" s="628"/>
      <c r="E44" s="29"/>
      <c r="F44" s="34"/>
      <c r="G44" s="34"/>
      <c r="H44" s="34"/>
      <c r="I44" s="29"/>
      <c r="J44" s="29"/>
    </row>
    <row r="45" spans="1:10" ht="32.85" customHeight="1" x14ac:dyDescent="0.25">
      <c r="A45" s="106" t="s">
        <v>216</v>
      </c>
      <c r="B45" s="629" t="s">
        <v>2658</v>
      </c>
      <c r="C45" s="620"/>
      <c r="D45" s="214"/>
      <c r="E45" s="29"/>
      <c r="F45" s="34"/>
      <c r="G45" s="34"/>
      <c r="H45" s="34"/>
      <c r="I45" s="29"/>
      <c r="J45" s="29"/>
    </row>
    <row r="46" spans="1:10" ht="34.35" customHeight="1" thickBot="1" x14ac:dyDescent="0.25">
      <c r="A46" s="105"/>
      <c r="B46" s="93" t="s">
        <v>217</v>
      </c>
      <c r="C46" s="705"/>
      <c r="D46" s="706"/>
      <c r="E46" s="29"/>
      <c r="F46" s="34"/>
      <c r="G46" s="34"/>
      <c r="H46" s="34"/>
      <c r="I46" s="29"/>
      <c r="J46" s="29"/>
    </row>
    <row r="47" spans="1:10" ht="35.85" customHeight="1" x14ac:dyDescent="0.25">
      <c r="A47" s="106" t="s">
        <v>218</v>
      </c>
      <c r="B47" s="591" t="s">
        <v>2659</v>
      </c>
      <c r="C47" s="620"/>
      <c r="D47" s="214"/>
      <c r="E47" s="29"/>
    </row>
    <row r="48" spans="1:10" ht="35.1" customHeight="1" thickBot="1" x14ac:dyDescent="0.25">
      <c r="A48" s="105"/>
      <c r="B48" s="93" t="s">
        <v>217</v>
      </c>
      <c r="C48" s="705"/>
      <c r="D48" s="706"/>
      <c r="E48" s="29"/>
    </row>
    <row r="49" spans="1:5" ht="42.6" customHeight="1" x14ac:dyDescent="0.25">
      <c r="A49" s="106" t="s">
        <v>139</v>
      </c>
      <c r="B49" s="591" t="s">
        <v>140</v>
      </c>
      <c r="C49" s="588"/>
      <c r="D49" s="284" t="s">
        <v>6</v>
      </c>
      <c r="E49" s="29"/>
    </row>
    <row r="50" spans="1:5" ht="35.1" customHeight="1" thickBot="1" x14ac:dyDescent="0.25">
      <c r="A50" s="105"/>
      <c r="B50" s="93" t="s">
        <v>141</v>
      </c>
      <c r="C50" s="589"/>
      <c r="D50" s="590"/>
      <c r="E50" s="29"/>
    </row>
    <row r="51" spans="1:5" ht="59.1" customHeight="1" x14ac:dyDescent="0.25">
      <c r="A51" s="106" t="s">
        <v>142</v>
      </c>
      <c r="B51" s="591" t="s">
        <v>143</v>
      </c>
      <c r="C51" s="588"/>
      <c r="D51" s="284" t="s">
        <v>6</v>
      </c>
      <c r="E51" s="29"/>
    </row>
    <row r="52" spans="1:5" ht="35.1" customHeight="1" thickBot="1" x14ac:dyDescent="0.25">
      <c r="A52" s="105"/>
      <c r="B52" s="93" t="s">
        <v>144</v>
      </c>
      <c r="C52" s="589"/>
      <c r="D52" s="590"/>
      <c r="E52" s="29"/>
    </row>
    <row r="53" spans="1:5" ht="58.35" customHeight="1" x14ac:dyDescent="0.25">
      <c r="A53" s="106" t="s">
        <v>145</v>
      </c>
      <c r="B53" s="591" t="s">
        <v>146</v>
      </c>
      <c r="C53" s="588"/>
      <c r="D53" s="284" t="s">
        <v>6</v>
      </c>
      <c r="E53" s="29"/>
    </row>
    <row r="54" spans="1:5" ht="35.1" customHeight="1" thickBot="1" x14ac:dyDescent="0.25">
      <c r="A54" s="105"/>
      <c r="B54" s="93" t="s">
        <v>147</v>
      </c>
      <c r="C54" s="589"/>
      <c r="D54" s="590"/>
      <c r="E54" s="29"/>
    </row>
    <row r="55" spans="1:5" ht="35.1" customHeight="1" thickBot="1" x14ac:dyDescent="0.25">
      <c r="A55" s="224" t="s">
        <v>148</v>
      </c>
      <c r="B55" s="592" t="s">
        <v>149</v>
      </c>
      <c r="C55" s="653"/>
      <c r="D55" s="284" t="s">
        <v>6</v>
      </c>
      <c r="E55" s="29"/>
    </row>
    <row r="56" spans="1:5" ht="15" x14ac:dyDescent="0.2">
      <c r="A56" s="224" t="s">
        <v>151</v>
      </c>
      <c r="B56" s="587" t="s">
        <v>152</v>
      </c>
      <c r="C56" s="588"/>
      <c r="D56" s="522">
        <f>COUNTIF(D57:D70,"Yes")</f>
        <v>0</v>
      </c>
      <c r="E56" s="29"/>
    </row>
    <row r="57" spans="1:5" ht="15" x14ac:dyDescent="0.25">
      <c r="A57" s="225"/>
      <c r="B57" s="217"/>
      <c r="C57" s="219" t="s">
        <v>153</v>
      </c>
      <c r="D57" s="285" t="s">
        <v>6</v>
      </c>
      <c r="E57" s="29"/>
    </row>
    <row r="58" spans="1:5" ht="15" x14ac:dyDescent="0.2">
      <c r="A58" s="225"/>
      <c r="B58" s="217"/>
      <c r="C58" s="218" t="s">
        <v>154</v>
      </c>
      <c r="D58" s="285" t="s">
        <v>6</v>
      </c>
      <c r="E58" s="29"/>
    </row>
    <row r="59" spans="1:5" ht="15" x14ac:dyDescent="0.2">
      <c r="A59" s="225"/>
      <c r="B59" s="217"/>
      <c r="C59" s="218" t="s">
        <v>155</v>
      </c>
      <c r="D59" s="285" t="s">
        <v>6</v>
      </c>
      <c r="E59" s="29"/>
    </row>
    <row r="60" spans="1:5" ht="15" x14ac:dyDescent="0.2">
      <c r="A60" s="225"/>
      <c r="B60" s="217"/>
      <c r="C60" s="218" t="s">
        <v>156</v>
      </c>
      <c r="D60" s="285" t="s">
        <v>6</v>
      </c>
      <c r="E60" s="29"/>
    </row>
    <row r="61" spans="1:5" ht="15" x14ac:dyDescent="0.2">
      <c r="A61" s="225"/>
      <c r="B61" s="217"/>
      <c r="C61" s="218" t="s">
        <v>157</v>
      </c>
      <c r="D61" s="285" t="s">
        <v>6</v>
      </c>
      <c r="E61" s="29"/>
    </row>
    <row r="62" spans="1:5" ht="15" x14ac:dyDescent="0.2">
      <c r="A62" s="225"/>
      <c r="B62" s="217"/>
      <c r="C62" s="218" t="s">
        <v>158</v>
      </c>
      <c r="D62" s="285" t="s">
        <v>6</v>
      </c>
      <c r="E62" s="29"/>
    </row>
    <row r="63" spans="1:5" ht="15" x14ac:dyDescent="0.2">
      <c r="A63" s="225"/>
      <c r="B63" s="217"/>
      <c r="C63" s="218" t="s">
        <v>159</v>
      </c>
      <c r="D63" s="285" t="s">
        <v>6</v>
      </c>
      <c r="E63" s="29"/>
    </row>
    <row r="64" spans="1:5" ht="15" x14ac:dyDescent="0.2">
      <c r="A64" s="225"/>
      <c r="B64" s="217"/>
      <c r="C64" s="218" t="s">
        <v>160</v>
      </c>
      <c r="D64" s="285" t="s">
        <v>6</v>
      </c>
      <c r="E64" s="29"/>
    </row>
    <row r="65" spans="1:15" ht="15" x14ac:dyDescent="0.2">
      <c r="A65" s="225"/>
      <c r="B65" s="217"/>
      <c r="C65" s="220" t="s">
        <v>161</v>
      </c>
      <c r="D65" s="285" t="s">
        <v>6</v>
      </c>
      <c r="E65" s="29"/>
    </row>
    <row r="66" spans="1:15" ht="15" x14ac:dyDescent="0.2">
      <c r="A66" s="225"/>
      <c r="B66" s="217"/>
      <c r="C66" s="218" t="s">
        <v>162</v>
      </c>
      <c r="D66" s="285" t="s">
        <v>6</v>
      </c>
      <c r="E66" s="29"/>
    </row>
    <row r="67" spans="1:15" ht="15" x14ac:dyDescent="0.2">
      <c r="A67" s="225"/>
      <c r="B67" s="217"/>
      <c r="C67" s="218" t="s">
        <v>163</v>
      </c>
      <c r="D67" s="285" t="s">
        <v>6</v>
      </c>
      <c r="E67" s="29"/>
    </row>
    <row r="68" spans="1:15" ht="15" x14ac:dyDescent="0.2">
      <c r="A68" s="225"/>
      <c r="B68" s="217"/>
      <c r="C68" s="218" t="s">
        <v>164</v>
      </c>
      <c r="D68" s="285" t="s">
        <v>6</v>
      </c>
      <c r="E68" s="29"/>
    </row>
    <row r="69" spans="1:15" ht="15" x14ac:dyDescent="0.2">
      <c r="A69" s="225"/>
      <c r="B69" s="217"/>
      <c r="C69" s="218" t="s">
        <v>165</v>
      </c>
      <c r="D69" s="285" t="s">
        <v>6</v>
      </c>
      <c r="E69" s="29"/>
    </row>
    <row r="70" spans="1:15" ht="15.75" thickBot="1" x14ac:dyDescent="0.25">
      <c r="A70" s="226"/>
      <c r="B70" s="221"/>
      <c r="C70" s="222" t="s">
        <v>166</v>
      </c>
      <c r="D70" s="286" t="s">
        <v>6</v>
      </c>
      <c r="E70" s="29"/>
    </row>
    <row r="71" spans="1:15" x14ac:dyDescent="0.2">
      <c r="B71" s="29"/>
      <c r="C71" s="39"/>
      <c r="F71" s="29"/>
      <c r="G71" s="30"/>
      <c r="J71" s="29"/>
    </row>
    <row r="72" spans="1:15" ht="23.85" customHeight="1" x14ac:dyDescent="0.25">
      <c r="A72" s="595" t="s">
        <v>167</v>
      </c>
      <c r="B72" s="595"/>
      <c r="C72" s="595"/>
      <c r="D72" s="595"/>
    </row>
    <row r="73" spans="1:15" ht="23.85" customHeight="1" x14ac:dyDescent="0.25">
      <c r="A73" s="623" t="str">
        <f>HYPERLINK("#"&amp;"Scoring!$C$195","-&gt; Click Here to View Score")</f>
        <v>-&gt; Click Here to View Score</v>
      </c>
      <c r="B73" s="623"/>
      <c r="C73" s="623"/>
      <c r="D73" s="623"/>
    </row>
    <row r="74" spans="1:15" ht="23.85" customHeight="1" x14ac:dyDescent="0.25">
      <c r="A74" s="623" t="str">
        <f>HYPERLINK("#"&amp;"Instructions!$A$1","&lt;- Click Here to Return to Instructions")</f>
        <v>&lt;- Click Here to Return to Instructions</v>
      </c>
      <c r="B74" s="623"/>
      <c r="C74" s="623"/>
      <c r="D74" s="623"/>
    </row>
    <row r="75" spans="1:15" ht="23.85" customHeight="1" x14ac:dyDescent="0.25">
      <c r="A75" s="707" t="str">
        <f>HYPERLINK("#"&amp;"Applicant_Information!$A$1","&lt;- Click Here to Return to Applicant Information")</f>
        <v>&lt;- Click Here to Return to Applicant Information</v>
      </c>
      <c r="B75" s="707"/>
      <c r="C75" s="707"/>
      <c r="D75" s="707"/>
    </row>
    <row r="76" spans="1:15" ht="23.85" customHeight="1" x14ac:dyDescent="0.25">
      <c r="A76" s="623" t="str">
        <f>HYPERLINK("#"&amp;"Qualified_Property_List!$A$1","&lt;- Click Here to Return to Qualified Property List")</f>
        <v>&lt;- Click Here to Return to Qualified Property List</v>
      </c>
      <c r="B76" s="623"/>
      <c r="C76" s="623"/>
      <c r="D76" s="623"/>
    </row>
    <row r="77" spans="1:15" s="35" customFormat="1" x14ac:dyDescent="0.2">
      <c r="A77" s="29"/>
      <c r="B77" s="30"/>
      <c r="C77" s="51"/>
      <c r="E77" s="30"/>
      <c r="F77" s="30"/>
      <c r="G77" s="29"/>
      <c r="H77" s="30"/>
      <c r="I77" s="30"/>
      <c r="J77" s="30"/>
      <c r="K77" s="29"/>
      <c r="L77" s="29"/>
      <c r="M77" s="29"/>
      <c r="N77" s="29"/>
      <c r="O77" s="29"/>
    </row>
    <row r="78" spans="1:15" s="35" customFormat="1" x14ac:dyDescent="0.2">
      <c r="A78" s="29"/>
      <c r="B78" s="30"/>
      <c r="C78" s="51"/>
      <c r="E78" s="30"/>
      <c r="F78" s="30"/>
      <c r="G78" s="29"/>
      <c r="H78" s="30"/>
      <c r="I78" s="30"/>
      <c r="J78" s="30"/>
      <c r="K78" s="29"/>
      <c r="L78" s="29"/>
      <c r="M78" s="29"/>
      <c r="N78" s="29"/>
      <c r="O78" s="29"/>
    </row>
    <row r="79" spans="1:15" s="35" customFormat="1" x14ac:dyDescent="0.2">
      <c r="A79" s="29"/>
      <c r="B79" s="30"/>
      <c r="C79" s="51"/>
      <c r="E79" s="30"/>
      <c r="F79" s="30"/>
      <c r="G79" s="29"/>
      <c r="H79" s="30"/>
      <c r="I79" s="30"/>
      <c r="J79" s="30"/>
      <c r="K79" s="29"/>
      <c r="L79" s="29"/>
      <c r="M79" s="29"/>
      <c r="N79" s="29"/>
      <c r="O79" s="29"/>
    </row>
    <row r="80" spans="1:15" s="35" customFormat="1" x14ac:dyDescent="0.2">
      <c r="A80" s="29"/>
      <c r="B80" s="30"/>
      <c r="C80" s="51"/>
      <c r="E80" s="30"/>
      <c r="F80" s="30"/>
      <c r="G80" s="29"/>
      <c r="H80" s="30"/>
      <c r="I80" s="30"/>
      <c r="J80" s="30"/>
      <c r="K80" s="29"/>
      <c r="L80" s="29"/>
      <c r="M80" s="29"/>
      <c r="N80" s="29"/>
      <c r="O80" s="29"/>
    </row>
    <row r="81" spans="1:15" s="35" customFormat="1" x14ac:dyDescent="0.2">
      <c r="A81" s="29"/>
      <c r="B81" s="30"/>
      <c r="C81" s="51"/>
      <c r="E81" s="30"/>
      <c r="F81" s="30"/>
      <c r="G81" s="29"/>
      <c r="H81" s="30"/>
      <c r="I81" s="30"/>
      <c r="J81" s="30"/>
      <c r="K81" s="29"/>
      <c r="L81" s="29"/>
      <c r="M81" s="29"/>
      <c r="N81" s="29"/>
      <c r="O81" s="29"/>
    </row>
    <row r="82" spans="1:15" s="35" customFormat="1" x14ac:dyDescent="0.2">
      <c r="A82" s="29"/>
      <c r="B82" s="30"/>
      <c r="C82" s="51"/>
      <c r="E82" s="30"/>
      <c r="F82" s="30"/>
      <c r="G82" s="29"/>
      <c r="H82" s="30"/>
      <c r="I82" s="30"/>
      <c r="J82" s="30"/>
      <c r="K82" s="29"/>
      <c r="L82" s="29"/>
      <c r="M82" s="29"/>
      <c r="N82" s="29"/>
      <c r="O82" s="29"/>
    </row>
    <row r="83" spans="1:15" s="35" customFormat="1" x14ac:dyDescent="0.2">
      <c r="A83" s="29"/>
      <c r="B83" s="30"/>
      <c r="C83" s="51"/>
      <c r="E83" s="30"/>
      <c r="F83" s="30"/>
      <c r="G83" s="29"/>
      <c r="H83" s="30"/>
      <c r="I83" s="30"/>
      <c r="J83" s="30"/>
      <c r="K83" s="29"/>
      <c r="L83" s="29"/>
      <c r="M83" s="29"/>
      <c r="N83" s="29"/>
      <c r="O83" s="29"/>
    </row>
    <row r="84" spans="1:15" s="35" customFormat="1" x14ac:dyDescent="0.2">
      <c r="A84" s="29"/>
      <c r="B84" s="30"/>
      <c r="C84" s="51"/>
      <c r="E84" s="30"/>
      <c r="F84" s="30"/>
      <c r="G84" s="29"/>
      <c r="H84" s="30"/>
      <c r="I84" s="30"/>
      <c r="J84" s="30"/>
      <c r="K84" s="29"/>
      <c r="L84" s="29"/>
      <c r="M84" s="29"/>
      <c r="N84" s="29"/>
      <c r="O84" s="29"/>
    </row>
    <row r="85" spans="1:15" s="35" customFormat="1" x14ac:dyDescent="0.2">
      <c r="A85" s="29"/>
      <c r="B85" s="30"/>
      <c r="C85" s="51"/>
      <c r="E85" s="30"/>
      <c r="F85" s="30"/>
      <c r="G85" s="29"/>
      <c r="H85" s="30"/>
      <c r="I85" s="30"/>
      <c r="J85" s="30"/>
      <c r="K85" s="29"/>
      <c r="L85" s="29"/>
      <c r="M85" s="29"/>
      <c r="N85" s="29"/>
      <c r="O85" s="29"/>
    </row>
    <row r="86" spans="1:15" s="35" customFormat="1" x14ac:dyDescent="0.2">
      <c r="A86" s="29"/>
      <c r="B86" s="30"/>
      <c r="C86" s="51"/>
      <c r="E86" s="30"/>
      <c r="F86" s="30"/>
      <c r="G86" s="29"/>
      <c r="H86" s="30"/>
      <c r="I86" s="30"/>
      <c r="J86" s="30"/>
      <c r="K86" s="29"/>
      <c r="L86" s="29"/>
      <c r="M86" s="29"/>
      <c r="N86" s="29"/>
      <c r="O86" s="29"/>
    </row>
    <row r="90" spans="1:15" ht="21" customHeight="1" x14ac:dyDescent="0.2"/>
    <row r="91" spans="1:15" ht="21" customHeight="1" x14ac:dyDescent="0.2"/>
    <row r="92" spans="1:15" ht="21" customHeight="1" x14ac:dyDescent="0.2"/>
    <row r="93" spans="1:15" ht="21" customHeight="1" x14ac:dyDescent="0.2"/>
    <row r="94" spans="1:15" ht="21" customHeight="1" x14ac:dyDescent="0.2"/>
  </sheetData>
  <sheetProtection algorithmName="SHA-512" hashValue="A/YPbVQo5GKnjGs3cOQcr7BuXZk24YUd+X42cPboCdjxcDh8LYz4VY5QY6ew5tftiquTbbjlR+ymdkyJu/mHBw==" saltValue="o2ecu+t3DQLyLei6kdR5lA==" spinCount="100000" sheet="1" formatCells="0" formatColumns="0" formatRows="0"/>
  <mergeCells count="57">
    <mergeCell ref="B15:C15"/>
    <mergeCell ref="B38:C38"/>
    <mergeCell ref="A3:D3"/>
    <mergeCell ref="B5:C5"/>
    <mergeCell ref="B7:C7"/>
    <mergeCell ref="B11:C11"/>
    <mergeCell ref="B14:C14"/>
    <mergeCell ref="C6:D6"/>
    <mergeCell ref="C8:D8"/>
    <mergeCell ref="C12:D12"/>
    <mergeCell ref="B9:C9"/>
    <mergeCell ref="C10:D10"/>
    <mergeCell ref="A9:A10"/>
    <mergeCell ref="B33:C33"/>
    <mergeCell ref="A34:A35"/>
    <mergeCell ref="B34:C34"/>
    <mergeCell ref="C35:D35"/>
    <mergeCell ref="B27:C27"/>
    <mergeCell ref="B28:C28"/>
    <mergeCell ref="B29:C29"/>
    <mergeCell ref="B31:C31"/>
    <mergeCell ref="A76:D76"/>
    <mergeCell ref="B47:C47"/>
    <mergeCell ref="C48:D48"/>
    <mergeCell ref="C39:D39"/>
    <mergeCell ref="B40:C40"/>
    <mergeCell ref="C41:D41"/>
    <mergeCell ref="C44:D44"/>
    <mergeCell ref="B45:C45"/>
    <mergeCell ref="C46:D46"/>
    <mergeCell ref="A74:D74"/>
    <mergeCell ref="A75:D75"/>
    <mergeCell ref="B49:C49"/>
    <mergeCell ref="C50:D50"/>
    <mergeCell ref="B51:C51"/>
    <mergeCell ref="C52:D52"/>
    <mergeCell ref="C54:D54"/>
    <mergeCell ref="B56:C56"/>
    <mergeCell ref="B55:C55"/>
    <mergeCell ref="B43:C43"/>
    <mergeCell ref="C37:D37"/>
    <mergeCell ref="A72:D72"/>
    <mergeCell ref="A73:D73"/>
    <mergeCell ref="C16:D16"/>
    <mergeCell ref="B25:C25"/>
    <mergeCell ref="C20:D20"/>
    <mergeCell ref="C18:D18"/>
    <mergeCell ref="C22:D22"/>
    <mergeCell ref="C24:D24"/>
    <mergeCell ref="C26:D26"/>
    <mergeCell ref="C30:D30"/>
    <mergeCell ref="C32:D32"/>
    <mergeCell ref="B17:C17"/>
    <mergeCell ref="B19:C19"/>
    <mergeCell ref="B21:C21"/>
    <mergeCell ref="B23:C23"/>
    <mergeCell ref="B53:C53"/>
  </mergeCells>
  <conditionalFormatting sqref="B29:D32">
    <cfRule type="expression" dxfId="3" priority="3">
      <formula>($D$28="No")</formula>
    </cfRule>
  </conditionalFormatting>
  <conditionalFormatting sqref="B34:D35">
    <cfRule type="expression" dxfId="2" priority="4">
      <formula>($D$33="No")</formula>
    </cfRule>
  </conditionalFormatting>
  <conditionalFormatting sqref="B44:D48">
    <cfRule type="expression" dxfId="1" priority="10">
      <formula>$D$43&lt;&gt;"Yes"</formula>
    </cfRule>
  </conditionalFormatting>
  <dataValidations count="4">
    <dataValidation type="list" allowBlank="1" showInputMessage="1" showErrorMessage="1" sqref="D28 D43 D49 D51 D53 D57:D70 D33 D55" xr:uid="{00000000-0002-0000-0900-000000000000}">
      <formula1>yes_no</formula1>
    </dataValidation>
    <dataValidation allowBlank="1" showInputMessage="1" showErrorMessage="1" promptTitle="Note:" prompt="An annual Full-Time Equivalent (FTE) employee equals 1 if there is 1 full time position for 12 months, or 2 half-time positions for 12 months, or 4 full-time positions for 3 months, etc." sqref="D7:D9" xr:uid="{00000000-0002-0000-0900-000001000000}"/>
    <dataValidation allowBlank="1" showInputMessage="1" showErrorMessage="1" promptTitle="Multiple Qualified Products" prompt="If your Facility produces multiple Qualified Products (e.g. units of different sizes or capacities), base the calculations on the average value across all relevant products." sqref="D15" xr:uid="{00000000-0002-0000-0900-000002000000}"/>
    <dataValidation type="decimal" allowBlank="1" showInputMessage="1" showErrorMessage="1" prompt="Please enter a value between 0% and 100%. " sqref="D34" xr:uid="{00000000-0002-0000-0900-000003000000}">
      <formula1>0</formula1>
      <formula2>1</formula2>
    </dataValidation>
  </dataValidations>
  <pageMargins left="0.7" right="0.7" top="0.75" bottom="0.75" header="0.3" footer="0"/>
  <pageSetup scale="30" fitToHeight="0" orientation="portrait" r:id="rId1"/>
  <headerFooter alignWithMargins="0">
    <oddHeader>&amp;L&amp;20&amp;UOther Application Types</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9" id="{2483579F-7C70-4BFC-BDEE-680F947C768E}">
            <xm:f>Applicant_Information!$B$8&lt;&gt;"Other_Application_Types"</xm:f>
            <x14:dxf>
              <font>
                <color theme="0" tint="-0.24994659260841701"/>
              </font>
              <fill>
                <patternFill patternType="mediumGray">
                  <fgColor theme="4" tint="0.59996337778862885"/>
                </patternFill>
              </fill>
            </x14:dxf>
          </x14:cfRule>
          <xm:sqref>A5:D39 A55:B55 D55 A56:D70</xm:sqref>
        </x14:conditionalFormatting>
        <x14:conditionalFormatting xmlns:xm="http://schemas.microsoft.com/office/excel/2006/main">
          <x14:cfRule type="expression" priority="1" id="{57531D54-B025-4F72-BC26-A30242550C84}">
            <xm:f>Applicant_Information!$B$8&lt;&gt;"Other_Application_Types"</xm:f>
            <x14:dxf>
              <font>
                <color theme="0" tint="-0.24994659260841701"/>
              </font>
              <fill>
                <patternFill patternType="mediumGray">
                  <fgColor theme="4" tint="0.59996337778862885"/>
                </patternFill>
              </fill>
            </x14:dxf>
          </x14:cfRule>
          <xm:sqref>A40:D54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1" filterMode="1"/>
  <dimension ref="A1:K404"/>
  <sheetViews>
    <sheetView showGridLines="0" tabSelected="1" zoomScaleNormal="100" workbookViewId="0">
      <selection activeCell="B49" sqref="B49"/>
    </sheetView>
  </sheetViews>
  <sheetFormatPr defaultColWidth="9.140625" defaultRowHeight="12.75" x14ac:dyDescent="0.2"/>
  <cols>
    <col min="1" max="1" width="5" customWidth="1"/>
    <col min="2" max="2" width="54.5703125" customWidth="1"/>
    <col min="3" max="3" width="21.42578125" style="1" customWidth="1"/>
    <col min="4" max="4" width="21.42578125" style="5" customWidth="1"/>
    <col min="5" max="5" width="24.42578125" customWidth="1"/>
    <col min="6" max="6" width="28.42578125" customWidth="1"/>
    <col min="7" max="7" width="16.42578125" customWidth="1"/>
    <col min="8" max="8" width="13.42578125" style="5" customWidth="1"/>
    <col min="9" max="9" width="23" customWidth="1"/>
  </cols>
  <sheetData>
    <row r="1" spans="1:8" x14ac:dyDescent="0.2">
      <c r="A1" s="5" t="s">
        <v>290</v>
      </c>
    </row>
    <row r="2" spans="1:8" ht="15.75" x14ac:dyDescent="0.25">
      <c r="A2" s="8" t="s">
        <v>291</v>
      </c>
    </row>
    <row r="3" spans="1:8" x14ac:dyDescent="0.2">
      <c r="A3" s="5" t="s">
        <v>292</v>
      </c>
    </row>
    <row r="4" spans="1:8" x14ac:dyDescent="0.2">
      <c r="A4" s="5" t="s">
        <v>293</v>
      </c>
    </row>
    <row r="5" spans="1:8" x14ac:dyDescent="0.2">
      <c r="A5" s="349"/>
    </row>
    <row r="6" spans="1:8" x14ac:dyDescent="0.2">
      <c r="B6" s="350" t="s">
        <v>294</v>
      </c>
      <c r="C6"/>
      <c r="F6" s="351"/>
      <c r="H6"/>
    </row>
    <row r="7" spans="1:8" x14ac:dyDescent="0.2">
      <c r="B7" s="352" t="s">
        <v>295</v>
      </c>
      <c r="C7" s="353"/>
      <c r="F7" s="351"/>
      <c r="H7"/>
    </row>
    <row r="8" spans="1:8" x14ac:dyDescent="0.2">
      <c r="B8" s="352" t="s">
        <v>296</v>
      </c>
      <c r="C8" s="354"/>
      <c r="F8" s="351"/>
      <c r="G8" s="1"/>
      <c r="H8"/>
    </row>
    <row r="9" spans="1:8" x14ac:dyDescent="0.2">
      <c r="B9" s="352" t="s">
        <v>297</v>
      </c>
      <c r="C9" s="355" t="s">
        <v>2669</v>
      </c>
      <c r="F9" s="351"/>
      <c r="G9" s="1"/>
      <c r="H9"/>
    </row>
    <row r="10" spans="1:8" x14ac:dyDescent="0.2">
      <c r="B10" s="352" t="s">
        <v>298</v>
      </c>
      <c r="C10" s="356" t="str">
        <f>C16</f>
        <v>SELECT FROM DROPDOWN</v>
      </c>
      <c r="F10" s="351"/>
      <c r="G10" s="1"/>
      <c r="H10"/>
    </row>
    <row r="11" spans="1:8" x14ac:dyDescent="0.2">
      <c r="B11" s="352" t="s">
        <v>299</v>
      </c>
      <c r="C11" s="355"/>
      <c r="E11" s="1"/>
      <c r="F11" s="351"/>
      <c r="G11" s="1"/>
      <c r="H11"/>
    </row>
    <row r="12" spans="1:8" x14ac:dyDescent="0.2">
      <c r="B12" s="352" t="s">
        <v>300</v>
      </c>
      <c r="C12" s="354"/>
      <c r="F12" s="351"/>
      <c r="H12"/>
    </row>
    <row r="13" spans="1:8" x14ac:dyDescent="0.2">
      <c r="B13" s="352" t="s">
        <v>301</v>
      </c>
      <c r="C13" s="354"/>
      <c r="F13" s="351"/>
      <c r="H13"/>
    </row>
    <row r="14" spans="1:8" x14ac:dyDescent="0.2">
      <c r="B14" s="352" t="s">
        <v>302</v>
      </c>
      <c r="C14" s="355"/>
      <c r="F14" s="351"/>
      <c r="H14"/>
    </row>
    <row r="15" spans="1:8" x14ac:dyDescent="0.2">
      <c r="C15"/>
      <c r="F15" s="351"/>
      <c r="H15"/>
    </row>
    <row r="16" spans="1:8" x14ac:dyDescent="0.2">
      <c r="B16" s="14" t="s">
        <v>303</v>
      </c>
      <c r="C16" t="str">
        <f>Applicant_Information!B8</f>
        <v>SELECT FROM DROPDOWN</v>
      </c>
      <c r="F16" s="351"/>
      <c r="H16"/>
    </row>
    <row r="17" spans="1:8" x14ac:dyDescent="0.2">
      <c r="A17" s="349"/>
      <c r="C17" s="1" t="e">
        <f>VLOOKUP(C16,Product_Type,4,FALSE)</f>
        <v>#N/A</v>
      </c>
    </row>
    <row r="18" spans="1:8" ht="13.5" thickBot="1" x14ac:dyDescent="0.25">
      <c r="A18" s="12" t="s">
        <v>304</v>
      </c>
      <c r="B18" s="12"/>
      <c r="C18" s="357"/>
      <c r="D18" s="12"/>
      <c r="E18" s="13"/>
      <c r="F18" s="13"/>
      <c r="G18" s="13"/>
      <c r="H18" s="13"/>
    </row>
    <row r="19" spans="1:8" ht="12.75" customHeight="1" thickTop="1" x14ac:dyDescent="0.2">
      <c r="B19" s="14" t="s">
        <v>305</v>
      </c>
      <c r="D19" s="14" t="s">
        <v>306</v>
      </c>
      <c r="E19" s="14" t="s">
        <v>307</v>
      </c>
      <c r="F19" s="14"/>
      <c r="H19" s="14" t="s">
        <v>306</v>
      </c>
    </row>
    <row r="20" spans="1:8" ht="12.75" customHeight="1" x14ac:dyDescent="0.2">
      <c r="B20" s="358" t="s">
        <v>308</v>
      </c>
      <c r="C20" s="359" t="e">
        <f ca="1">Estimated_Annual_Sales-(VLOOKUP("D2",INDIRECT(Scoring!C16),4,FALSE)*VLOOKUP("D4",INDIRECT(Scoring!C16),4,FALSE))</f>
        <v>#REF!</v>
      </c>
      <c r="D20" s="14"/>
      <c r="E20" s="360" t="s">
        <v>309</v>
      </c>
      <c r="F20" s="360"/>
      <c r="G20" s="361">
        <v>0.30299999999999999</v>
      </c>
      <c r="H20" s="14"/>
    </row>
    <row r="21" spans="1:8" ht="12.75" customHeight="1" x14ac:dyDescent="0.2">
      <c r="B21" s="358" t="s">
        <v>310</v>
      </c>
      <c r="C21" s="362" t="e">
        <f ca="1">VLOOKUP("D2",INDIRECT(Scoring!C16),4,FALSE)*VLOOKUP("D6",INDIRECT(Scoring!C16),4,FALSE)</f>
        <v>#REF!</v>
      </c>
      <c r="D21" s="14"/>
      <c r="E21" s="360" t="s">
        <v>311</v>
      </c>
      <c r="F21" s="360"/>
      <c r="G21" s="361">
        <v>0.12</v>
      </c>
      <c r="H21" s="14"/>
    </row>
    <row r="22" spans="1:8" ht="12.75" customHeight="1" x14ac:dyDescent="0.2">
      <c r="B22" s="315" t="s">
        <v>312</v>
      </c>
      <c r="C22" s="363" t="e">
        <f ca="1">IF((1-((C21/(1-G20))/C20))&lt;0,(C24/(C24+C21)),1-((C21/(1-G20))/C20))</f>
        <v>#REF!</v>
      </c>
      <c r="D22" s="364" t="s">
        <v>312</v>
      </c>
      <c r="E22" s="360" t="s">
        <v>313</v>
      </c>
      <c r="F22" s="360"/>
      <c r="G22" s="365">
        <v>-3</v>
      </c>
      <c r="H22" s="14"/>
    </row>
    <row r="23" spans="1:8" ht="12.75" customHeight="1" x14ac:dyDescent="0.2">
      <c r="B23" s="313" t="s">
        <v>314</v>
      </c>
      <c r="C23" s="366" t="e">
        <f ca="1">PMT(G21,WALS,-1*VCS)</f>
        <v>#DIV/0!</v>
      </c>
      <c r="D23" s="14"/>
      <c r="E23" s="360" t="s">
        <v>315</v>
      </c>
      <c r="F23" s="360"/>
      <c r="G23" s="365">
        <v>-0.71</v>
      </c>
      <c r="H23" s="14"/>
    </row>
    <row r="24" spans="1:8" ht="12.75" customHeight="1" x14ac:dyDescent="0.2">
      <c r="B24" s="313" t="s">
        <v>316</v>
      </c>
      <c r="C24" s="366" t="e">
        <f ca="1">IF(C20-(C21/(1-G20))&lt;C23,C23,(C20-(C21/(1-G20))))</f>
        <v>#REF!</v>
      </c>
      <c r="D24" s="14" t="s">
        <v>317</v>
      </c>
      <c r="E24" s="360" t="s">
        <v>318</v>
      </c>
      <c r="F24" s="360"/>
      <c r="G24" s="365">
        <v>2</v>
      </c>
    </row>
    <row r="25" spans="1:8" ht="12.75" customHeight="1" x14ac:dyDescent="0.2">
      <c r="B25" s="367" t="s">
        <v>319</v>
      </c>
      <c r="C25" s="363" t="e">
        <f ca="1">IF(C23/C24&gt;1,1,C23/C24)</f>
        <v>#DIV/0!</v>
      </c>
      <c r="D25" s="14"/>
      <c r="E25" s="368" t="s">
        <v>320</v>
      </c>
      <c r="F25" s="368"/>
      <c r="G25" s="369">
        <v>3.7499999999999999E-2</v>
      </c>
      <c r="H25" s="5" t="s">
        <v>321</v>
      </c>
    </row>
    <row r="26" spans="1:8" ht="12.75" customHeight="1" x14ac:dyDescent="0.2">
      <c r="B26" s="367" t="s">
        <v>322</v>
      </c>
      <c r="C26" s="363" t="e">
        <f ca="1">C22*C25</f>
        <v>#REF!</v>
      </c>
      <c r="D26" s="14"/>
      <c r="E26" s="368" t="s">
        <v>323</v>
      </c>
      <c r="F26" s="368"/>
      <c r="G26" s="361">
        <v>8.4790994492158267E-2</v>
      </c>
      <c r="H26" s="5" t="s">
        <v>324</v>
      </c>
    </row>
    <row r="27" spans="1:8" ht="12.75" customHeight="1" x14ac:dyDescent="0.2">
      <c r="B27" s="367" t="s">
        <v>325</v>
      </c>
      <c r="C27" s="363" t="e">
        <f ca="1">(G23-G23*C26+C26*G22)*-G26</f>
        <v>#REF!</v>
      </c>
      <c r="D27" s="5" t="s">
        <v>326</v>
      </c>
    </row>
    <row r="28" spans="1:8" ht="12.75" customHeight="1" x14ac:dyDescent="0.2">
      <c r="B28" s="370" t="s">
        <v>327</v>
      </c>
      <c r="C28" s="371">
        <f>Qualified_Property_List!E5</f>
        <v>0</v>
      </c>
      <c r="D28" s="5" t="s">
        <v>328</v>
      </c>
    </row>
    <row r="29" spans="1:8" ht="12.75" customHeight="1" x14ac:dyDescent="0.2">
      <c r="B29" s="313" t="s">
        <v>329</v>
      </c>
      <c r="C29" s="372">
        <f>VQP*STR</f>
        <v>0</v>
      </c>
      <c r="G29" s="373"/>
    </row>
    <row r="30" spans="1:8" ht="12.75" customHeight="1" x14ac:dyDescent="0.2">
      <c r="B30" s="333" t="s">
        <v>330</v>
      </c>
      <c r="C30" s="374" t="e">
        <f ca="1">(VQP/(1+PICI))*PICI</f>
        <v>#REF!</v>
      </c>
      <c r="D30" s="5" t="s">
        <v>331</v>
      </c>
      <c r="G30" s="375"/>
    </row>
    <row r="31" spans="1:8" ht="12.75" customHeight="1" x14ac:dyDescent="0.2">
      <c r="B31" s="333" t="s">
        <v>332</v>
      </c>
      <c r="C31" s="376" t="e">
        <f ca="1">MIQP/VCS</f>
        <v>#REF!</v>
      </c>
      <c r="H31" s="377"/>
    </row>
    <row r="32" spans="1:8" ht="12.75" customHeight="1" x14ac:dyDescent="0.2">
      <c r="B32" s="370" t="s">
        <v>333</v>
      </c>
      <c r="C32" s="371" t="e">
        <f ca="1">(VLOOKUP("D2",INDIRECT(Scoring!C16),4,FALSE)*VLOOKUP("D3",INDIRECT(Scoring!C16),4,FALSE))</f>
        <v>#REF!</v>
      </c>
      <c r="G32" s="373"/>
    </row>
    <row r="33" spans="1:8" ht="12.75" customHeight="1" x14ac:dyDescent="0.2">
      <c r="B33" s="370" t="s">
        <v>334</v>
      </c>
      <c r="C33" s="378" t="e">
        <f ca="1">VCS/C32</f>
        <v>#REF!</v>
      </c>
    </row>
    <row r="34" spans="1:8" ht="12.75" customHeight="1" x14ac:dyDescent="0.2">
      <c r="B34" s="333" t="s">
        <v>335</v>
      </c>
      <c r="C34" s="374" t="e">
        <f ca="1">(MIQP/VCS)*Estimated_Annual_Sales</f>
        <v>#REF!</v>
      </c>
      <c r="D34" s="5" t="s">
        <v>336</v>
      </c>
    </row>
    <row r="35" spans="1:8" ht="12.75" customHeight="1" x14ac:dyDescent="0.2">
      <c r="B35" s="333" t="s">
        <v>337</v>
      </c>
      <c r="C35" s="379" t="e">
        <f ca="1">MIS/VLOOKUP("D3",INDIRECT(Scoring!C16),4,FALSE)</f>
        <v>#REF!</v>
      </c>
      <c r="D35" s="380" t="s">
        <v>338</v>
      </c>
    </row>
    <row r="36" spans="1:8" ht="12.75" customHeight="1" x14ac:dyDescent="0.2">
      <c r="B36" s="333" t="s">
        <v>339</v>
      </c>
      <c r="C36" s="374" t="e">
        <f ca="1">MIU*(VLOOKUP("D4",INDIRECT(Scoring!C16),4,FALSE)*VLOOKUP("D5",INDIRECT(Scoring!C16),4,FALSE))</f>
        <v>#REF!</v>
      </c>
      <c r="D36" s="5" t="s">
        <v>340</v>
      </c>
    </row>
    <row r="37" spans="1:8" ht="12.75" customHeight="1" x14ac:dyDescent="0.2">
      <c r="B37" s="333" t="s">
        <v>341</v>
      </c>
      <c r="C37" s="374" t="e">
        <f ca="1">MIU*(VLOOKUP("D6",INDIRECT(Scoring!C16),4,FALSE))</f>
        <v>#REF!</v>
      </c>
      <c r="D37" s="5" t="s">
        <v>342</v>
      </c>
    </row>
    <row r="38" spans="1:8" ht="12.75" customHeight="1" x14ac:dyDescent="0.2">
      <c r="B38" s="315" t="s">
        <v>343</v>
      </c>
      <c r="C38" s="374" t="e">
        <f ca="1">(MISP*Multiplier+AIEW*Multiplier-AIEW)</f>
        <v>#REF!</v>
      </c>
      <c r="D38" s="5" t="s">
        <v>344</v>
      </c>
    </row>
    <row r="39" spans="1:8" ht="12.75" customHeight="1" x14ac:dyDescent="0.2">
      <c r="B39" s="370" t="s">
        <v>345</v>
      </c>
      <c r="C39" s="378" t="e">
        <f>Qualified_Property_List!F5</f>
        <v>#DIV/0!</v>
      </c>
      <c r="D39" s="377" t="s">
        <v>346</v>
      </c>
      <c r="E39" s="381"/>
    </row>
    <row r="40" spans="1:8" ht="12.75" customHeight="1" x14ac:dyDescent="0.2">
      <c r="B40" s="313" t="s">
        <v>347</v>
      </c>
      <c r="C40" s="382" t="e">
        <f ca="1">-PV($G$25,$C$39,C34,0)</f>
        <v>#DIV/0!</v>
      </c>
      <c r="D40" s="5" t="s">
        <v>348</v>
      </c>
      <c r="E40" s="383"/>
      <c r="F40" s="383"/>
    </row>
    <row r="41" spans="1:8" ht="12.75" customHeight="1" x14ac:dyDescent="0.2">
      <c r="B41" s="313" t="s">
        <v>349</v>
      </c>
      <c r="C41" s="382" t="e">
        <f ca="1">-PV($G$25,$C$39,C38,0)</f>
        <v>#DIV/0!</v>
      </c>
      <c r="D41" s="5" t="s">
        <v>350</v>
      </c>
      <c r="E41" s="384"/>
      <c r="F41" s="384"/>
    </row>
    <row r="42" spans="1:8" ht="12.75" customHeight="1" x14ac:dyDescent="0.2"/>
    <row r="43" spans="1:8" ht="12.75" customHeight="1" thickBot="1" x14ac:dyDescent="0.25">
      <c r="A43" s="12" t="s">
        <v>351</v>
      </c>
      <c r="B43" s="12"/>
      <c r="C43" s="357"/>
      <c r="D43" s="12"/>
      <c r="E43" s="13"/>
      <c r="F43" s="13"/>
      <c r="G43" s="13"/>
      <c r="H43" s="13"/>
    </row>
    <row r="44" spans="1:8" ht="12.75" customHeight="1" thickTop="1" x14ac:dyDescent="0.2">
      <c r="B44" s="14" t="s">
        <v>305</v>
      </c>
      <c r="E44" s="14" t="s">
        <v>307</v>
      </c>
      <c r="F44" s="14"/>
    </row>
    <row r="45" spans="1:8" ht="12.75" customHeight="1" x14ac:dyDescent="0.2">
      <c r="B45" s="370" t="s">
        <v>352</v>
      </c>
      <c r="C45" s="385" t="e">
        <f ca="1">(VLOOKUP("D7",INDIRECT(Scoring!C16),4,FALSE))</f>
        <v>#REF!</v>
      </c>
      <c r="D45" s="386" t="s">
        <v>353</v>
      </c>
      <c r="E45" s="360" t="s">
        <v>354</v>
      </c>
      <c r="F45" s="360"/>
      <c r="G45" s="387">
        <v>6.1074084235465537E-2</v>
      </c>
      <c r="H45" s="5" t="s">
        <v>355</v>
      </c>
    </row>
    <row r="46" spans="1:8" ht="12.75" customHeight="1" x14ac:dyDescent="0.2">
      <c r="B46" s="370" t="s">
        <v>356</v>
      </c>
      <c r="C46" s="388" t="e">
        <f ca="1">1-(VLOOKUP("D4",INDIRECT(Scoring!C16),4,FALSE)/VLOOKUP("D3",INDIRECT(Scoring!C16),4,FALSE))</f>
        <v>#REF!</v>
      </c>
      <c r="D46" s="5" t="s">
        <v>357</v>
      </c>
      <c r="E46" s="360" t="s">
        <v>358</v>
      </c>
      <c r="F46" s="360"/>
      <c r="G46" s="387">
        <f>VLOOKUP(Applicant_Information!E53,City_County,3,FALSE)</f>
        <v>0</v>
      </c>
      <c r="H46" s="5" t="s">
        <v>359</v>
      </c>
    </row>
    <row r="47" spans="1:8" ht="12.75" customHeight="1" x14ac:dyDescent="0.2">
      <c r="B47" s="370" t="s">
        <v>360</v>
      </c>
      <c r="C47" s="385" t="e">
        <f ca="1">(VLOOKUP("D6",INDIRECT(Scoring!C16),4,FALSE)/VLOOKUP("D3",INDIRECT(Scoring!C16),4,FALSE))</f>
        <v>#REF!</v>
      </c>
      <c r="E47" s="368" t="s">
        <v>361</v>
      </c>
      <c r="F47" s="368"/>
      <c r="G47" s="387">
        <v>8.1007984813447925E-2</v>
      </c>
      <c r="H47" s="5" t="s">
        <v>362</v>
      </c>
    </row>
    <row r="48" spans="1:8" ht="12.75" customHeight="1" x14ac:dyDescent="0.2">
      <c r="B48" s="313" t="s">
        <v>363</v>
      </c>
      <c r="C48" s="389" t="e">
        <f ca="1">POSCA*PVMIS*VA</f>
        <v>#REF!</v>
      </c>
      <c r="E48" s="390" t="s">
        <v>364</v>
      </c>
      <c r="F48" s="391"/>
      <c r="G48" s="392">
        <v>9.2999999999999999E-2</v>
      </c>
      <c r="H48" s="128"/>
    </row>
    <row r="49" spans="1:8" ht="12.75" customHeight="1" x14ac:dyDescent="0.2">
      <c r="B49" s="313" t="s">
        <v>365</v>
      </c>
      <c r="C49" s="389" t="e">
        <f ca="1">-PV(G25,C39,AIEW)</f>
        <v>#DIV/0!</v>
      </c>
      <c r="E49" s="390" t="s">
        <v>366</v>
      </c>
      <c r="F49" s="391"/>
      <c r="G49" s="393">
        <v>2.2656002965965236E-2</v>
      </c>
    </row>
    <row r="50" spans="1:8" ht="12.75" customHeight="1" x14ac:dyDescent="0.2">
      <c r="B50" s="313" t="s">
        <v>367</v>
      </c>
      <c r="C50" s="389" t="e">
        <f ca="1">C30</f>
        <v>#REF!</v>
      </c>
      <c r="E50" s="390" t="s">
        <v>368</v>
      </c>
      <c r="F50" s="391"/>
      <c r="G50" s="394" t="e">
        <f ca="1">IF(Applicant_Information!E5="Corporation",(C20-C21)*G49,IF(Applicant_Information!E5="Government Entity",0,IF(Applicant_Information!E5="Non-profit Organization",0,(C20-C21)*G48)))</f>
        <v>#REF!</v>
      </c>
      <c r="H50" s="5" t="s">
        <v>369</v>
      </c>
    </row>
    <row r="51" spans="1:8" ht="12.75" customHeight="1" x14ac:dyDescent="0.2">
      <c r="B51" s="315" t="s">
        <v>370</v>
      </c>
      <c r="C51" s="363" t="e">
        <f ca="1">(VLOOKUP("Estimated percent of end-of-supply-chain product sales that generate sales tax? Enter the percent of sales/production that generates sales tax. ",INDIRECT(Scoring!C16&amp;"_ColBD"),3,FALSE))</f>
        <v>#REF!</v>
      </c>
      <c r="E51" s="395"/>
      <c r="F51" s="396"/>
      <c r="G51" s="397"/>
    </row>
    <row r="52" spans="1:8" ht="12.75" customHeight="1" x14ac:dyDescent="0.2">
      <c r="B52" s="333" t="s">
        <v>371</v>
      </c>
      <c r="C52" s="389" t="e">
        <f ca="1">C48*STR*C51</f>
        <v>#REF!</v>
      </c>
      <c r="D52" s="5" t="s">
        <v>372</v>
      </c>
      <c r="E52" s="377"/>
    </row>
    <row r="53" spans="1:8" ht="12.75" customHeight="1" x14ac:dyDescent="0.2">
      <c r="B53" s="333" t="s">
        <v>373</v>
      </c>
      <c r="C53" s="389" t="e">
        <f ca="1">C49*SIR</f>
        <v>#DIV/0!</v>
      </c>
      <c r="D53" s="5" t="s">
        <v>374</v>
      </c>
      <c r="E53" s="14"/>
    </row>
    <row r="54" spans="1:8" ht="12.75" customHeight="1" x14ac:dyDescent="0.2">
      <c r="B54" s="333" t="s">
        <v>375</v>
      </c>
      <c r="C54" s="389" t="e">
        <f ca="1">-PV(G25,C39,(ATL*(MIQP/VCS)))*POSCA</f>
        <v>#DIV/0!</v>
      </c>
      <c r="D54" s="398" t="s">
        <v>376</v>
      </c>
    </row>
    <row r="55" spans="1:8" ht="12.75" customHeight="1" x14ac:dyDescent="0.2">
      <c r="B55" s="333" t="s">
        <v>377</v>
      </c>
      <c r="C55" s="389" t="e">
        <f ca="1">PV(G25,C39,-(C50*PTR))</f>
        <v>#DIV/0!</v>
      </c>
      <c r="D55" s="5" t="s">
        <v>378</v>
      </c>
    </row>
    <row r="56" spans="1:8" ht="12.75" customHeight="1" x14ac:dyDescent="0.2">
      <c r="A56" s="5"/>
      <c r="E56" s="14"/>
      <c r="F56" s="14"/>
    </row>
    <row r="57" spans="1:8" ht="12.75" customHeight="1" x14ac:dyDescent="0.2">
      <c r="B57" s="333" t="s">
        <v>379</v>
      </c>
      <c r="C57" s="389" t="e">
        <f ca="1">SUM(C52:C55)</f>
        <v>#REF!</v>
      </c>
      <c r="D57" s="5" t="s">
        <v>380</v>
      </c>
    </row>
    <row r="58" spans="1:8" ht="12.75" customHeight="1" x14ac:dyDescent="0.2">
      <c r="B58" s="333" t="s">
        <v>381</v>
      </c>
      <c r="C58" s="379" t="e">
        <f ca="1">PVMISO*GRSO</f>
        <v>#DIV/0!</v>
      </c>
      <c r="D58" s="5" t="s">
        <v>382</v>
      </c>
    </row>
    <row r="59" spans="1:8" ht="12.75" customHeight="1" x14ac:dyDescent="0.2">
      <c r="B59" s="399" t="s">
        <v>383</v>
      </c>
      <c r="C59" s="400" t="e">
        <f ca="1">DFB+IFB</f>
        <v>#REF!</v>
      </c>
      <c r="D59" s="5" t="s">
        <v>384</v>
      </c>
    </row>
    <row r="60" spans="1:8" ht="12.75" customHeight="1" x14ac:dyDescent="0.2"/>
    <row r="61" spans="1:8" ht="12.75" customHeight="1" thickBot="1" x14ac:dyDescent="0.25">
      <c r="A61" s="12" t="s">
        <v>385</v>
      </c>
      <c r="B61" s="12"/>
      <c r="C61" s="357"/>
      <c r="D61" s="12"/>
      <c r="E61" s="13"/>
      <c r="F61" s="13"/>
      <c r="G61" s="13"/>
      <c r="H61" s="13"/>
    </row>
    <row r="62" spans="1:8" ht="12.75" customHeight="1" thickTop="1" x14ac:dyDescent="0.2">
      <c r="A62" s="5"/>
      <c r="B62" s="14" t="s">
        <v>305</v>
      </c>
      <c r="E62" s="14" t="s">
        <v>307</v>
      </c>
      <c r="F62" s="14"/>
    </row>
    <row r="63" spans="1:8" ht="12.75" customHeight="1" x14ac:dyDescent="0.2">
      <c r="A63" s="5"/>
      <c r="B63" s="370" t="s">
        <v>386</v>
      </c>
      <c r="C63" s="359" t="e">
        <f ca="1">(VLOOKUP("D3",INDIRECT(Scoring!C16),4,FALSE))</f>
        <v>#REF!</v>
      </c>
      <c r="D63" s="5" t="s">
        <v>387</v>
      </c>
      <c r="E63" s="360" t="s">
        <v>388</v>
      </c>
      <c r="F63" s="360"/>
      <c r="G63" s="401" t="e">
        <f ca="1">'Pollution Costs'!K14+(POSCA*'Pollution Costs'!K13)</f>
        <v>#REF!</v>
      </c>
      <c r="H63" s="5" t="s">
        <v>389</v>
      </c>
    </row>
    <row r="64" spans="1:8" ht="12.75" customHeight="1" x14ac:dyDescent="0.2">
      <c r="A64" s="5"/>
      <c r="B64" s="370" t="s">
        <v>390</v>
      </c>
      <c r="C64" s="385" t="e">
        <f ca="1">Percent_of_Sales_in_California</f>
        <v>#REF!</v>
      </c>
      <c r="E64" s="360" t="s">
        <v>391</v>
      </c>
      <c r="F64" s="360"/>
      <c r="G64" s="402" t="e">
        <f ca="1">POSCA*'Pollution Costs'!$K$8+(1-POSCA)*'Pollution Costs'!$L$7</f>
        <v>#REF!</v>
      </c>
      <c r="H64" s="5" t="s">
        <v>392</v>
      </c>
    </row>
    <row r="65" spans="1:8" ht="12.75" customHeight="1" x14ac:dyDescent="0.2">
      <c r="A65" s="5"/>
      <c r="B65" s="403" t="s">
        <v>393</v>
      </c>
      <c r="C65" s="404" t="e">
        <f ca="1">IF(C17="Group 2",C63,  (IF((VLOOKUP("D9",INDIRECT(Scoring!C16),4,FALSE))="No",C63,(VLOOKUP("D10",INDIRECT(Scoring!C16),4,FALSE)))))</f>
        <v>#N/A</v>
      </c>
      <c r="D65" s="405"/>
      <c r="E65" s="360" t="s">
        <v>394</v>
      </c>
      <c r="F65" s="360"/>
      <c r="G65" s="401">
        <f>'Pollution Costs'!K20</f>
        <v>3.043755</v>
      </c>
      <c r="H65" s="5" t="s">
        <v>395</v>
      </c>
    </row>
    <row r="66" spans="1:8" ht="12.75" customHeight="1" x14ac:dyDescent="0.2">
      <c r="A66" s="5"/>
      <c r="B66" s="313" t="s">
        <v>396</v>
      </c>
      <c r="C66" s="406" t="e">
        <f ca="1">IF(((VA*C63)/C65)&gt;1,1,(VA*C63)/C65)</f>
        <v>#REF!</v>
      </c>
      <c r="D66" s="377" t="s">
        <v>397</v>
      </c>
      <c r="E66" s="360" t="s">
        <v>398</v>
      </c>
      <c r="F66" s="360"/>
      <c r="G66" s="401">
        <f>'Pollution Costs'!H7</f>
        <v>2.6015E-2</v>
      </c>
      <c r="H66" s="407"/>
    </row>
    <row r="67" spans="1:8" ht="12.75" customHeight="1" x14ac:dyDescent="0.2">
      <c r="A67" s="5"/>
      <c r="B67" s="370" t="s">
        <v>399</v>
      </c>
      <c r="C67" s="385" t="e">
        <f>Qualified_Property_List!G5</f>
        <v>#DIV/0!</v>
      </c>
      <c r="D67" s="377" t="s">
        <v>400</v>
      </c>
      <c r="E67" s="360" t="s">
        <v>401</v>
      </c>
      <c r="F67" s="360"/>
      <c r="G67" s="401">
        <f>'Pollution Costs'!$H$6</f>
        <v>1.2311736402927203</v>
      </c>
      <c r="H67" s="407"/>
    </row>
    <row r="68" spans="1:8" ht="12.75" customHeight="1" x14ac:dyDescent="0.2">
      <c r="A68" s="5"/>
      <c r="B68" s="313" t="s">
        <v>402</v>
      </c>
      <c r="C68" s="406" t="e">
        <f ca="1">IF(POT*FCC&gt;1,1,POT*FCC)</f>
        <v>#DIV/0!</v>
      </c>
      <c r="D68" s="377" t="s">
        <v>403</v>
      </c>
      <c r="E68" s="360" t="s">
        <v>404</v>
      </c>
      <c r="F68" s="360"/>
      <c r="G68" s="402">
        <f>'Pollution Costs'!$H$5</f>
        <v>0.24623472805854404</v>
      </c>
    </row>
    <row r="69" spans="1:8" ht="12.75" customHeight="1" x14ac:dyDescent="0.2">
      <c r="A69" s="5"/>
      <c r="B69" s="370" t="s">
        <v>405</v>
      </c>
      <c r="C69" s="408" t="e">
        <f ca="1">IF(C17="Group 1",(VLOOKUP("D8",INDIRECT(Scoring!C16),4,FALSE)),1)</f>
        <v>#N/A</v>
      </c>
      <c r="D69" s="377" t="s">
        <v>406</v>
      </c>
      <c r="E69" s="360" t="s">
        <v>407</v>
      </c>
      <c r="F69" s="360"/>
      <c r="G69" s="369">
        <f>G25</f>
        <v>3.7499999999999999E-2</v>
      </c>
      <c r="H69"/>
    </row>
    <row r="70" spans="1:8" ht="12.75" customHeight="1" x14ac:dyDescent="0.2">
      <c r="A70" s="5"/>
      <c r="E70" s="14"/>
      <c r="F70" s="14"/>
    </row>
    <row r="71" spans="1:8" ht="12.75" customHeight="1" x14ac:dyDescent="0.2">
      <c r="A71" s="5"/>
      <c r="B71" s="358" t="s">
        <v>408</v>
      </c>
      <c r="C71" s="408" t="e">
        <f>VLOOKUP(C16,Product_Type,3,FALSE)</f>
        <v>#N/A</v>
      </c>
      <c r="D71" s="386"/>
      <c r="E71" s="14"/>
      <c r="F71" s="14"/>
    </row>
    <row r="72" spans="1:8" ht="12.75" customHeight="1" x14ac:dyDescent="0.2">
      <c r="A72" s="5"/>
      <c r="B72" s="409" t="s">
        <v>70</v>
      </c>
      <c r="C72" s="410"/>
      <c r="E72" s="5"/>
      <c r="F72" s="14"/>
    </row>
    <row r="73" spans="1:8" ht="12.75" customHeight="1" x14ac:dyDescent="0.2">
      <c r="A73" s="5"/>
      <c r="B73" s="315" t="s">
        <v>409</v>
      </c>
      <c r="C73" s="411" t="e">
        <f ca="1">(VLOOKUP((VLOOKUP("D1.1",INDIRECT(Scoring!C16),4,FALSE)),Table_BioFuel,3,FALSE))</f>
        <v>#REF!</v>
      </c>
      <c r="D73" s="386"/>
      <c r="E73" s="5"/>
      <c r="F73" s="14"/>
    </row>
    <row r="74" spans="1:8" ht="12.75" customHeight="1" x14ac:dyDescent="0.2">
      <c r="A74" s="5"/>
      <c r="B74" s="315" t="s">
        <v>410</v>
      </c>
      <c r="C74" s="412" t="e">
        <f ca="1">C73*0.00220462</f>
        <v>#REF!</v>
      </c>
      <c r="D74" s="386"/>
      <c r="E74" s="14"/>
      <c r="F74" s="14"/>
    </row>
    <row r="75" spans="1:8" ht="12.75" customHeight="1" x14ac:dyDescent="0.2">
      <c r="A75" s="5"/>
      <c r="B75" s="315" t="s">
        <v>411</v>
      </c>
      <c r="C75" s="413" t="e">
        <f ca="1">C74*G66</f>
        <v>#REF!</v>
      </c>
      <c r="D75" s="386"/>
      <c r="E75" s="14"/>
      <c r="F75" s="14"/>
    </row>
    <row r="76" spans="1:8" ht="12.75" customHeight="1" x14ac:dyDescent="0.2">
      <c r="A76" s="5"/>
      <c r="B76" s="315" t="s">
        <v>412</v>
      </c>
      <c r="C76" s="413" t="e">
        <f ca="1">(VLOOKUP("D1.2",INDIRECT(Scoring!C16),4,FALSE))</f>
        <v>#REF!</v>
      </c>
      <c r="D76" s="386"/>
      <c r="E76" s="14"/>
      <c r="F76" s="14"/>
    </row>
    <row r="77" spans="1:8" ht="12.75" customHeight="1" x14ac:dyDescent="0.2">
      <c r="A77" s="5"/>
      <c r="B77" s="315" t="s">
        <v>413</v>
      </c>
      <c r="C77" s="413" t="e">
        <f ca="1">C75/(VLOOKUP(C76,TableConversion,3,FALSE))</f>
        <v>#REF!</v>
      </c>
      <c r="D77" s="386"/>
      <c r="E77" s="14"/>
      <c r="F77" s="14"/>
    </row>
    <row r="78" spans="1:8" ht="12.75" customHeight="1" x14ac:dyDescent="0.2">
      <c r="A78" s="5"/>
      <c r="B78" s="315" t="s">
        <v>414</v>
      </c>
      <c r="C78" s="345" t="e">
        <f ca="1">C77*AS</f>
        <v>#REF!</v>
      </c>
      <c r="E78" s="14"/>
      <c r="F78" s="14"/>
    </row>
    <row r="79" spans="1:8" ht="12.75" customHeight="1" x14ac:dyDescent="0.2">
      <c r="A79" s="5"/>
      <c r="B79" s="414" t="s">
        <v>415</v>
      </c>
      <c r="C79" s="415" t="e">
        <f ca="1">-PV($G$69,WALS,C78*MIU)</f>
        <v>#DIV/0!</v>
      </c>
      <c r="E79" s="14"/>
      <c r="F79" s="14"/>
    </row>
    <row r="80" spans="1:8" ht="12.75" customHeight="1" x14ac:dyDescent="0.2">
      <c r="A80" s="5"/>
      <c r="B80" s="409" t="s">
        <v>416</v>
      </c>
      <c r="C80" s="315"/>
      <c r="D80" s="416"/>
      <c r="F80" s="14"/>
    </row>
    <row r="81" spans="1:7" ht="12.75" customHeight="1" x14ac:dyDescent="0.2">
      <c r="A81" s="5"/>
      <c r="B81" s="358" t="s">
        <v>417</v>
      </c>
      <c r="C81" s="417" t="e">
        <f ca="1">(VLOOKUP((VLOOKUP("E1",INDIRECT(Scoring!C16),4,FALSE)),TableConversion,2,FALSE))*(VLOOKUP("E2",INDIRECT(Scoring!C16),4,FALSE))</f>
        <v>#REF!</v>
      </c>
      <c r="D81" s="416"/>
      <c r="E81" s="5"/>
      <c r="F81" s="14"/>
    </row>
    <row r="82" spans="1:7" ht="12.75" customHeight="1" x14ac:dyDescent="0.2">
      <c r="A82" s="5"/>
      <c r="B82" s="315" t="s">
        <v>418</v>
      </c>
      <c r="C82" s="418" t="e">
        <f ca="1">C81*G64</f>
        <v>#REF!</v>
      </c>
      <c r="D82" s="377"/>
      <c r="E82" s="407"/>
    </row>
    <row r="83" spans="1:7" ht="12.75" customHeight="1" x14ac:dyDescent="0.2">
      <c r="A83" s="5"/>
      <c r="B83" s="370" t="s">
        <v>419</v>
      </c>
      <c r="C83" s="419" t="e">
        <f ca="1">(VLOOKUP((VLOOKUP("E1",INDIRECT(Scoring!C16),4,FALSE)),TableConversion,2,FALSE))*(VLOOKUP("E4",INDIRECT(Scoring!C16),4,FALSE))</f>
        <v>#REF!</v>
      </c>
      <c r="D83" s="416"/>
      <c r="E83" s="407"/>
    </row>
    <row r="84" spans="1:7" ht="12.75" customHeight="1" x14ac:dyDescent="0.2">
      <c r="A84" s="5"/>
      <c r="B84" s="358" t="s">
        <v>420</v>
      </c>
      <c r="C84" s="419" t="e">
        <f ca="1">(VLOOKUP((VLOOKUP("E1",INDIRECT(Scoring!C16),4,FALSE)),TableConversion,2,FALSE))*(VLOOKUP("E5",INDIRECT(Scoring!C16),4,FALSE))</f>
        <v>#REF!</v>
      </c>
      <c r="D84" s="416"/>
      <c r="E84" s="407"/>
    </row>
    <row r="85" spans="1:7" ht="12.75" customHeight="1" x14ac:dyDescent="0.2">
      <c r="A85" s="5"/>
      <c r="B85" s="358" t="s">
        <v>2656</v>
      </c>
      <c r="C85" s="419" t="e">
        <f ca="1">(VLOOKUP((VLOOKUP("E1",INDIRECT(Scoring!C16),4,FALSE)),TableConversion,2,FALSE))*(VLOOKUP("E6",INDIRECT(Scoring!C16),4,FALSE))</f>
        <v>#REF!</v>
      </c>
      <c r="D85" s="416"/>
      <c r="E85" s="407"/>
    </row>
    <row r="86" spans="1:7" ht="12.75" customHeight="1" x14ac:dyDescent="0.2">
      <c r="A86" s="5"/>
      <c r="B86" s="358" t="s">
        <v>421</v>
      </c>
      <c r="C86" s="419" t="e">
        <f ca="1">(VLOOKUP((VLOOKUP("E1",INDIRECT(Scoring!C16),4,FALSE)),TableConversion,2,FALSE))*(VLOOKUP("E7",INDIRECT(Scoring!C16),4,FALSE))</f>
        <v>#REF!</v>
      </c>
      <c r="D86" s="416"/>
      <c r="E86" s="407"/>
    </row>
    <row r="87" spans="1:7" ht="12.75" customHeight="1" x14ac:dyDescent="0.2">
      <c r="A87" s="5"/>
      <c r="B87" s="420" t="s">
        <v>422</v>
      </c>
      <c r="C87" s="419" t="e">
        <f ca="1">(VLOOKUP((VLOOKUP("E1",INDIRECT(Scoring!C16),4,FALSE)),TableConversion,2,FALSE))*(VLOOKUP("E8",INDIRECT(Scoring!C16),4,FALSE))</f>
        <v>#REF!</v>
      </c>
      <c r="D87" s="416"/>
      <c r="E87" s="407"/>
    </row>
    <row r="88" spans="1:7" ht="12.75" customHeight="1" x14ac:dyDescent="0.2">
      <c r="A88" s="5"/>
      <c r="B88" s="313" t="s">
        <v>423</v>
      </c>
      <c r="C88" s="418" t="e">
        <f ca="1">(C83*$G$66*C81+C84*$G$67*C81*POSCA+C85*$G$68*C81*POSCA+C86*C87)*-1</f>
        <v>#REF!</v>
      </c>
      <c r="E88" s="1"/>
      <c r="G88" s="421"/>
    </row>
    <row r="89" spans="1:7" ht="12.75" customHeight="1" x14ac:dyDescent="0.2">
      <c r="A89" s="5"/>
      <c r="B89" s="313" t="s">
        <v>424</v>
      </c>
      <c r="C89" s="418" t="e">
        <f ca="1">C88+C82</f>
        <v>#REF!</v>
      </c>
      <c r="E89" s="407"/>
      <c r="G89" s="421"/>
    </row>
    <row r="90" spans="1:7" ht="12.75" customHeight="1" x14ac:dyDescent="0.2">
      <c r="A90" s="5"/>
      <c r="B90" s="313" t="s">
        <v>425</v>
      </c>
      <c r="C90" s="418" t="e">
        <f ca="1">-PV($G$69,ULOP,C89)</f>
        <v>#N/A</v>
      </c>
      <c r="E90" s="407"/>
      <c r="G90" s="421"/>
    </row>
    <row r="91" spans="1:7" ht="12.75" customHeight="1" x14ac:dyDescent="0.2">
      <c r="A91" s="5"/>
      <c r="B91" s="313" t="s">
        <v>402</v>
      </c>
      <c r="C91" s="418" t="e">
        <f ca="1">C90*AS</f>
        <v>#N/A</v>
      </c>
      <c r="E91" s="407"/>
    </row>
    <row r="92" spans="1:7" ht="12.75" customHeight="1" x14ac:dyDescent="0.2">
      <c r="A92" s="5"/>
      <c r="B92" s="414" t="s">
        <v>426</v>
      </c>
      <c r="C92" s="415" t="e">
        <f ca="1">-PV($G$69,WALS,C91*MIU)</f>
        <v>#DIV/0!</v>
      </c>
      <c r="D92" s="5" t="s">
        <v>427</v>
      </c>
      <c r="E92" s="407"/>
    </row>
    <row r="93" spans="1:7" ht="12.75" customHeight="1" x14ac:dyDescent="0.2">
      <c r="A93" s="5"/>
      <c r="B93" s="409" t="s">
        <v>428</v>
      </c>
      <c r="C93" s="345"/>
      <c r="E93" s="407"/>
      <c r="G93" s="422"/>
    </row>
    <row r="94" spans="1:7" ht="12.75" customHeight="1" x14ac:dyDescent="0.2">
      <c r="A94" s="5"/>
      <c r="B94" s="358" t="s">
        <v>429</v>
      </c>
      <c r="C94" s="378" t="e">
        <f ca="1">(VLOOKUP("E10",INDIRECT(Scoring!C16),4,FALSE))</f>
        <v>#REF!</v>
      </c>
      <c r="D94" s="423"/>
      <c r="E94" s="407"/>
    </row>
    <row r="95" spans="1:7" ht="12.75" customHeight="1" x14ac:dyDescent="0.2">
      <c r="A95" s="5"/>
      <c r="B95" s="358" t="s">
        <v>430</v>
      </c>
      <c r="C95" s="378" t="e">
        <f ca="1">(VLOOKUP("E11",INDIRECT(Scoring!C16),4,FALSE))</f>
        <v>#REF!</v>
      </c>
      <c r="D95" s="423"/>
      <c r="E95" s="407"/>
    </row>
    <row r="96" spans="1:7" ht="12.75" customHeight="1" x14ac:dyDescent="0.2">
      <c r="A96" s="5"/>
      <c r="B96" s="315" t="s">
        <v>431</v>
      </c>
      <c r="C96" s="424" t="e">
        <f ca="1">C94-C95</f>
        <v>#REF!</v>
      </c>
      <c r="D96" s="5" t="s">
        <v>432</v>
      </c>
      <c r="E96" s="425"/>
    </row>
    <row r="97" spans="1:9" ht="12.75" customHeight="1" x14ac:dyDescent="0.2">
      <c r="A97" s="5"/>
      <c r="B97" s="315" t="s">
        <v>433</v>
      </c>
      <c r="C97" s="426" t="e">
        <f ca="1">(VLOOKUP("E9",INDIRECT(Scoring!C16),4,FALSE))</f>
        <v>#REF!</v>
      </c>
      <c r="E97" s="407"/>
    </row>
    <row r="98" spans="1:9" ht="12.75" customHeight="1" x14ac:dyDescent="0.2">
      <c r="A98" s="5"/>
      <c r="B98" s="315" t="s">
        <v>434</v>
      </c>
      <c r="C98" s="426" t="e">
        <f ca="1">(VLOOKUP(C97,TableConversion,2,FALSE))*NI</f>
        <v>#REF!</v>
      </c>
      <c r="D98" s="423"/>
      <c r="E98" s="407"/>
    </row>
    <row r="99" spans="1:9" ht="12.75" customHeight="1" x14ac:dyDescent="0.2">
      <c r="A99" s="4"/>
      <c r="B99" s="315" t="s">
        <v>435</v>
      </c>
      <c r="C99" s="418" t="e">
        <f ca="1">C98*G64</f>
        <v>#REF!</v>
      </c>
      <c r="E99" s="407"/>
    </row>
    <row r="100" spans="1:9" x14ac:dyDescent="0.2">
      <c r="A100" s="4"/>
      <c r="B100" s="313" t="s">
        <v>436</v>
      </c>
      <c r="C100" s="418" t="e">
        <f ca="1">-PV(G69,ULOP,C99)</f>
        <v>#N/A</v>
      </c>
      <c r="D100" s="5" t="s">
        <v>437</v>
      </c>
      <c r="E100" s="407"/>
    </row>
    <row r="101" spans="1:9" x14ac:dyDescent="0.2">
      <c r="A101" s="4"/>
      <c r="B101" s="313" t="s">
        <v>402</v>
      </c>
      <c r="C101" s="418" t="e">
        <f ca="1">C100*AS</f>
        <v>#N/A</v>
      </c>
      <c r="E101" s="407"/>
    </row>
    <row r="102" spans="1:9" x14ac:dyDescent="0.2">
      <c r="A102" s="4"/>
      <c r="B102" s="414" t="s">
        <v>438</v>
      </c>
      <c r="C102" s="415" t="e">
        <f ca="1">-PV(G69,WALS,C101*MIU)</f>
        <v>#DIV/0!</v>
      </c>
      <c r="D102" s="5" t="s">
        <v>427</v>
      </c>
      <c r="E102" s="407"/>
    </row>
    <row r="103" spans="1:9" x14ac:dyDescent="0.2">
      <c r="A103" s="4"/>
      <c r="B103" s="409" t="s">
        <v>439</v>
      </c>
      <c r="C103" s="345"/>
      <c r="D103" s="377"/>
      <c r="E103" s="407"/>
    </row>
    <row r="104" spans="1:9" x14ac:dyDescent="0.2">
      <c r="A104" s="4"/>
      <c r="B104" s="358" t="s">
        <v>429</v>
      </c>
      <c r="C104" s="378" t="e">
        <f ca="1">(VLOOKUP("E12",INDIRECT(Scoring!C16),4,FALSE))</f>
        <v>#REF!</v>
      </c>
      <c r="D104" s="377"/>
      <c r="E104" s="407"/>
    </row>
    <row r="105" spans="1:9" x14ac:dyDescent="0.2">
      <c r="A105" s="4"/>
      <c r="B105" s="358" t="s">
        <v>430</v>
      </c>
      <c r="C105" s="378" t="e">
        <f ca="1">(VLOOKUP("E13",INDIRECT(Scoring!C16),4,FALSE))</f>
        <v>#REF!</v>
      </c>
      <c r="D105" s="377"/>
      <c r="E105" s="407"/>
    </row>
    <row r="106" spans="1:9" x14ac:dyDescent="0.2">
      <c r="A106" s="4"/>
      <c r="B106" s="315" t="s">
        <v>440</v>
      </c>
      <c r="C106" s="424" t="e">
        <f ca="1">C104-C105</f>
        <v>#REF!</v>
      </c>
      <c r="D106" s="377"/>
      <c r="E106" s="407"/>
    </row>
    <row r="107" spans="1:9" x14ac:dyDescent="0.2">
      <c r="A107" s="4"/>
      <c r="B107" s="315" t="s">
        <v>418</v>
      </c>
      <c r="C107" s="418" t="e">
        <f ca="1">C106*G63</f>
        <v>#REF!</v>
      </c>
      <c r="D107" s="377"/>
      <c r="E107" s="407"/>
    </row>
    <row r="108" spans="1:9" x14ac:dyDescent="0.2">
      <c r="A108" s="4"/>
      <c r="B108" s="358" t="s">
        <v>441</v>
      </c>
      <c r="C108" s="378" t="e">
        <f ca="1">(VLOOKUP("E14",INDIRECT(Scoring!C16),4,FALSE))</f>
        <v>#REF!</v>
      </c>
      <c r="D108" s="377"/>
      <c r="E108" s="407"/>
    </row>
    <row r="109" spans="1:9" x14ac:dyDescent="0.2">
      <c r="A109" s="4"/>
      <c r="B109" s="315" t="s">
        <v>442</v>
      </c>
      <c r="C109" s="366" t="e">
        <f ca="1">C108*Scoring!G64*-1</f>
        <v>#REF!</v>
      </c>
      <c r="E109" s="407"/>
    </row>
    <row r="110" spans="1:9" ht="12.75" customHeight="1" x14ac:dyDescent="0.2">
      <c r="A110" s="4"/>
      <c r="B110" s="315" t="s">
        <v>443</v>
      </c>
      <c r="C110" s="418" t="e">
        <f ca="1">C107+C109</f>
        <v>#REF!</v>
      </c>
      <c r="E110" s="407"/>
      <c r="I110" s="3"/>
    </row>
    <row r="111" spans="1:9" ht="12.75" customHeight="1" x14ac:dyDescent="0.2">
      <c r="A111" s="4"/>
      <c r="B111" s="313" t="s">
        <v>425</v>
      </c>
      <c r="C111" s="418" t="e">
        <f ca="1">-PV(G69,ULOP,C110)</f>
        <v>#N/A</v>
      </c>
      <c r="D111" s="5" t="s">
        <v>437</v>
      </c>
      <c r="H111"/>
      <c r="I111" s="3"/>
    </row>
    <row r="112" spans="1:9" ht="12.75" customHeight="1" x14ac:dyDescent="0.2">
      <c r="A112" s="4"/>
      <c r="B112" s="313" t="s">
        <v>402</v>
      </c>
      <c r="C112" s="418" t="e">
        <f ca="1">C111*AS</f>
        <v>#N/A</v>
      </c>
      <c r="H112"/>
      <c r="I112" s="3"/>
    </row>
    <row r="113" spans="1:9" ht="12.75" customHeight="1" x14ac:dyDescent="0.2">
      <c r="A113" s="4"/>
      <c r="B113" s="414" t="s">
        <v>444</v>
      </c>
      <c r="C113" s="415" t="e">
        <f ca="1">-PV(G69,WALS,C112*MIU)</f>
        <v>#DIV/0!</v>
      </c>
      <c r="D113" s="5" t="s">
        <v>427</v>
      </c>
      <c r="H113"/>
      <c r="I113" s="3"/>
    </row>
    <row r="114" spans="1:9" ht="12.75" customHeight="1" x14ac:dyDescent="0.2">
      <c r="A114" s="4"/>
      <c r="B114" s="409" t="s">
        <v>80</v>
      </c>
      <c r="C114" s="415"/>
      <c r="H114"/>
      <c r="I114" s="3"/>
    </row>
    <row r="115" spans="1:9" ht="12.75" customHeight="1" x14ac:dyDescent="0.2">
      <c r="A115" s="4"/>
      <c r="B115" s="427" t="s">
        <v>445</v>
      </c>
      <c r="C115" s="428" t="e">
        <f ca="1">VLOOKUP((VLOOKUP("D1.1",INDIRECT(Scoring!C16),4,FALSE)),WARM_Model,4,FALSE)</f>
        <v>#REF!</v>
      </c>
      <c r="D115" s="429" t="s">
        <v>446</v>
      </c>
      <c r="H115"/>
      <c r="I115" s="3"/>
    </row>
    <row r="116" spans="1:9" ht="12.75" customHeight="1" x14ac:dyDescent="0.2">
      <c r="A116" s="4"/>
      <c r="B116" s="427" t="s">
        <v>447</v>
      </c>
      <c r="C116" s="428" t="e">
        <f ca="1">VLOOKUP((VLOOKUP("D1.1",INDIRECT(Scoring!C16),4,FALSE)),WARM_Model,3,FALSE)</f>
        <v>#REF!</v>
      </c>
      <c r="D116" s="429" t="s">
        <v>448</v>
      </c>
      <c r="H116"/>
      <c r="I116" s="3"/>
    </row>
    <row r="117" spans="1:9" ht="12.75" customHeight="1" x14ac:dyDescent="0.2">
      <c r="A117" s="4"/>
      <c r="B117" s="430" t="s">
        <v>449</v>
      </c>
      <c r="C117" s="415" t="e">
        <f ca="1">VCS/((VLOOKUP("D2",INDIRECT(Scoring!C16),4,FALSE)))</f>
        <v>#REF!</v>
      </c>
      <c r="D117" s="429"/>
      <c r="E117" s="431"/>
      <c r="H117"/>
      <c r="I117" s="3"/>
    </row>
    <row r="118" spans="1:9" ht="12.75" customHeight="1" x14ac:dyDescent="0.2">
      <c r="A118" s="4"/>
      <c r="B118" s="432" t="s">
        <v>450</v>
      </c>
      <c r="C118" s="433" t="e">
        <f ca="1">C29/(-PV(Discount_rate,WALS,(C21+C23+(VLOOKUP("D2",INDIRECT(Scoring!C16),4,FALSE))*(VLOOKUP("D4",INDIRECT(Scoring!C16),4,FALSE)))))</f>
        <v>#DIV/0!</v>
      </c>
      <c r="D118" s="429" t="s">
        <v>451</v>
      </c>
      <c r="H118"/>
      <c r="I118" s="3"/>
    </row>
    <row r="119" spans="1:9" ht="12.75" customHeight="1" x14ac:dyDescent="0.2">
      <c r="A119" s="4"/>
      <c r="B119" s="427" t="s">
        <v>452</v>
      </c>
      <c r="C119" s="433" t="e">
        <f ca="1">C118*(C115*C116)/(C115+C116)</f>
        <v>#DIV/0!</v>
      </c>
      <c r="D119" s="429" t="s">
        <v>453</v>
      </c>
      <c r="H119"/>
      <c r="I119" s="3"/>
    </row>
    <row r="120" spans="1:9" ht="12.75" customHeight="1" x14ac:dyDescent="0.2">
      <c r="A120" s="4"/>
      <c r="B120" s="430" t="s">
        <v>454</v>
      </c>
      <c r="C120" s="434" t="e">
        <f ca="1">C119*(1-C119)*(VLOOKUP("D2",INDIRECT(Scoring!C16),4,FALSE))</f>
        <v>#DIV/0!</v>
      </c>
      <c r="D120" s="429" t="s">
        <v>455</v>
      </c>
      <c r="H120"/>
      <c r="I120" s="3"/>
    </row>
    <row r="121" spans="1:9" ht="12.75" customHeight="1" x14ac:dyDescent="0.2">
      <c r="A121" s="4"/>
      <c r="B121" s="430" t="s">
        <v>456</v>
      </c>
      <c r="C121" s="428" t="e">
        <f ca="1">VLOOKUP((VLOOKUP("D1.1",INDIRECT(Scoring!C16),4,FALSE)),WARM_Model,2,FALSE)</f>
        <v>#REF!</v>
      </c>
      <c r="H121"/>
      <c r="I121" s="3"/>
    </row>
    <row r="122" spans="1:9" ht="12.75" customHeight="1" x14ac:dyDescent="0.2">
      <c r="A122" s="4"/>
      <c r="B122" s="430" t="s">
        <v>457</v>
      </c>
      <c r="C122" s="435" t="e">
        <f ca="1">C121*C120</f>
        <v>#REF!</v>
      </c>
      <c r="H122"/>
      <c r="I122" s="3"/>
    </row>
    <row r="123" spans="1:9" ht="12.75" customHeight="1" x14ac:dyDescent="0.2">
      <c r="A123" s="4"/>
      <c r="B123" s="414" t="s">
        <v>458</v>
      </c>
      <c r="C123" s="436" t="e">
        <f ca="1">-PV(Discount_rate,WALS,C122*G66*2206)</f>
        <v>#DIV/0!</v>
      </c>
      <c r="H123"/>
      <c r="I123" s="3"/>
    </row>
    <row r="124" spans="1:9" ht="12.75" customHeight="1" x14ac:dyDescent="0.2">
      <c r="A124" s="5"/>
      <c r="B124" s="409" t="str">
        <f>A294</f>
        <v>Other_Application_Types</v>
      </c>
      <c r="C124" s="415"/>
      <c r="H124"/>
    </row>
    <row r="125" spans="1:9" ht="12.75" customHeight="1" x14ac:dyDescent="0.2">
      <c r="A125" s="5"/>
      <c r="B125" s="437" t="s">
        <v>459</v>
      </c>
      <c r="C125" s="404" t="e">
        <f ca="1">(VLOOKUP("E24",INDIRECT(Scoring!C16),4,FALSE))</f>
        <v>#REF!</v>
      </c>
      <c r="E125" s="407"/>
    </row>
    <row r="126" spans="1:9" ht="12.75" customHeight="1" x14ac:dyDescent="0.2">
      <c r="A126" s="5"/>
      <c r="B126" s="437" t="s">
        <v>460</v>
      </c>
      <c r="C126" s="404" t="e">
        <f ca="1">(VLOOKUP("E25",INDIRECT(Scoring!C16),4,FALSE))</f>
        <v>#REF!</v>
      </c>
      <c r="E126" s="407"/>
    </row>
    <row r="127" spans="1:9" ht="12.75" customHeight="1" x14ac:dyDescent="0.2">
      <c r="A127" s="5"/>
      <c r="B127" s="313" t="s">
        <v>424</v>
      </c>
      <c r="C127" s="418" t="e">
        <f ca="1">C125-C126</f>
        <v>#REF!</v>
      </c>
      <c r="E127" s="407"/>
    </row>
    <row r="128" spans="1:9" ht="12.75" customHeight="1" x14ac:dyDescent="0.2">
      <c r="A128" s="5"/>
      <c r="B128" s="313" t="s">
        <v>425</v>
      </c>
      <c r="C128" s="418" t="e">
        <f ca="1">-PV(G69,ULOP,C127)</f>
        <v>#N/A</v>
      </c>
      <c r="D128" s="5" t="s">
        <v>437</v>
      </c>
      <c r="E128" s="407"/>
    </row>
    <row r="129" spans="1:9" ht="12.75" customHeight="1" x14ac:dyDescent="0.2">
      <c r="A129" s="5"/>
      <c r="B129" s="313" t="s">
        <v>402</v>
      </c>
      <c r="C129" s="418" t="e">
        <f ca="1">C128*AS</f>
        <v>#N/A</v>
      </c>
      <c r="E129" s="407"/>
    </row>
    <row r="130" spans="1:9" ht="12.75" customHeight="1" x14ac:dyDescent="0.2">
      <c r="A130" s="5"/>
      <c r="B130" s="414" t="s">
        <v>461</v>
      </c>
      <c r="C130" s="415" t="e">
        <f ca="1">-PV($G$69,WALS,C129*MIU)</f>
        <v>#DIV/0!</v>
      </c>
      <c r="D130" s="5" t="s">
        <v>427</v>
      </c>
      <c r="E130" s="407"/>
    </row>
    <row r="131" spans="1:9" ht="12.75" customHeight="1" x14ac:dyDescent="0.2">
      <c r="A131" s="4"/>
      <c r="B131" s="438" t="s">
        <v>462</v>
      </c>
      <c r="C131" s="400" t="e">
        <f>VLOOKUP(C16&amp;"-Total Pollution Benefit (life of facility)", Environmental_benefits, 2, FALSE)</f>
        <v>#N/A</v>
      </c>
      <c r="D131" s="386"/>
      <c r="E131" s="407"/>
      <c r="I131" s="3"/>
    </row>
    <row r="132" spans="1:9" ht="12.75" customHeight="1" x14ac:dyDescent="0.2">
      <c r="A132" s="4"/>
      <c r="B132" s="5"/>
      <c r="C132" s="439"/>
      <c r="E132" s="407"/>
      <c r="I132" s="3"/>
    </row>
    <row r="133" spans="1:9" ht="12.75" customHeight="1" x14ac:dyDescent="0.2">
      <c r="A133" s="4"/>
      <c r="B133" s="438" t="s">
        <v>463</v>
      </c>
      <c r="C133" s="440"/>
      <c r="E133" s="407"/>
      <c r="I133" s="3"/>
    </row>
    <row r="134" spans="1:9" ht="12.75" customHeight="1" x14ac:dyDescent="0.2">
      <c r="A134" s="4"/>
      <c r="B134" s="441" t="s">
        <v>464</v>
      </c>
      <c r="C134" s="440" t="e">
        <f ca="1">IF((VLOOKUP("E16",INDIRECT(Scoring!C16),4,FALSE))="yes",5,0)</f>
        <v>#REF!</v>
      </c>
      <c r="E134" s="407"/>
      <c r="I134" s="3"/>
    </row>
    <row r="135" spans="1:9" ht="12.75" customHeight="1" x14ac:dyDescent="0.2">
      <c r="A135" s="4"/>
      <c r="B135" s="441" t="s">
        <v>465</v>
      </c>
      <c r="C135" s="440" t="e">
        <f ca="1">IF((IF((VLOOKUP("E17",INDIRECT(Scoring!C16),4,FALSE))&gt;=0.05,(VLOOKUP("E17",INDIRECT(Scoring!C16),4,FALSE))*100,0))&gt;30,30,(IF((VLOOKUP("E17",INDIRECT(Scoring!C16),4,FALSE))&gt;=0.05,(VLOOKUP("E17",INDIRECT(Scoring!C16),4,FALSE))*100,0)))</f>
        <v>#REF!</v>
      </c>
      <c r="E135" s="407"/>
      <c r="I135" s="3"/>
    </row>
    <row r="136" spans="1:9" ht="12.75" customHeight="1" x14ac:dyDescent="0.2">
      <c r="A136" s="4"/>
      <c r="B136" s="441" t="s">
        <v>466</v>
      </c>
      <c r="C136" s="440" t="e">
        <f ca="1">IF((IF((VLOOKUP("E18",INDIRECT(Scoring!C16),4,FALSE))&gt;=0.05,(VLOOKUP("E18",INDIRECT(Scoring!C16),4,FALSE))*100,0))&gt;30,30,(IF((VLOOKUP("E18",INDIRECT(Scoring!C16),4,FALSE))&gt;=0.05,(VLOOKUP("E18",INDIRECT(Scoring!C16),4,FALSE))*100,0)))</f>
        <v>#REF!</v>
      </c>
      <c r="E136" s="407"/>
      <c r="I136" s="3"/>
    </row>
    <row r="137" spans="1:9" ht="12.75" customHeight="1" x14ac:dyDescent="0.2">
      <c r="A137" s="4"/>
      <c r="B137" s="441" t="s">
        <v>467</v>
      </c>
      <c r="C137" s="440" t="e">
        <f ca="1">IF((IF((VLOOKUP("E19",INDIRECT(Scoring!C16),4,FALSE))&gt;=0.05,(VLOOKUP("E19",INDIRECT(Scoring!C16),4,FALSE))*100,0))&gt;30,30,(IF((VLOOKUP("E19",INDIRECT(Scoring!C16),4,FALSE))&gt;=0.05,(VLOOKUP("E19",INDIRECT(Scoring!C16),4,FALSE))*100,0)))</f>
        <v>#REF!</v>
      </c>
      <c r="E137" s="407"/>
      <c r="I137" s="3"/>
    </row>
    <row r="138" spans="1:9" ht="12.75" customHeight="1" x14ac:dyDescent="0.2">
      <c r="A138" s="4"/>
      <c r="B138" s="441" t="s">
        <v>468</v>
      </c>
      <c r="C138" s="440" t="e">
        <f ca="1">IF((IF((VLOOKUP("E20",INDIRECT(Scoring!C16),4,FALSE))&gt;=0.05,(VLOOKUP("E20",INDIRECT(Scoring!C16),4,FALSE))*100,0))&gt;30,30,(IF((VLOOKUP("E20",INDIRECT(Scoring!C16),4,FALSE))&gt;=0.05,(VLOOKUP("E20",INDIRECT(Scoring!C16),4,FALSE))*100,0)))</f>
        <v>#REF!</v>
      </c>
      <c r="E138" s="407"/>
      <c r="I138" s="3"/>
    </row>
    <row r="139" spans="1:9" ht="12.75" customHeight="1" x14ac:dyDescent="0.2">
      <c r="A139" s="4"/>
      <c r="B139" s="441" t="s">
        <v>469</v>
      </c>
      <c r="C139" s="440" t="e">
        <f ca="1">IF((IF((VLOOKUP("E21",INDIRECT(Scoring!C16),4,FALSE))&gt;=0.05,(VLOOKUP("E21",INDIRECT(Scoring!C16),4,FALSE))*100,0))&gt;30,30,(IF((VLOOKUP("E21",INDIRECT(Scoring!C16),4,FALSE))&gt;=0.05,(VLOOKUP("E21",INDIRECT(Scoring!C16),4,FALSE))*100,0)))</f>
        <v>#REF!</v>
      </c>
      <c r="E139" s="407"/>
      <c r="I139" s="3"/>
    </row>
    <row r="140" spans="1:9" ht="12.75" customHeight="1" x14ac:dyDescent="0.2">
      <c r="A140" s="4"/>
      <c r="B140" s="441" t="s">
        <v>470</v>
      </c>
      <c r="C140" s="440" t="e">
        <f ca="1">IF((IF((VLOOKUP("E22",INDIRECT(Scoring!C16),4,FALSE))&gt;=0.05,(VLOOKUP("E22",INDIRECT(Scoring!C16),4,FALSE))*100,0))&gt;30,30,(IF((VLOOKUP("E22",INDIRECT(Scoring!C16),4,FALSE))&gt;=0.05,(VLOOKUP("E22",INDIRECT(Scoring!C16),4,FALSE))*100,0)))</f>
        <v>#REF!</v>
      </c>
      <c r="E140" s="407"/>
      <c r="I140" s="3"/>
    </row>
    <row r="141" spans="1:9" ht="12.75" customHeight="1" x14ac:dyDescent="0.2">
      <c r="A141" s="4"/>
      <c r="B141" s="442" t="s">
        <v>471</v>
      </c>
      <c r="C141" s="440" t="e">
        <f ca="1">SUM(C134:C140)</f>
        <v>#REF!</v>
      </c>
      <c r="E141" s="407"/>
      <c r="I141" s="3"/>
    </row>
    <row r="142" spans="1:9" ht="12.75" customHeight="1" x14ac:dyDescent="0.2">
      <c r="A142" s="4"/>
      <c r="B142" s="407"/>
      <c r="C142" s="443"/>
      <c r="E142" s="407"/>
      <c r="I142" s="3"/>
    </row>
    <row r="143" spans="1:9" ht="12.75" customHeight="1" x14ac:dyDescent="0.2">
      <c r="A143" s="4"/>
      <c r="B143" s="350" t="s">
        <v>472</v>
      </c>
      <c r="C143" s="439"/>
      <c r="E143" s="407"/>
      <c r="I143" s="3"/>
    </row>
    <row r="144" spans="1:9" ht="12.75" customHeight="1" x14ac:dyDescent="0.2">
      <c r="A144" s="4"/>
      <c r="B144" s="358" t="s">
        <v>473</v>
      </c>
      <c r="C144" s="444" t="e">
        <f>VLOOKUP(Applicant_Information!B8,C288:D294,2,FALSE)</f>
        <v>#N/A</v>
      </c>
      <c r="D144" s="386"/>
      <c r="E144" s="407"/>
      <c r="I144" s="3"/>
    </row>
    <row r="145" spans="1:9" ht="12.75" customHeight="1" x14ac:dyDescent="0.2">
      <c r="A145" s="4"/>
      <c r="B145" s="315" t="s">
        <v>474</v>
      </c>
      <c r="C145" s="400" t="e">
        <f ca="1">-PV(G69,ULOP,C144)</f>
        <v>#N/A</v>
      </c>
      <c r="D145" s="386"/>
      <c r="E145" s="407"/>
      <c r="I145" s="3"/>
    </row>
    <row r="146" spans="1:9" ht="12.75" customHeight="1" x14ac:dyDescent="0.2">
      <c r="A146" s="4"/>
      <c r="B146" s="315" t="s">
        <v>402</v>
      </c>
      <c r="C146" s="400" t="e">
        <f ca="1">AS*C145</f>
        <v>#DIV/0!</v>
      </c>
      <c r="E146" s="407"/>
      <c r="I146" s="3"/>
    </row>
    <row r="147" spans="1:9" ht="12.75" customHeight="1" x14ac:dyDescent="0.2">
      <c r="A147" s="4"/>
      <c r="B147" s="315" t="s">
        <v>475</v>
      </c>
      <c r="C147" s="415" t="e">
        <f ca="1">-PV($G$69,WALS,C146*MIU)</f>
        <v>#DIV/0!</v>
      </c>
      <c r="E147" s="407"/>
      <c r="I147" s="3"/>
    </row>
    <row r="148" spans="1:9" ht="12.75" customHeight="1" x14ac:dyDescent="0.2">
      <c r="A148" s="4"/>
      <c r="C148"/>
      <c r="I148" s="3"/>
    </row>
    <row r="149" spans="1:9" ht="12.75" customHeight="1" thickBot="1" x14ac:dyDescent="0.25">
      <c r="A149" s="12" t="s">
        <v>476</v>
      </c>
      <c r="B149" s="13"/>
      <c r="C149" s="357"/>
      <c r="D149" s="12"/>
      <c r="E149" s="13"/>
      <c r="F149" s="13"/>
      <c r="G149" s="13"/>
      <c r="H149" s="13"/>
      <c r="I149" s="3"/>
    </row>
    <row r="150" spans="1:9" ht="12.75" customHeight="1" thickTop="1" x14ac:dyDescent="0.2">
      <c r="A150" s="5"/>
      <c r="D150" s="11" t="s">
        <v>477</v>
      </c>
      <c r="I150" s="3"/>
    </row>
    <row r="151" spans="1:9" ht="12.75" customHeight="1" x14ac:dyDescent="0.2">
      <c r="A151" s="5"/>
      <c r="B151" s="445" t="s">
        <v>478</v>
      </c>
      <c r="C151" s="446" t="e">
        <f ca="1">TFB</f>
        <v>#REF!</v>
      </c>
      <c r="D151" s="447" t="e">
        <f ca="1">C151/$C$153*-1000</f>
        <v>#REF!</v>
      </c>
      <c r="E151" s="523" t="e">
        <f>IF(C71=4,(IF(AND(C201&gt;=1000,D152&gt;20),"Minimum Scoring Threshold Met","Minimum Scoring Threshold Not Met")),IF(AND(C201&gt;=1000,D152&gt;20),"Minimum Scoring Threshold Met","Minimum Scoring Threshold Not Met"))</f>
        <v>#N/A</v>
      </c>
      <c r="I151" s="3"/>
    </row>
    <row r="152" spans="1:9" ht="12.75" customHeight="1" x14ac:dyDescent="0.2">
      <c r="B152" s="449" t="s">
        <v>479</v>
      </c>
      <c r="C152" s="450" t="e">
        <f>IF(C71=4,0,C131+C147)</f>
        <v>#N/A</v>
      </c>
      <c r="D152" s="447" t="e">
        <f>IF(C71=4,C141,C152/$C$153*-1000)</f>
        <v>#N/A</v>
      </c>
      <c r="I152" s="3"/>
    </row>
    <row r="153" spans="1:9" ht="12.75" customHeight="1" x14ac:dyDescent="0.25">
      <c r="A153" s="8"/>
      <c r="B153" s="451" t="s">
        <v>480</v>
      </c>
      <c r="C153" s="452">
        <f>VQP*STR*-1</f>
        <v>0</v>
      </c>
      <c r="E153" s="453"/>
      <c r="I153" s="3"/>
    </row>
    <row r="154" spans="1:9" ht="12.75" customHeight="1" x14ac:dyDescent="0.25">
      <c r="A154" s="8"/>
      <c r="B154" s="454" t="s">
        <v>481</v>
      </c>
      <c r="C154" s="455" t="e">
        <f ca="1">SUM(C151:C153)</f>
        <v>#REF!</v>
      </c>
      <c r="I154" s="3"/>
    </row>
    <row r="155" spans="1:9" ht="12.75" customHeight="1" x14ac:dyDescent="0.25">
      <c r="A155" s="8"/>
      <c r="I155" s="3"/>
    </row>
    <row r="156" spans="1:9" ht="12.75" customHeight="1" x14ac:dyDescent="0.25">
      <c r="A156" s="8"/>
      <c r="B156" s="456" t="s">
        <v>482</v>
      </c>
      <c r="C156" s="457" t="e">
        <f ca="1">SUM(D151:D152)</f>
        <v>#REF!</v>
      </c>
      <c r="D156" s="447"/>
    </row>
    <row r="157" spans="1:9" ht="12.75" customHeight="1" x14ac:dyDescent="0.25">
      <c r="A157" s="8"/>
      <c r="B157" s="131"/>
      <c r="C157" s="458"/>
    </row>
    <row r="158" spans="1:9" ht="12.75" customHeight="1" thickBot="1" x14ac:dyDescent="0.25">
      <c r="A158" s="12" t="s">
        <v>483</v>
      </c>
      <c r="B158" s="13"/>
      <c r="C158" s="357"/>
      <c r="D158" s="12"/>
      <c r="E158" s="13"/>
      <c r="F158" s="13"/>
      <c r="G158" s="13"/>
      <c r="H158" s="13"/>
    </row>
    <row r="159" spans="1:9" ht="12.75" customHeight="1" thickTop="1" x14ac:dyDescent="0.2">
      <c r="A159" s="5"/>
      <c r="E159" s="14" t="s">
        <v>307</v>
      </c>
      <c r="F159" s="14"/>
    </row>
    <row r="160" spans="1:9" ht="12.75" customHeight="1" x14ac:dyDescent="0.25">
      <c r="A160" s="8"/>
      <c r="B160" s="459" t="s">
        <v>484</v>
      </c>
      <c r="C160" s="7"/>
      <c r="E160" s="360" t="s">
        <v>485</v>
      </c>
      <c r="F160" s="360"/>
      <c r="G160" s="460">
        <f>'External Data'!H8</f>
        <v>5.2916666666666654E-2</v>
      </c>
    </row>
    <row r="161" spans="1:7" ht="12.75" customHeight="1" x14ac:dyDescent="0.25">
      <c r="A161" s="8"/>
      <c r="B161" s="461" t="s">
        <v>486</v>
      </c>
      <c r="C161" s="462">
        <f>VLOOKUP(Applicant_Information!E53,City_County,2,FALSE)</f>
        <v>0</v>
      </c>
    </row>
    <row r="162" spans="1:7" ht="12.75" customHeight="1" x14ac:dyDescent="0.25">
      <c r="A162" s="8"/>
      <c r="B162" s="463" t="s">
        <v>487</v>
      </c>
      <c r="C162" s="464">
        <f>IF(((C161/G160*100)-100)&lt;0,0,IF(((C161/G160*100)-100)&gt;50,50,(C161/G160*100)-100))</f>
        <v>0</v>
      </c>
      <c r="E162" s="360" t="s">
        <v>488</v>
      </c>
      <c r="F162" s="360"/>
      <c r="G162" s="465"/>
    </row>
    <row r="163" spans="1:7" ht="12.75" customHeight="1" x14ac:dyDescent="0.25">
      <c r="A163" s="8"/>
      <c r="B163" s="466"/>
      <c r="C163" s="467"/>
      <c r="E163" s="360" t="s">
        <v>489</v>
      </c>
      <c r="F163" s="360" t="s">
        <v>490</v>
      </c>
      <c r="G163" s="365" t="s">
        <v>491</v>
      </c>
    </row>
    <row r="164" spans="1:7" ht="12.75" customHeight="1" x14ac:dyDescent="0.25">
      <c r="A164" s="8"/>
      <c r="B164" s="459" t="s">
        <v>492</v>
      </c>
      <c r="C164" s="7"/>
      <c r="E164" s="524">
        <v>20000000</v>
      </c>
      <c r="F164" s="468">
        <f t="shared" ref="F164:F171" si="0">E165</f>
        <v>1500000</v>
      </c>
      <c r="G164" s="365">
        <v>0</v>
      </c>
    </row>
    <row r="165" spans="1:7" ht="12.75" customHeight="1" x14ac:dyDescent="0.25">
      <c r="A165" s="8"/>
      <c r="B165" s="461" t="s">
        <v>493</v>
      </c>
      <c r="C165" s="469" t="e">
        <f ca="1">VLOOKUP("C2",INDIRECT(Scoring!C16),4,FALSE)</f>
        <v>#REF!</v>
      </c>
      <c r="E165" s="468">
        <v>1500000</v>
      </c>
      <c r="F165" s="468">
        <f t="shared" si="0"/>
        <v>750000</v>
      </c>
      <c r="G165" s="365">
        <v>20</v>
      </c>
    </row>
    <row r="166" spans="1:7" ht="12.75" customHeight="1" x14ac:dyDescent="0.25">
      <c r="A166" s="8"/>
      <c r="B166" s="461" t="s">
        <v>494</v>
      </c>
      <c r="C166" s="470" t="e">
        <f ca="1">C165*MIQP/VCS</f>
        <v>#REF!</v>
      </c>
      <c r="E166" s="468">
        <v>750000</v>
      </c>
      <c r="F166" s="468">
        <f t="shared" si="0"/>
        <v>400000</v>
      </c>
      <c r="G166" s="365">
        <v>30</v>
      </c>
    </row>
    <row r="167" spans="1:7" ht="12.75" customHeight="1" x14ac:dyDescent="0.25">
      <c r="A167" s="8"/>
      <c r="B167" s="461" t="s">
        <v>495</v>
      </c>
      <c r="C167" s="471" t="str">
        <f t="array" aca="1" ref="C167" ca="1">IF(ISERROR($C$29/C166),"N/A",$C$29/C166)</f>
        <v>N/A</v>
      </c>
      <c r="E167" s="468">
        <v>400000</v>
      </c>
      <c r="F167" s="468">
        <f t="shared" si="0"/>
        <v>300000</v>
      </c>
      <c r="G167" s="365">
        <v>35</v>
      </c>
    </row>
    <row r="168" spans="1:7" ht="12.75" customHeight="1" x14ac:dyDescent="0.25">
      <c r="A168" s="8"/>
      <c r="B168" s="461" t="s">
        <v>496</v>
      </c>
      <c r="C168" s="469">
        <f t="array" aca="1" ref="C168" ca="1">SUM(IF((C167&gt;=$F$164:$F$172)*(C167&lt;$E$164:$E$172),$G$164:$G$172))</f>
        <v>0</v>
      </c>
      <c r="E168" s="468">
        <v>300000</v>
      </c>
      <c r="F168" s="468">
        <f t="shared" si="0"/>
        <v>200000</v>
      </c>
      <c r="G168" s="365">
        <v>40</v>
      </c>
    </row>
    <row r="169" spans="1:7" ht="12.75" customHeight="1" x14ac:dyDescent="0.25">
      <c r="A169" s="8"/>
      <c r="B169" s="461" t="s">
        <v>497</v>
      </c>
      <c r="C169" s="469" t="e">
        <f ca="1">IF((((VLOOKUP("C2",INDIRECT(Scoring!C16),4,FALSE)-VLOOKUP("C2.1",INDIRECT(Scoring!C16),4,FALSE))/C165)*100)&gt;0,0,((VLOOKUP("C2",INDIRECT(Scoring!C16),4,FALSE)-VLOOKUP("C2.1",INDIRECT(Scoring!C16),4,FALSE))/C165)*100)</f>
        <v>#REF!</v>
      </c>
      <c r="E169" s="468">
        <v>200000</v>
      </c>
      <c r="F169" s="468">
        <f t="shared" si="0"/>
        <v>150000</v>
      </c>
      <c r="G169" s="365">
        <v>45</v>
      </c>
    </row>
    <row r="170" spans="1:7" ht="12.75" customHeight="1" x14ac:dyDescent="0.25">
      <c r="A170" s="8"/>
      <c r="B170" s="461" t="s">
        <v>498</v>
      </c>
      <c r="C170" s="469" t="e">
        <f ca="1">IF(C169&lt;0,0,C168)</f>
        <v>#REF!</v>
      </c>
      <c r="E170" s="468">
        <v>150000</v>
      </c>
      <c r="F170" s="468">
        <f t="shared" si="0"/>
        <v>100000</v>
      </c>
      <c r="G170" s="365">
        <v>55</v>
      </c>
    </row>
    <row r="171" spans="1:7" ht="12.75" customHeight="1" x14ac:dyDescent="0.25">
      <c r="A171" s="8"/>
      <c r="B171" s="463" t="s">
        <v>499</v>
      </c>
      <c r="C171" s="472" t="e">
        <f ca="1">SUM(C169:C170)</f>
        <v>#REF!</v>
      </c>
      <c r="E171" s="468">
        <v>100000</v>
      </c>
      <c r="F171" s="468">
        <f t="shared" si="0"/>
        <v>50000</v>
      </c>
      <c r="G171" s="365">
        <v>60</v>
      </c>
    </row>
    <row r="172" spans="1:7" ht="12.75" customHeight="1" x14ac:dyDescent="0.2">
      <c r="A172" s="4"/>
      <c r="E172" s="468">
        <v>50000</v>
      </c>
      <c r="F172" s="468">
        <v>0</v>
      </c>
      <c r="G172" s="365">
        <v>75</v>
      </c>
    </row>
    <row r="173" spans="1:7" ht="12.75" customHeight="1" x14ac:dyDescent="0.2">
      <c r="A173" s="4"/>
      <c r="B173" s="466"/>
      <c r="C173" s="467"/>
      <c r="E173" s="15"/>
      <c r="F173" s="15"/>
      <c r="G173" s="15"/>
    </row>
    <row r="174" spans="1:7" ht="12.75" customHeight="1" x14ac:dyDescent="0.2">
      <c r="A174" s="4"/>
      <c r="B174" s="459" t="s">
        <v>500</v>
      </c>
      <c r="C174" s="7"/>
      <c r="E174" s="360" t="s">
        <v>501</v>
      </c>
      <c r="F174" s="360"/>
      <c r="G174" s="465"/>
    </row>
    <row r="175" spans="1:7" ht="12.75" customHeight="1" x14ac:dyDescent="0.2">
      <c r="A175" s="4"/>
      <c r="B175" s="461" t="s">
        <v>502</v>
      </c>
      <c r="C175" s="469" t="e">
        <f ca="1">VLOOKUP("C3",INDIRECT(Scoring!C16),4,FALSE)</f>
        <v>#REF!</v>
      </c>
      <c r="E175" s="360" t="s">
        <v>489</v>
      </c>
      <c r="F175" s="360" t="s">
        <v>490</v>
      </c>
      <c r="G175" s="365" t="s">
        <v>491</v>
      </c>
    </row>
    <row r="176" spans="1:7" ht="12.75" customHeight="1" x14ac:dyDescent="0.2">
      <c r="A176" s="4"/>
      <c r="B176" s="461" t="s">
        <v>494</v>
      </c>
      <c r="C176" s="470" t="e">
        <f ca="1">C175*MIQP/VCS</f>
        <v>#REF!</v>
      </c>
      <c r="E176" s="524">
        <v>20000000</v>
      </c>
      <c r="F176" s="468">
        <f t="shared" ref="F176:F183" si="1">E177</f>
        <v>1500000</v>
      </c>
      <c r="G176" s="365">
        <v>0</v>
      </c>
    </row>
    <row r="177" spans="1:9" ht="12.75" customHeight="1" x14ac:dyDescent="0.2">
      <c r="A177" s="4"/>
      <c r="B177" s="461" t="s">
        <v>495</v>
      </c>
      <c r="C177" s="471" t="str">
        <f ca="1">IF(ISERROR($C$29/C176),"N/A",$C$29/C176)</f>
        <v>N/A</v>
      </c>
      <c r="E177" s="468">
        <v>1500000</v>
      </c>
      <c r="F177" s="468">
        <f t="shared" si="1"/>
        <v>750000</v>
      </c>
      <c r="G177" s="365">
        <v>20</v>
      </c>
    </row>
    <row r="178" spans="1:9" ht="12.75" customHeight="1" x14ac:dyDescent="0.2">
      <c r="A178" s="4"/>
      <c r="B178" s="463" t="s">
        <v>503</v>
      </c>
      <c r="C178" s="464">
        <f t="array" aca="1" ref="C178" ca="1">SUM(IF((C177&gt;=$F$176:$F$184)*(C177&lt;$E$176:$E$184),$G$176:$G$184))</f>
        <v>0</v>
      </c>
      <c r="E178" s="468">
        <v>750000</v>
      </c>
      <c r="F178" s="468">
        <f t="shared" si="1"/>
        <v>400000</v>
      </c>
      <c r="G178" s="365">
        <v>30</v>
      </c>
    </row>
    <row r="179" spans="1:9" ht="12.75" customHeight="1" x14ac:dyDescent="0.2">
      <c r="C179"/>
      <c r="E179" s="468">
        <v>400000</v>
      </c>
      <c r="F179" s="468">
        <f t="shared" si="1"/>
        <v>300000</v>
      </c>
      <c r="G179" s="365">
        <v>35</v>
      </c>
    </row>
    <row r="180" spans="1:9" ht="12.75" customHeight="1" x14ac:dyDescent="0.2">
      <c r="A180" s="4"/>
      <c r="B180" s="459"/>
      <c r="C180" s="7"/>
      <c r="E180" s="468">
        <v>300000</v>
      </c>
      <c r="F180" s="468">
        <f t="shared" si="1"/>
        <v>200000</v>
      </c>
      <c r="G180" s="365">
        <v>40</v>
      </c>
      <c r="I180" s="3"/>
    </row>
    <row r="181" spans="1:9" ht="12.75" customHeight="1" x14ac:dyDescent="0.25">
      <c r="A181" s="4"/>
      <c r="B181" s="466"/>
      <c r="C181" s="467"/>
      <c r="D181" s="473"/>
      <c r="E181" s="468">
        <v>200000</v>
      </c>
      <c r="F181" s="468">
        <f t="shared" si="1"/>
        <v>150000</v>
      </c>
      <c r="G181" s="365">
        <v>45</v>
      </c>
      <c r="I181" s="3"/>
    </row>
    <row r="182" spans="1:9" ht="12.75" customHeight="1" x14ac:dyDescent="0.25">
      <c r="A182" s="4"/>
      <c r="B182" s="466"/>
      <c r="C182" s="467"/>
      <c r="D182" s="474"/>
      <c r="E182" s="468">
        <v>150000</v>
      </c>
      <c r="F182" s="468">
        <f t="shared" si="1"/>
        <v>100000</v>
      </c>
      <c r="G182" s="365">
        <v>55</v>
      </c>
      <c r="I182" s="3"/>
    </row>
    <row r="183" spans="1:9" ht="12.75" customHeight="1" x14ac:dyDescent="0.2">
      <c r="A183" s="4"/>
      <c r="B183" s="459" t="s">
        <v>504</v>
      </c>
      <c r="C183" s="7"/>
      <c r="E183" s="468">
        <v>100000</v>
      </c>
      <c r="F183" s="468">
        <f t="shared" si="1"/>
        <v>50000</v>
      </c>
      <c r="G183" s="365">
        <v>60</v>
      </c>
      <c r="I183" s="3"/>
    </row>
    <row r="184" spans="1:9" ht="12.75" customHeight="1" x14ac:dyDescent="0.2">
      <c r="A184" s="4"/>
      <c r="B184" s="475" t="s">
        <v>505</v>
      </c>
      <c r="C184" s="476" t="e">
        <f>IF(G193="MWh",(G192*G187),IF(G193="GGE",(G192*G188), IF(G193="MMBTU",G192*G189,0)))</f>
        <v>#N/A</v>
      </c>
      <c r="E184" s="468">
        <v>50000</v>
      </c>
      <c r="F184" s="468">
        <v>0</v>
      </c>
      <c r="G184" s="365">
        <v>75</v>
      </c>
      <c r="I184" s="3"/>
    </row>
    <row r="185" spans="1:9" ht="12.75" customHeight="1" x14ac:dyDescent="0.2">
      <c r="A185" s="4"/>
      <c r="B185" s="475" t="s">
        <v>506</v>
      </c>
      <c r="C185" s="476" t="e">
        <f ca="1">-(G194*G187+G195*G188+G196*G190+G197*G191)</f>
        <v>#N/A</v>
      </c>
      <c r="E185" s="477"/>
      <c r="F185" s="477"/>
      <c r="G185" s="478"/>
      <c r="I185" s="3"/>
    </row>
    <row r="186" spans="1:9" ht="12.75" customHeight="1" x14ac:dyDescent="0.2">
      <c r="A186" s="4"/>
      <c r="B186" s="475" t="s">
        <v>507</v>
      </c>
      <c r="C186" s="476" t="e">
        <f ca="1">-PV(G69,ULOP, (C184-C185))</f>
        <v>#N/A</v>
      </c>
      <c r="I186" s="3"/>
    </row>
    <row r="187" spans="1:9" ht="12.75" customHeight="1" x14ac:dyDescent="0.2">
      <c r="A187" s="4"/>
      <c r="B187" s="461" t="s">
        <v>508</v>
      </c>
      <c r="C187" s="479" t="e">
        <f>IF(C71=4,0,-PV(G69,WALS,(C186*AS*MIU)))</f>
        <v>#N/A</v>
      </c>
      <c r="E187" s="360" t="s">
        <v>509</v>
      </c>
      <c r="F187" s="360"/>
      <c r="G187" s="401" t="e">
        <f ca="1">(1-POSCA)*('Pollution Costs'!$L$5+'Pollution Costs'!$L$6)</f>
        <v>#REF!</v>
      </c>
      <c r="H187" s="5" t="s">
        <v>510</v>
      </c>
      <c r="I187" s="3"/>
    </row>
    <row r="188" spans="1:9" ht="12.75" customHeight="1" x14ac:dyDescent="0.2">
      <c r="A188" s="4"/>
      <c r="B188" s="463" t="s">
        <v>511</v>
      </c>
      <c r="C188" s="480" t="e">
        <f>IF(((C187/C29)*1000)/2&gt;40,40,IF(((C187/C29)*1000)/2&lt;0,0, ((C187/C29)*1000)/2))</f>
        <v>#N/A</v>
      </c>
      <c r="E188" s="360" t="s">
        <v>512</v>
      </c>
      <c r="F188" s="360"/>
      <c r="G188" s="401" t="e">
        <f ca="1">(1-POSCA)*('Pollution Costs'!K13)</f>
        <v>#REF!</v>
      </c>
      <c r="H188" s="5" t="s">
        <v>513</v>
      </c>
      <c r="I188" s="3"/>
    </row>
    <row r="189" spans="1:9" ht="12.75" customHeight="1" x14ac:dyDescent="0.2">
      <c r="A189" s="4"/>
      <c r="B189" s="466"/>
      <c r="C189" s="481"/>
      <c r="E189" s="360" t="s">
        <v>514</v>
      </c>
      <c r="F189" s="360"/>
      <c r="G189" s="401">
        <v>0</v>
      </c>
      <c r="I189" s="3"/>
    </row>
    <row r="190" spans="1:9" ht="12.75" customHeight="1" x14ac:dyDescent="0.2">
      <c r="A190" s="4"/>
      <c r="B190" s="459" t="s">
        <v>515</v>
      </c>
      <c r="C190" s="7"/>
      <c r="E190" s="360" t="s">
        <v>516</v>
      </c>
      <c r="F190" s="360"/>
      <c r="G190" s="401" t="e">
        <f ca="1">(1-POSCA)*('Pollution Costs'!$H$6)</f>
        <v>#REF!</v>
      </c>
      <c r="I190" s="3"/>
    </row>
    <row r="191" spans="1:9" ht="12.75" customHeight="1" x14ac:dyDescent="0.2">
      <c r="A191" s="4"/>
      <c r="B191" s="461" t="s">
        <v>517</v>
      </c>
      <c r="C191" s="7" t="e">
        <f ca="1">IF(INDIRECT(C16&amp;"!D"&amp;(MATCH("F4",INDIRECT(C16&amp;"!A1:A99"),0)))="yes",25,0)</f>
        <v>#REF!</v>
      </c>
      <c r="E191" s="360" t="s">
        <v>518</v>
      </c>
      <c r="F191" s="360"/>
      <c r="G191" s="401" t="e">
        <f ca="1">(1-POSCA)*('Pollution Costs'!$H$5)</f>
        <v>#REF!</v>
      </c>
      <c r="I191" s="3"/>
    </row>
    <row r="192" spans="1:9" ht="12.75" customHeight="1" x14ac:dyDescent="0.2">
      <c r="A192" s="4"/>
      <c r="B192" s="461" t="s">
        <v>519</v>
      </c>
      <c r="C192" s="7" t="e">
        <f ca="1">IF(INDIRECT(C16&amp;"!D"&amp;(MATCH("F5",INDIRECT(C16&amp;"!A1:A99"),0)))="yes",25,0)</f>
        <v>#REF!</v>
      </c>
      <c r="E192" s="482" t="s">
        <v>520</v>
      </c>
      <c r="F192" s="483"/>
      <c r="G192" s="484" t="e">
        <f>IF(C71=1,C81,IF(C71=2,C98,IF(C71=3,C106,0)))</f>
        <v>#N/A</v>
      </c>
      <c r="I192" s="3"/>
    </row>
    <row r="193" spans="1:9" ht="12.75" customHeight="1" x14ac:dyDescent="0.2">
      <c r="A193" s="4"/>
      <c r="B193" s="461" t="s">
        <v>521</v>
      </c>
      <c r="C193" s="7" t="e">
        <f ca="1">IF(INDIRECT(C16&amp;"!D"&amp;(MATCH("F6",INDIRECT(C16&amp;"!A1:A99"),0)))="yes",25,0)</f>
        <v>#REF!</v>
      </c>
      <c r="E193" s="482" t="s">
        <v>522</v>
      </c>
      <c r="F193" s="483"/>
      <c r="G193" s="484" t="e">
        <f>IF(Scoring!$C$71=1,"MWh",IF(Scoring!$C$71=2,"MWh",IF(Scoring!$C$71=3,"GGE",0)))</f>
        <v>#N/A</v>
      </c>
      <c r="I193" s="3"/>
    </row>
    <row r="194" spans="1:9" ht="12.75" customHeight="1" x14ac:dyDescent="0.2">
      <c r="B194" s="461" t="s">
        <v>523</v>
      </c>
      <c r="C194" s="7" t="e">
        <f ca="1">IF(OR(INDIRECT(C16&amp;"!D"&amp;(MATCH("F7",INDIRECT(C16&amp;"!A1:A99"),0)))="SELECT FROM DROPDOWN",INDIRECT(C16&amp;"!D"&amp;(MATCH("F7",INDIRECT(C16&amp;"!A1:A99"),0)))="N/A"),0,40)</f>
        <v>#REF!</v>
      </c>
      <c r="E194" s="482" t="s">
        <v>524</v>
      </c>
      <c r="F194" s="483"/>
      <c r="G194" s="485" t="e">
        <f>IF(Scoring!$C$71=3,C108,0)</f>
        <v>#N/A</v>
      </c>
      <c r="I194" s="3"/>
    </row>
    <row r="195" spans="1:9" ht="12.75" customHeight="1" x14ac:dyDescent="0.2">
      <c r="A195" s="4"/>
      <c r="B195" s="461" t="s">
        <v>525</v>
      </c>
      <c r="C195" s="4" t="e">
        <f ca="1">MIN((VLOOKUP("F8",INDIRECT(Scoring!C16),4,FALSE))*5,25)</f>
        <v>#REF!</v>
      </c>
      <c r="E195" s="486" t="s">
        <v>526</v>
      </c>
      <c r="F195" s="483"/>
      <c r="G195" s="487">
        <f>0</f>
        <v>0</v>
      </c>
      <c r="I195" s="448"/>
    </row>
    <row r="196" spans="1:9" ht="12.75" customHeight="1" x14ac:dyDescent="0.2">
      <c r="A196" s="4"/>
      <c r="B196" s="463" t="s">
        <v>527</v>
      </c>
      <c r="C196" s="464" t="e">
        <f ca="1">SUM(C191:C195)</f>
        <v>#REF!</v>
      </c>
      <c r="E196" s="482" t="s">
        <v>528</v>
      </c>
      <c r="F196" s="483"/>
      <c r="G196" s="485" t="e">
        <f>IF(Scoring!$C$71=1,C81*C84,0)</f>
        <v>#N/A</v>
      </c>
      <c r="I196" s="448"/>
    </row>
    <row r="197" spans="1:9" ht="12.75" customHeight="1" x14ac:dyDescent="0.2">
      <c r="A197" s="4"/>
      <c r="B197" s="416"/>
      <c r="C197" s="447"/>
      <c r="E197" s="482" t="s">
        <v>529</v>
      </c>
      <c r="F197" s="483"/>
      <c r="G197" s="485" t="e">
        <f>IF(Scoring!$C$71=1,C85*C81,0)</f>
        <v>#N/A</v>
      </c>
      <c r="I197" s="448"/>
    </row>
    <row r="198" spans="1:9" ht="12.75" customHeight="1" x14ac:dyDescent="0.2">
      <c r="A198" s="4"/>
      <c r="B198" s="131"/>
      <c r="C198" s="488"/>
      <c r="H198"/>
      <c r="I198" s="448"/>
    </row>
    <row r="199" spans="1:9" ht="12.75" customHeight="1" x14ac:dyDescent="0.2">
      <c r="A199" s="4"/>
      <c r="B199" s="416" t="s">
        <v>530</v>
      </c>
      <c r="C199" s="447" t="e">
        <f ca="1">C188+C181+C178+C171+C162+C196</f>
        <v>#N/A</v>
      </c>
      <c r="H199"/>
      <c r="I199" s="5"/>
    </row>
    <row r="200" spans="1:9" ht="12.75" customHeight="1" x14ac:dyDescent="0.2">
      <c r="A200" s="4"/>
      <c r="B200" s="416"/>
      <c r="C200" s="447"/>
      <c r="H200"/>
      <c r="I200" s="3"/>
    </row>
    <row r="201" spans="1:9" ht="12.75" customHeight="1" x14ac:dyDescent="0.2">
      <c r="A201" s="4"/>
      <c r="B201" s="489" t="s">
        <v>531</v>
      </c>
      <c r="C201" s="490" t="e">
        <f ca="1">C199+C156</f>
        <v>#N/A</v>
      </c>
      <c r="H201"/>
      <c r="I201" s="3"/>
    </row>
    <row r="202" spans="1:9" ht="18.600000000000001" customHeight="1" x14ac:dyDescent="0.25">
      <c r="A202" s="4"/>
      <c r="B202" s="491"/>
      <c r="C202"/>
      <c r="D202"/>
      <c r="I202" s="3"/>
    </row>
    <row r="203" spans="1:9" ht="12.75" customHeight="1" x14ac:dyDescent="0.25">
      <c r="A203" s="4"/>
      <c r="B203" s="492" t="s">
        <v>167</v>
      </c>
      <c r="C203" s="2"/>
      <c r="D203"/>
      <c r="I203" s="3"/>
    </row>
    <row r="204" spans="1:9" ht="12.75" customHeight="1" x14ac:dyDescent="0.25">
      <c r="A204" s="4"/>
      <c r="B204" s="493" t="str">
        <f>HYPERLINK("#"&amp;"Instructions!$A$1","&lt;- Click Here to Return to Instructions")</f>
        <v>&lt;- Click Here to Return to Instructions</v>
      </c>
      <c r="C204" s="2"/>
      <c r="D204"/>
      <c r="I204" s="3"/>
    </row>
    <row r="205" spans="1:9" ht="12.75" customHeight="1" x14ac:dyDescent="0.25">
      <c r="A205" s="4"/>
      <c r="B205" s="493" t="str">
        <f>HYPERLINK("#"&amp;"Application_Information!$A$1","&lt;- Click Here to Return to Application Information")</f>
        <v>&lt;- Click Here to Return to Application Information</v>
      </c>
      <c r="C205" s="2"/>
      <c r="D205"/>
      <c r="I205" s="3"/>
    </row>
    <row r="206" spans="1:9" ht="12.75" customHeight="1" x14ac:dyDescent="0.25">
      <c r="A206" s="4"/>
      <c r="B206" s="493" t="str">
        <f>HYPERLINK("#"&amp;"Qualified_Property_List!$A$1","&lt;- Click Here to Return to Qualified Property List")</f>
        <v>&lt;- Click Here to Return to Qualified Property List</v>
      </c>
      <c r="C206" s="2"/>
      <c r="D206"/>
      <c r="I206" s="3"/>
    </row>
    <row r="207" spans="1:9" ht="12.75" customHeight="1" x14ac:dyDescent="0.25">
      <c r="A207" s="4"/>
      <c r="B207" s="493" t="str">
        <f>IF(Applicant_Information!B8="BioFuels",(HYPERLINK("#"&amp;"BioFuels!A1","&lt;- Click Here to Return to "&amp;Applicant_Information!B8&amp;" Tab")),
IF(Applicant_Information!B8="Alternative_Energy",(HYPERLINK("#"&amp;"Alternative_Energy!A1","&lt;- Click Here to Return to "&amp;Applicant_Information!B8&amp;" Tab")),
IF(Applicant_Information!B8="Energy_Efficiency",(HYPERLINK("#"&amp;"Energy_Efficiency!A1","&lt;- Click Here to Return to "&amp;Applicant_Information!B8&amp;" Tab")),
IF(Applicant_Information!B8="Advanced_Transportation",(HYPERLINK("#"&amp;"Advanced_Transportation!A1","&lt;- Click Here to Return to "&amp;Applicant_Information!B8&amp;" Tab")),
IF(Applicant_Information!B8="Advanced_Manufacturing",(HYPERLINK("#"&amp;"Advanced_Manufacturing!A1","&lt;- Click Here to Return to "&amp;Applicant_Information!B8&amp;" Tab")),
IF(Applicant_Information!B8="Recycling",(HYPERLINK("#"&amp;"Recycling!A1","&lt;- Click Here to Return to "&amp;Applicant_Information!B8&amp;" Tab")),
IF(Applicant_Information!B8="SELECT FROM DROPDOWN",(HYPERLINK("#"&amp;"Applicant_Information!A8","&lt;- Click Here to Return to "&amp;Applicant_Information!B8&amp;" Tab")),(HYPERLINK("#"&amp;"Other_Application_Types!A1","&lt;- Click Here to Return to "&amp;Applicant_Information!B8&amp;" Tab")))))))))</f>
        <v>&lt;- Click Here to Return to SELECT FROM DROPDOWN Tab</v>
      </c>
      <c r="C207" s="2"/>
      <c r="I207" s="3"/>
    </row>
    <row r="208" spans="1:9" ht="12.75" customHeight="1" x14ac:dyDescent="0.2">
      <c r="A208" s="4"/>
      <c r="I208" s="3"/>
    </row>
    <row r="209" spans="1:9" ht="12.75" customHeight="1" x14ac:dyDescent="0.2">
      <c r="A209" s="4"/>
      <c r="I209" s="3"/>
    </row>
    <row r="210" spans="1:9" ht="12.75" customHeight="1" x14ac:dyDescent="0.2">
      <c r="A210" s="5"/>
      <c r="I210" s="3"/>
    </row>
    <row r="211" spans="1:9" ht="17.850000000000001" customHeight="1" x14ac:dyDescent="0.2">
      <c r="I211" s="3"/>
    </row>
    <row r="212" spans="1:9" ht="21" customHeight="1" x14ac:dyDescent="0.2">
      <c r="I212" s="3"/>
    </row>
    <row r="213" spans="1:9" ht="21" customHeight="1" x14ac:dyDescent="0.2">
      <c r="I213" s="3"/>
    </row>
    <row r="214" spans="1:9" ht="21" customHeight="1" x14ac:dyDescent="0.2">
      <c r="I214" s="3"/>
    </row>
    <row r="215" spans="1:9" ht="21" customHeight="1" x14ac:dyDescent="0.2">
      <c r="I215" s="3"/>
    </row>
    <row r="216" spans="1:9" ht="21" customHeight="1" x14ac:dyDescent="0.2">
      <c r="I216" s="3"/>
    </row>
    <row r="217" spans="1:9" x14ac:dyDescent="0.2">
      <c r="C217"/>
      <c r="I217" s="3"/>
    </row>
    <row r="218" spans="1:9" x14ac:dyDescent="0.2">
      <c r="I218" s="3"/>
    </row>
    <row r="219" spans="1:9" x14ac:dyDescent="0.2">
      <c r="C219"/>
      <c r="D219"/>
      <c r="I219" s="3"/>
    </row>
    <row r="220" spans="1:9" x14ac:dyDescent="0.2">
      <c r="C220"/>
      <c r="D220"/>
      <c r="I220" s="3"/>
    </row>
    <row r="221" spans="1:9" x14ac:dyDescent="0.2">
      <c r="C221"/>
      <c r="D221"/>
      <c r="I221" s="3"/>
    </row>
    <row r="222" spans="1:9" x14ac:dyDescent="0.2">
      <c r="C222"/>
      <c r="D222"/>
      <c r="I222" s="3"/>
    </row>
    <row r="223" spans="1:9" x14ac:dyDescent="0.2">
      <c r="C223"/>
      <c r="D223"/>
      <c r="I223" s="3"/>
    </row>
    <row r="224" spans="1:9" x14ac:dyDescent="0.2">
      <c r="C224"/>
      <c r="D224"/>
      <c r="I224" s="3"/>
    </row>
    <row r="225" spans="2:9" x14ac:dyDescent="0.2">
      <c r="B225" s="1"/>
      <c r="C225"/>
      <c r="D225"/>
      <c r="I225" s="3"/>
    </row>
    <row r="226" spans="2:9" x14ac:dyDescent="0.2">
      <c r="B226" s="1"/>
      <c r="C226"/>
      <c r="D226"/>
      <c r="I226" s="3"/>
    </row>
    <row r="227" spans="2:9" x14ac:dyDescent="0.2">
      <c r="C227"/>
      <c r="I227" s="3"/>
    </row>
    <row r="228" spans="2:9" x14ac:dyDescent="0.2">
      <c r="C228"/>
      <c r="I228" s="3"/>
    </row>
    <row r="229" spans="2:9" x14ac:dyDescent="0.2">
      <c r="C229"/>
      <c r="I229" s="3"/>
    </row>
    <row r="230" spans="2:9" x14ac:dyDescent="0.2">
      <c r="C230"/>
      <c r="I230" s="3"/>
    </row>
    <row r="231" spans="2:9" x14ac:dyDescent="0.2">
      <c r="C231"/>
      <c r="G231" t="s">
        <v>532</v>
      </c>
      <c r="I231" s="3"/>
    </row>
    <row r="232" spans="2:9" x14ac:dyDescent="0.2">
      <c r="C232"/>
      <c r="I232" s="3"/>
    </row>
    <row r="233" spans="2:9" x14ac:dyDescent="0.2">
      <c r="C233"/>
      <c r="I233" s="3"/>
    </row>
    <row r="234" spans="2:9" x14ac:dyDescent="0.2">
      <c r="C234"/>
      <c r="I234" s="3"/>
    </row>
    <row r="235" spans="2:9" x14ac:dyDescent="0.2">
      <c r="C235"/>
      <c r="I235" s="3"/>
    </row>
    <row r="236" spans="2:9" x14ac:dyDescent="0.2">
      <c r="C236"/>
      <c r="I236" s="3"/>
    </row>
    <row r="237" spans="2:9" x14ac:dyDescent="0.2">
      <c r="C237"/>
      <c r="I237" s="3"/>
    </row>
    <row r="238" spans="2:9" x14ac:dyDescent="0.2">
      <c r="C238"/>
      <c r="I238" s="3"/>
    </row>
    <row r="239" spans="2:9" x14ac:dyDescent="0.2">
      <c r="C239"/>
      <c r="I239" s="3"/>
    </row>
    <row r="240" spans="2:9" x14ac:dyDescent="0.2">
      <c r="C240"/>
      <c r="I240" s="3"/>
    </row>
    <row r="241" spans="7:9" x14ac:dyDescent="0.2">
      <c r="I241" s="3"/>
    </row>
    <row r="242" spans="7:9" x14ac:dyDescent="0.2">
      <c r="I242" s="3"/>
    </row>
    <row r="243" spans="7:9" x14ac:dyDescent="0.2">
      <c r="I243" s="3"/>
    </row>
    <row r="244" spans="7:9" x14ac:dyDescent="0.2">
      <c r="I244" s="3"/>
    </row>
    <row r="245" spans="7:9" x14ac:dyDescent="0.2">
      <c r="I245" s="3"/>
    </row>
    <row r="246" spans="7:9" x14ac:dyDescent="0.2">
      <c r="I246" s="3"/>
    </row>
    <row r="247" spans="7:9" x14ac:dyDescent="0.2">
      <c r="I247" s="3"/>
    </row>
    <row r="248" spans="7:9" x14ac:dyDescent="0.2">
      <c r="G248" s="5"/>
      <c r="I248" s="3"/>
    </row>
    <row r="249" spans="7:9" x14ac:dyDescent="0.2">
      <c r="I249" s="3"/>
    </row>
    <row r="250" spans="7:9" x14ac:dyDescent="0.2">
      <c r="I250" s="3"/>
    </row>
    <row r="251" spans="7:9" x14ac:dyDescent="0.2">
      <c r="I251" s="3"/>
    </row>
    <row r="252" spans="7:9" x14ac:dyDescent="0.2">
      <c r="I252" s="3"/>
    </row>
    <row r="253" spans="7:9" x14ac:dyDescent="0.2">
      <c r="I253" s="5"/>
    </row>
    <row r="262" spans="1:1" x14ac:dyDescent="0.2">
      <c r="A262" s="5"/>
    </row>
    <row r="275" spans="1:11" x14ac:dyDescent="0.2">
      <c r="D275" s="7"/>
    </row>
    <row r="276" spans="1:11" x14ac:dyDescent="0.2">
      <c r="B276" s="1"/>
      <c r="D276" s="7"/>
    </row>
    <row r="277" spans="1:11" x14ac:dyDescent="0.2">
      <c r="B277" s="1"/>
      <c r="D277" s="4"/>
      <c r="E277" s="7"/>
      <c r="F277" s="7"/>
      <c r="G277" s="7"/>
      <c r="H277" s="7"/>
      <c r="I277" s="1"/>
      <c r="J277" s="1"/>
      <c r="K277" s="1"/>
    </row>
    <row r="278" spans="1:11" x14ac:dyDescent="0.2">
      <c r="E278" s="7"/>
      <c r="F278" s="7"/>
      <c r="G278" s="7"/>
      <c r="H278" s="7"/>
      <c r="I278" s="1"/>
      <c r="J278" s="1"/>
      <c r="K278" s="1"/>
    </row>
    <row r="279" spans="1:11" x14ac:dyDescent="0.2">
      <c r="D279" s="7"/>
      <c r="E279" s="7"/>
      <c r="F279" s="7"/>
      <c r="G279" s="7"/>
      <c r="H279" s="7"/>
      <c r="I279" s="7"/>
      <c r="J279" s="1"/>
      <c r="K279" s="1"/>
    </row>
    <row r="280" spans="1:11" x14ac:dyDescent="0.2">
      <c r="E280" s="7"/>
      <c r="F280" s="7"/>
      <c r="G280" s="7"/>
      <c r="H280" s="7"/>
      <c r="I280" s="1"/>
      <c r="J280" s="1"/>
      <c r="K280" s="1"/>
    </row>
    <row r="281" spans="1:11" x14ac:dyDescent="0.2">
      <c r="D281" s="1"/>
      <c r="E281" s="1"/>
      <c r="F281" s="1"/>
      <c r="G281" s="1"/>
      <c r="I281" s="1"/>
      <c r="J281" s="1"/>
      <c r="K281" s="1"/>
    </row>
    <row r="282" spans="1:11" x14ac:dyDescent="0.2">
      <c r="E282" s="1"/>
      <c r="F282" s="1"/>
      <c r="G282" s="1"/>
      <c r="I282" s="1"/>
      <c r="J282" s="1"/>
      <c r="K282" s="1"/>
    </row>
    <row r="283" spans="1:11" x14ac:dyDescent="0.2">
      <c r="D283" s="1"/>
      <c r="E283" s="1"/>
      <c r="F283" s="1"/>
      <c r="G283" s="1"/>
      <c r="I283" s="1"/>
      <c r="J283" s="1"/>
      <c r="K283" s="1"/>
    </row>
    <row r="284" spans="1:11" x14ac:dyDescent="0.2">
      <c r="A284" s="528" t="s">
        <v>533</v>
      </c>
      <c r="D284" s="495"/>
      <c r="E284" s="496"/>
      <c r="F284" s="496"/>
      <c r="G284" s="496"/>
      <c r="H284" s="496"/>
      <c r="I284" s="1"/>
      <c r="J284" s="1"/>
      <c r="K284" s="1"/>
    </row>
    <row r="285" spans="1:11" x14ac:dyDescent="0.2">
      <c r="A285" s="494"/>
      <c r="D285" s="495"/>
      <c r="E285" s="7"/>
      <c r="F285" s="7"/>
      <c r="G285" s="7"/>
      <c r="H285" s="496"/>
      <c r="I285" s="1"/>
      <c r="J285" s="1"/>
      <c r="K285" s="1"/>
    </row>
    <row r="286" spans="1:11" x14ac:dyDescent="0.2">
      <c r="A286" s="528" t="s">
        <v>534</v>
      </c>
      <c r="C286" s="528" t="s">
        <v>535</v>
      </c>
      <c r="D286" s="1"/>
      <c r="E286" s="7"/>
      <c r="F286" s="7"/>
      <c r="G286" s="7"/>
      <c r="H286" s="7"/>
      <c r="I286" s="7"/>
      <c r="J286" s="1"/>
      <c r="K286" s="1"/>
    </row>
    <row r="287" spans="1:11" x14ac:dyDescent="0.2">
      <c r="A287" s="525" t="s">
        <v>6</v>
      </c>
      <c r="C287" s="530" t="s">
        <v>536</v>
      </c>
      <c r="D287" s="530" t="s">
        <v>537</v>
      </c>
      <c r="E287" s="530" t="s">
        <v>538</v>
      </c>
      <c r="F287" s="530" t="s">
        <v>539</v>
      </c>
      <c r="G287" s="530" t="s">
        <v>540</v>
      </c>
      <c r="H287" s="498"/>
      <c r="I287" s="7"/>
      <c r="J287" s="1"/>
      <c r="K287" s="1"/>
    </row>
    <row r="288" spans="1:11" x14ac:dyDescent="0.2">
      <c r="A288" s="525" t="s">
        <v>70</v>
      </c>
      <c r="C288" s="526" t="s">
        <v>70</v>
      </c>
      <c r="D288" s="499"/>
      <c r="E288" s="526">
        <v>7</v>
      </c>
      <c r="F288" s="526" t="s">
        <v>541</v>
      </c>
      <c r="G288" s="526">
        <v>100</v>
      </c>
      <c r="H288" s="470"/>
      <c r="I288" s="470"/>
      <c r="J288" s="1"/>
      <c r="K288" s="1"/>
    </row>
    <row r="289" spans="1:11" x14ac:dyDescent="0.2">
      <c r="A289" s="525" t="s">
        <v>416</v>
      </c>
      <c r="C289" s="526" t="s">
        <v>416</v>
      </c>
      <c r="D289" s="526">
        <f ca="1">IF(INDIRECT(C289&amp;"!D52")="Yes",1,0)*(INDIRECT(C289&amp;"!D56"))</f>
        <v>0</v>
      </c>
      <c r="E289" s="526">
        <v>1</v>
      </c>
      <c r="F289" s="526" t="s">
        <v>542</v>
      </c>
      <c r="G289" s="526">
        <v>100</v>
      </c>
      <c r="H289" s="470"/>
      <c r="I289" s="470"/>
      <c r="J289" s="1"/>
      <c r="K289" s="1"/>
    </row>
    <row r="290" spans="1:11" x14ac:dyDescent="0.2">
      <c r="A290" s="525" t="s">
        <v>428</v>
      </c>
      <c r="C290" s="526" t="s">
        <v>428</v>
      </c>
      <c r="D290" s="526">
        <f ca="1">IF(INDIRECT(C290&amp;"!D43")="Yes",1,0)*(INDIRECT(C290&amp;"!D47"))</f>
        <v>0</v>
      </c>
      <c r="E290" s="526">
        <v>2</v>
      </c>
      <c r="F290" s="526" t="s">
        <v>542</v>
      </c>
      <c r="G290" s="526">
        <v>100</v>
      </c>
      <c r="H290" s="470"/>
      <c r="I290" s="470"/>
      <c r="J290" s="1"/>
      <c r="K290" s="1"/>
    </row>
    <row r="291" spans="1:11" x14ac:dyDescent="0.2">
      <c r="A291" s="525" t="s">
        <v>439</v>
      </c>
      <c r="C291" s="526" t="s">
        <v>439</v>
      </c>
      <c r="D291" s="526">
        <f ca="1">IF(INDIRECT(C291&amp;"!D44")="Yes",1,0)*(INDIRECT(C291&amp;"!D48"))</f>
        <v>0</v>
      </c>
      <c r="E291" s="526">
        <v>3</v>
      </c>
      <c r="F291" s="526" t="s">
        <v>542</v>
      </c>
      <c r="G291" s="526">
        <v>100</v>
      </c>
      <c r="H291" s="470"/>
      <c r="I291" s="470"/>
      <c r="J291" s="1"/>
      <c r="K291" s="1"/>
    </row>
    <row r="292" spans="1:11" x14ac:dyDescent="0.2">
      <c r="A292" s="525" t="s">
        <v>543</v>
      </c>
      <c r="C292" s="526" t="s">
        <v>543</v>
      </c>
      <c r="D292" s="499"/>
      <c r="E292" s="526">
        <v>4</v>
      </c>
      <c r="F292" s="526" t="s">
        <v>541</v>
      </c>
      <c r="G292" s="526">
        <f ca="1">IF(INDIRECT(C292&amp;"!D47")="Yes",100,0)</f>
        <v>0</v>
      </c>
      <c r="H292" s="470"/>
      <c r="I292" s="470"/>
      <c r="J292" s="1"/>
      <c r="K292" s="1"/>
    </row>
    <row r="293" spans="1:11" x14ac:dyDescent="0.2">
      <c r="A293" s="525" t="s">
        <v>80</v>
      </c>
      <c r="C293" s="526" t="s">
        <v>80</v>
      </c>
      <c r="D293" s="499"/>
      <c r="E293" s="526">
        <v>5</v>
      </c>
      <c r="F293" s="526" t="s">
        <v>541</v>
      </c>
      <c r="G293" s="526">
        <v>100</v>
      </c>
      <c r="H293" s="470"/>
      <c r="I293" s="470"/>
      <c r="J293" s="1"/>
      <c r="K293" s="1"/>
    </row>
    <row r="294" spans="1:11" x14ac:dyDescent="0.2">
      <c r="A294" s="525" t="s">
        <v>544</v>
      </c>
      <c r="C294" s="526" t="s">
        <v>544</v>
      </c>
      <c r="D294" s="526">
        <f ca="1">IF(INDIRECT(C294&amp;"!D43")="Yes",1,0)*(INDIRECT(C294&amp;"!D47"))</f>
        <v>0</v>
      </c>
      <c r="E294" s="526">
        <v>6</v>
      </c>
      <c r="F294" s="526" t="s">
        <v>542</v>
      </c>
      <c r="G294" s="526">
        <v>0</v>
      </c>
    </row>
    <row r="295" spans="1:11" x14ac:dyDescent="0.2">
      <c r="A295" s="497"/>
      <c r="H295" s="500"/>
    </row>
    <row r="296" spans="1:11" x14ac:dyDescent="0.2">
      <c r="A296" s="528" t="s">
        <v>545</v>
      </c>
      <c r="C296" s="538" t="s">
        <v>546</v>
      </c>
      <c r="D296" s="502"/>
      <c r="F296" s="1"/>
    </row>
    <row r="297" spans="1:11" ht="39" customHeight="1" x14ac:dyDescent="0.2">
      <c r="A297" s="525" t="str">
        <f>A287</f>
        <v>SELECT FROM DROPDOWN</v>
      </c>
      <c r="C297" s="536" t="s">
        <v>547</v>
      </c>
      <c r="D297" s="537" t="s">
        <v>548</v>
      </c>
      <c r="E297" s="537" t="s">
        <v>549</v>
      </c>
      <c r="F297" s="537" t="s">
        <v>550</v>
      </c>
      <c r="G297" s="5"/>
    </row>
    <row r="298" spans="1:11" x14ac:dyDescent="0.2">
      <c r="A298" s="525" t="s">
        <v>551</v>
      </c>
      <c r="C298" s="532" t="s">
        <v>552</v>
      </c>
      <c r="D298" s="533">
        <v>3.0041032E-4</v>
      </c>
      <c r="E298" s="533">
        <v>0.92199889000000002</v>
      </c>
      <c r="F298" s="533">
        <v>1.0846</v>
      </c>
      <c r="G298" s="503"/>
      <c r="H298" s="503"/>
    </row>
    <row r="299" spans="1:11" x14ac:dyDescent="0.2">
      <c r="A299" s="525" t="s">
        <v>553</v>
      </c>
      <c r="C299" s="532" t="s">
        <v>554</v>
      </c>
      <c r="D299" s="533">
        <v>0.29308000000000001</v>
      </c>
      <c r="E299" s="533">
        <v>9.4781770100000001E-4</v>
      </c>
      <c r="F299" s="533">
        <f>0.0010551*1000000</f>
        <v>1055.0999999999999</v>
      </c>
      <c r="G299" s="503"/>
      <c r="H299" s="503"/>
    </row>
    <row r="300" spans="1:11" x14ac:dyDescent="0.2">
      <c r="A300" s="497"/>
      <c r="C300" s="532" t="s">
        <v>555</v>
      </c>
      <c r="D300" s="533">
        <v>2.9308000000000001E-2</v>
      </c>
      <c r="E300" s="533">
        <v>9.4781770099999999E-3</v>
      </c>
      <c r="F300" s="533">
        <f>F299/10</f>
        <v>105.50999999999999</v>
      </c>
      <c r="G300" s="503"/>
      <c r="H300" s="503"/>
    </row>
    <row r="301" spans="1:11" x14ac:dyDescent="0.2">
      <c r="A301" s="497"/>
      <c r="C301" s="532" t="s">
        <v>556</v>
      </c>
      <c r="D301" s="533">
        <v>3.6419108999999998E-2</v>
      </c>
      <c r="E301" s="533">
        <v>7.6275700000000002E-3</v>
      </c>
      <c r="F301" s="533">
        <v>131.10327000000001</v>
      </c>
      <c r="G301" s="503"/>
      <c r="H301" s="503"/>
    </row>
    <row r="302" spans="1:11" x14ac:dyDescent="0.2">
      <c r="A302" s="497"/>
      <c r="C302" s="532" t="s">
        <v>557</v>
      </c>
      <c r="D302" s="533">
        <f>(F302/F301)*D301</f>
        <v>4.0648934385618299E-2</v>
      </c>
      <c r="E302" s="533">
        <v>6.8338686530444882E-3</v>
      </c>
      <c r="F302" s="533">
        <v>146.33000000000001</v>
      </c>
      <c r="G302" s="503"/>
      <c r="H302" s="503"/>
    </row>
    <row r="303" spans="1:11" x14ac:dyDescent="0.2">
      <c r="A303" s="528" t="s">
        <v>558</v>
      </c>
      <c r="C303" s="532" t="s">
        <v>559</v>
      </c>
      <c r="D303" s="533">
        <v>2.7777777799999999E-10</v>
      </c>
      <c r="E303" s="534">
        <v>1000000</v>
      </c>
      <c r="F303" s="535">
        <v>9.9999999999999995E-7</v>
      </c>
      <c r="G303" s="503"/>
      <c r="H303" s="503"/>
    </row>
    <row r="304" spans="1:11" x14ac:dyDescent="0.2">
      <c r="A304" s="525" t="str">
        <f>A287</f>
        <v>SELECT FROM DROPDOWN</v>
      </c>
      <c r="C304" s="532" t="s">
        <v>560</v>
      </c>
      <c r="D304" s="533">
        <v>1E-3</v>
      </c>
      <c r="E304" s="533">
        <v>0.27777777999999997</v>
      </c>
      <c r="F304" s="533">
        <v>3.6</v>
      </c>
      <c r="G304" s="503"/>
      <c r="H304" s="503"/>
    </row>
    <row r="305" spans="1:8" x14ac:dyDescent="0.2">
      <c r="A305" s="525" t="str">
        <f>C298</f>
        <v>Cubic Feet</v>
      </c>
      <c r="C305" s="532" t="s">
        <v>561</v>
      </c>
      <c r="D305" s="533">
        <v>1</v>
      </c>
      <c r="E305" s="533">
        <v>2.777778E-4</v>
      </c>
      <c r="F305" s="533">
        <f>F304*1000</f>
        <v>3600</v>
      </c>
      <c r="G305" s="503"/>
      <c r="H305" s="503"/>
    </row>
    <row r="306" spans="1:8" x14ac:dyDescent="0.2">
      <c r="A306" s="525" t="str">
        <f t="shared" ref="A306:A312" si="2">C299</f>
        <v>MMBTU</v>
      </c>
      <c r="C306" s="531" t="s">
        <v>562</v>
      </c>
      <c r="D306"/>
    </row>
    <row r="307" spans="1:8" x14ac:dyDescent="0.2">
      <c r="A307" s="525" t="str">
        <f t="shared" si="2"/>
        <v>Therms</v>
      </c>
      <c r="C307"/>
      <c r="D307"/>
    </row>
    <row r="308" spans="1:8" x14ac:dyDescent="0.2">
      <c r="A308" s="525" t="str">
        <f t="shared" si="2"/>
        <v>GGE</v>
      </c>
      <c r="D308" s="502"/>
    </row>
    <row r="309" spans="1:8" x14ac:dyDescent="0.2">
      <c r="A309" s="525" t="str">
        <f t="shared" si="2"/>
        <v>DGE</v>
      </c>
      <c r="C309" s="504"/>
      <c r="D309" s="505"/>
    </row>
    <row r="310" spans="1:8" x14ac:dyDescent="0.2">
      <c r="A310" s="525" t="str">
        <f t="shared" si="2"/>
        <v>Joules</v>
      </c>
      <c r="C310" s="506"/>
      <c r="D310" s="507"/>
    </row>
    <row r="311" spans="1:8" x14ac:dyDescent="0.2">
      <c r="A311" s="525" t="str">
        <f t="shared" si="2"/>
        <v>KWh</v>
      </c>
      <c r="C311" s="506"/>
      <c r="D311" s="507"/>
    </row>
    <row r="312" spans="1:8" x14ac:dyDescent="0.2">
      <c r="A312" s="525" t="str">
        <f t="shared" si="2"/>
        <v>MWh</v>
      </c>
      <c r="C312" s="506"/>
      <c r="D312" s="507"/>
    </row>
    <row r="313" spans="1:8" x14ac:dyDescent="0.2">
      <c r="A313" s="508"/>
      <c r="C313" s="506"/>
      <c r="D313" s="507"/>
    </row>
    <row r="314" spans="1:8" x14ac:dyDescent="0.2">
      <c r="A314" s="529" t="s">
        <v>563</v>
      </c>
      <c r="C314" s="506"/>
      <c r="D314" s="507"/>
    </row>
    <row r="315" spans="1:8" x14ac:dyDescent="0.2">
      <c r="A315" s="525" t="s">
        <v>6</v>
      </c>
      <c r="C315" s="506"/>
      <c r="D315" s="507"/>
    </row>
    <row r="316" spans="1:8" x14ac:dyDescent="0.2">
      <c r="A316" s="525" t="s">
        <v>559</v>
      </c>
      <c r="C316" s="506"/>
      <c r="D316" s="507"/>
    </row>
    <row r="317" spans="1:8" x14ac:dyDescent="0.2">
      <c r="A317" s="527" t="s">
        <v>561</v>
      </c>
      <c r="C317" s="506"/>
      <c r="D317" s="507"/>
    </row>
    <row r="318" spans="1:8" x14ac:dyDescent="0.2">
      <c r="A318" s="527" t="s">
        <v>560</v>
      </c>
      <c r="C318" s="506"/>
      <c r="D318" s="507"/>
    </row>
    <row r="319" spans="1:8" x14ac:dyDescent="0.2">
      <c r="A319" s="527" t="s">
        <v>554</v>
      </c>
      <c r="C319" s="506"/>
      <c r="D319" s="507"/>
    </row>
    <row r="320" spans="1:8" x14ac:dyDescent="0.2">
      <c r="A320" s="508"/>
      <c r="C320" s="506"/>
      <c r="D320" s="507"/>
    </row>
    <row r="321" spans="1:4" x14ac:dyDescent="0.2">
      <c r="A321" s="497"/>
      <c r="C321" s="506"/>
      <c r="D321" s="507"/>
    </row>
    <row r="322" spans="1:4" x14ac:dyDescent="0.2">
      <c r="A322" s="528" t="s">
        <v>564</v>
      </c>
      <c r="C322" s="506"/>
      <c r="D322" s="507"/>
    </row>
    <row r="323" spans="1:4" x14ac:dyDescent="0.2">
      <c r="A323" s="525" t="s">
        <v>6</v>
      </c>
      <c r="C323" s="506"/>
      <c r="D323" s="507"/>
    </row>
    <row r="324" spans="1:4" x14ac:dyDescent="0.2">
      <c r="A324" s="525" t="s">
        <v>565</v>
      </c>
      <c r="C324" s="501"/>
      <c r="D324" s="502"/>
    </row>
    <row r="325" spans="1:4" x14ac:dyDescent="0.2">
      <c r="A325" s="525" t="s">
        <v>566</v>
      </c>
      <c r="C325" s="501"/>
      <c r="D325" s="502"/>
    </row>
    <row r="326" spans="1:4" x14ac:dyDescent="0.2">
      <c r="A326" s="525" t="s">
        <v>567</v>
      </c>
      <c r="C326" s="504"/>
      <c r="D326" s="505"/>
    </row>
    <row r="327" spans="1:4" x14ac:dyDescent="0.2">
      <c r="A327" s="525" t="s">
        <v>568</v>
      </c>
      <c r="C327" s="506"/>
      <c r="D327" s="507"/>
    </row>
    <row r="328" spans="1:4" x14ac:dyDescent="0.2">
      <c r="A328" s="525" t="s">
        <v>569</v>
      </c>
      <c r="C328" s="506"/>
      <c r="D328" s="507"/>
    </row>
    <row r="329" spans="1:4" x14ac:dyDescent="0.2">
      <c r="A329" s="525" t="s">
        <v>570</v>
      </c>
      <c r="C329" s="506"/>
      <c r="D329" s="507"/>
    </row>
    <row r="330" spans="1:4" x14ac:dyDescent="0.2">
      <c r="A330" s="525" t="s">
        <v>571</v>
      </c>
      <c r="C330" s="506"/>
      <c r="D330" s="507"/>
    </row>
    <row r="331" spans="1:4" x14ac:dyDescent="0.2">
      <c r="C331" s="506"/>
      <c r="D331" s="507"/>
    </row>
    <row r="332" spans="1:4" x14ac:dyDescent="0.2">
      <c r="A332" s="528" t="s">
        <v>572</v>
      </c>
      <c r="C332" s="506"/>
      <c r="D332" s="507"/>
    </row>
    <row r="333" spans="1:4" x14ac:dyDescent="0.2">
      <c r="A333" s="527" t="s">
        <v>573</v>
      </c>
      <c r="C333" s="506"/>
      <c r="D333" s="507"/>
    </row>
    <row r="334" spans="1:4" x14ac:dyDescent="0.2">
      <c r="A334" s="527" t="s">
        <v>574</v>
      </c>
      <c r="C334" s="506"/>
      <c r="D334" s="507"/>
    </row>
    <row r="335" spans="1:4" x14ac:dyDescent="0.2">
      <c r="A335" s="527" t="s">
        <v>575</v>
      </c>
    </row>
    <row r="337" spans="1:1" x14ac:dyDescent="0.2">
      <c r="A337" s="528" t="s">
        <v>576</v>
      </c>
    </row>
    <row r="338" spans="1:1" x14ac:dyDescent="0.2">
      <c r="A338" s="525" t="str">
        <f>A287</f>
        <v>SELECT FROM DROPDOWN</v>
      </c>
    </row>
    <row r="339" spans="1:1" x14ac:dyDescent="0.2">
      <c r="A339" s="525" t="str">
        <f>'BioFuel Env Impact'!A8</f>
        <v xml:space="preserve">Biodiesel (from Used Cooking Oil), cooking is not required  </v>
      </c>
    </row>
    <row r="340" spans="1:1" x14ac:dyDescent="0.2">
      <c r="A340" s="525" t="str">
        <f>'BioFuel Env Impact'!A9</f>
        <v xml:space="preserve">Biodiesel (from Used Cooking Oil), cooking is required  </v>
      </c>
    </row>
    <row r="341" spans="1:1" x14ac:dyDescent="0.2">
      <c r="A341" s="525" t="str">
        <f>'BioFuel Env Impact'!A10</f>
        <v xml:space="preserve">Renewable Diesel (from Tallow), using higher energy use for rendering </v>
      </c>
    </row>
    <row r="342" spans="1:1" x14ac:dyDescent="0.2">
      <c r="A342" s="525" t="str">
        <f>'BioFuel Env Impact'!A11</f>
        <v>Renewable Diesel (from Tallow), using lower energy use for rendering</v>
      </c>
    </row>
    <row r="343" spans="1:1" x14ac:dyDescent="0.2">
      <c r="A343" s="525" t="str">
        <f>'BioFuel Env Impact'!A12</f>
        <v xml:space="preserve">CNG (from Dairy Digester Gas) </v>
      </c>
    </row>
    <row r="344" spans="1:1" x14ac:dyDescent="0.2">
      <c r="A344" s="525" t="str">
        <f>'BioFuel Env Impact'!A13</f>
        <v>CNG (from Landfill Gas)</v>
      </c>
    </row>
    <row r="345" spans="1:1" x14ac:dyDescent="0.2">
      <c r="A345" s="525" t="str">
        <f>'BioFuel Env Impact'!A14</f>
        <v xml:space="preserve">Biomethane (from High Solids Anaerobic Digestion (HSAD) of Organic Wastes) </v>
      </c>
    </row>
    <row r="346" spans="1:1" x14ac:dyDescent="0.2">
      <c r="A346" s="525" t="str">
        <f>'BioFuel Env Impact'!A15</f>
        <v>Biomethane (from Mesophilic Anaerobic Digestion of Wastewater Sludge at a Public-Owned Treament Works)</v>
      </c>
    </row>
    <row r="347" spans="1:1" x14ac:dyDescent="0.2">
      <c r="A347" s="525" t="str">
        <f>'BioFuel Env Impact'!A16</f>
        <v>Cellulosic Ethanol (from Farmed Trees)</v>
      </c>
    </row>
    <row r="348" spans="1:1" x14ac:dyDescent="0.2">
      <c r="A348" s="525" t="str">
        <f>'BioFuel Env Impact'!A17</f>
        <v>Cellulosic Ethanol (from Forest Waste)</v>
      </c>
    </row>
    <row r="349" spans="1:1" x14ac:dyDescent="0.2">
      <c r="A349" s="525" t="str">
        <f>'BioFuel Env Impact'!A18</f>
        <v>Corn Ethanol, CA Dry Mill, Dry DGS</v>
      </c>
    </row>
    <row r="350" spans="1:1" x14ac:dyDescent="0.2">
      <c r="A350" s="525" t="str">
        <f>'BioFuel Env Impact'!A19</f>
        <v>Corn Ethanol, CA Dry Mill, Wet DGS; NG</v>
      </c>
    </row>
    <row r="351" spans="1:1" x14ac:dyDescent="0.2">
      <c r="A351" s="497"/>
    </row>
    <row r="352" spans="1:1" x14ac:dyDescent="0.2">
      <c r="A352" s="497"/>
    </row>
    <row r="353" spans="1:3" x14ac:dyDescent="0.2">
      <c r="A353" s="497"/>
    </row>
    <row r="355" spans="1:3" x14ac:dyDescent="0.2">
      <c r="A355" s="525" t="s">
        <v>577</v>
      </c>
    </row>
    <row r="356" spans="1:3" x14ac:dyDescent="0.2">
      <c r="A356" s="525" t="s">
        <v>6</v>
      </c>
    </row>
    <row r="357" spans="1:3" x14ac:dyDescent="0.2">
      <c r="A357" s="525" t="s">
        <v>578</v>
      </c>
    </row>
    <row r="358" spans="1:3" x14ac:dyDescent="0.2">
      <c r="A358" s="525" t="s">
        <v>579</v>
      </c>
    </row>
    <row r="359" spans="1:3" x14ac:dyDescent="0.2">
      <c r="A359" s="525" t="s">
        <v>580</v>
      </c>
      <c r="C359"/>
    </row>
    <row r="360" spans="1:3" x14ac:dyDescent="0.2">
      <c r="A360" s="525" t="s">
        <v>581</v>
      </c>
      <c r="C360"/>
    </row>
    <row r="361" spans="1:3" x14ac:dyDescent="0.2">
      <c r="A361" s="525" t="s">
        <v>582</v>
      </c>
      <c r="C361"/>
    </row>
    <row r="362" spans="1:3" x14ac:dyDescent="0.2">
      <c r="A362" s="497"/>
      <c r="C362"/>
    </row>
    <row r="363" spans="1:3" x14ac:dyDescent="0.2">
      <c r="A363" s="525" t="s">
        <v>583</v>
      </c>
      <c r="C363"/>
    </row>
    <row r="364" spans="1:3" x14ac:dyDescent="0.2">
      <c r="A364" s="525" t="s">
        <v>6</v>
      </c>
      <c r="C364"/>
    </row>
    <row r="365" spans="1:3" x14ac:dyDescent="0.2">
      <c r="A365" s="525" t="str">
        <f>Recycling_Data!A6</f>
        <v>Newsprint</v>
      </c>
      <c r="C365"/>
    </row>
    <row r="366" spans="1:3" x14ac:dyDescent="0.2">
      <c r="A366" s="525" t="str">
        <f>Recycling_Data!A7</f>
        <v>Mixed paper</v>
      </c>
      <c r="C366"/>
    </row>
    <row r="367" spans="1:3" x14ac:dyDescent="0.2">
      <c r="A367" s="525" t="str">
        <f>Recycling_Data!A8</f>
        <v>Glass</v>
      </c>
      <c r="C367"/>
    </row>
    <row r="368" spans="1:3" x14ac:dyDescent="0.2">
      <c r="A368" s="525" t="str">
        <f>Recycling_Data!A9</f>
        <v>Mixed Metal</v>
      </c>
      <c r="C368"/>
    </row>
    <row r="369" spans="1:4" x14ac:dyDescent="0.2">
      <c r="A369" s="525" t="str">
        <f>Recycling_Data!A10</f>
        <v>Mixed Plastics</v>
      </c>
      <c r="C369"/>
    </row>
    <row r="370" spans="1:4" x14ac:dyDescent="0.2">
      <c r="A370" s="525" t="str">
        <f>Recycling_Data!A11</f>
        <v>Mixed Recycling</v>
      </c>
      <c r="C370"/>
    </row>
    <row r="371" spans="1:4" x14ac:dyDescent="0.2">
      <c r="A371" s="525" t="str">
        <f>Recycling_Data!A12</f>
        <v>Food Waste</v>
      </c>
      <c r="C371"/>
    </row>
    <row r="372" spans="1:4" x14ac:dyDescent="0.2">
      <c r="A372" s="525" t="s">
        <v>584</v>
      </c>
      <c r="C372"/>
    </row>
    <row r="373" spans="1:4" x14ac:dyDescent="0.2">
      <c r="A373" s="525" t="str">
        <f>Recycling_Data!A14</f>
        <v>Mixed Organics</v>
      </c>
      <c r="C373"/>
      <c r="D373"/>
    </row>
    <row r="374" spans="1:4" x14ac:dyDescent="0.2">
      <c r="A374" s="525" t="str">
        <f>Recycling_Data!A15</f>
        <v>Crumb Tire Rubber</v>
      </c>
      <c r="C374"/>
      <c r="D374"/>
    </row>
    <row r="375" spans="1:4" x14ac:dyDescent="0.2">
      <c r="A375" s="525" t="str">
        <f>Recycling_Data!A16</f>
        <v>Shredded Tire Rubber</v>
      </c>
      <c r="C375"/>
      <c r="D375"/>
    </row>
    <row r="376" spans="1:4" x14ac:dyDescent="0.2">
      <c r="A376" s="525" t="str">
        <f>Recycling_Data!A17</f>
        <v>Asphalt and/or Concrete</v>
      </c>
      <c r="C376"/>
    </row>
    <row r="377" spans="1:4" x14ac:dyDescent="0.2">
      <c r="C377"/>
    </row>
    <row r="378" spans="1:4" x14ac:dyDescent="0.2">
      <c r="A378" s="525" t="s">
        <v>585</v>
      </c>
      <c r="C378"/>
    </row>
    <row r="379" spans="1:4" x14ac:dyDescent="0.2">
      <c r="A379" s="525" t="s">
        <v>6</v>
      </c>
      <c r="C379"/>
    </row>
    <row r="380" spans="1:4" x14ac:dyDescent="0.2">
      <c r="A380" s="525" t="s">
        <v>586</v>
      </c>
      <c r="C380"/>
    </row>
    <row r="381" spans="1:4" x14ac:dyDescent="0.2">
      <c r="A381" s="525" t="s">
        <v>587</v>
      </c>
      <c r="C381"/>
    </row>
    <row r="382" spans="1:4" x14ac:dyDescent="0.2">
      <c r="A382" s="525" t="s">
        <v>2664</v>
      </c>
      <c r="B382" s="1"/>
    </row>
    <row r="383" spans="1:4" x14ac:dyDescent="0.2">
      <c r="A383" s="525" t="s">
        <v>2666</v>
      </c>
      <c r="B383" s="1"/>
    </row>
    <row r="384" spans="1:4" x14ac:dyDescent="0.2">
      <c r="A384" s="525" t="s">
        <v>2665</v>
      </c>
      <c r="B384" s="1"/>
    </row>
    <row r="385" spans="1:2" x14ac:dyDescent="0.2">
      <c r="A385" s="525" t="s">
        <v>2667</v>
      </c>
      <c r="B385" s="1"/>
    </row>
    <row r="386" spans="1:2" x14ac:dyDescent="0.2">
      <c r="A386" s="525" t="s">
        <v>150</v>
      </c>
      <c r="B386" s="1"/>
    </row>
    <row r="387" spans="1:2" x14ac:dyDescent="0.2">
      <c r="A387" s="497"/>
      <c r="B387" s="1"/>
    </row>
    <row r="395" spans="1:2" x14ac:dyDescent="0.2">
      <c r="B395" s="1"/>
    </row>
    <row r="396" spans="1:2" x14ac:dyDescent="0.2">
      <c r="B396" s="1"/>
    </row>
    <row r="397" spans="1:2" x14ac:dyDescent="0.2">
      <c r="B397" s="1"/>
    </row>
    <row r="398" spans="1:2" x14ac:dyDescent="0.2">
      <c r="B398" s="1"/>
    </row>
    <row r="399" spans="1:2" x14ac:dyDescent="0.2">
      <c r="B399" s="1"/>
    </row>
    <row r="400" spans="1:2" x14ac:dyDescent="0.2">
      <c r="B400" s="1"/>
    </row>
    <row r="401" spans="2:3" x14ac:dyDescent="0.2">
      <c r="B401" s="1"/>
      <c r="C401" s="5"/>
    </row>
    <row r="402" spans="2:3" x14ac:dyDescent="0.2">
      <c r="B402" s="1"/>
      <c r="C402" s="5"/>
    </row>
    <row r="403" spans="2:3" x14ac:dyDescent="0.2">
      <c r="B403" s="1"/>
      <c r="C403" s="5"/>
    </row>
    <row r="404" spans="2:3" x14ac:dyDescent="0.2">
      <c r="B404" s="1"/>
      <c r="C404" s="5"/>
    </row>
  </sheetData>
  <sheetProtection algorithmName="SHA-512" hashValue="bIsGO431EyX8veafBtEOaYG51VZ2kGwJ0RXtfOZBNVXWLM+mTb0ct3IrdaaR41e/i3mwCJoV1Xt+Gn4Oi1pRAA==" saltValue="I+0BKP+pqE9m7AbMZCRIQg==" spinCount="100000" sheet="1" formatCells="0" formatColumns="0" formatRows="0"/>
  <sortState xmlns:xlrd2="http://schemas.microsoft.com/office/spreadsheetml/2017/richdata2" ref="C289:F295">
    <sortCondition ref="C289:C295"/>
  </sortState>
  <customSheetViews>
    <customSheetView guid="{1041E6CB-32E2-4271-B20C-13C1365EF52A}" showGridLines="0">
      <selection activeCell="G14" sqref="G14"/>
      <rowBreaks count="2" manualBreakCount="2">
        <brk id="57" max="7" man="1"/>
        <brk id="135" max="7" man="1"/>
      </rowBreaks>
      <pageMargins left="0" right="0" top="0" bottom="0" header="0" footer="0"/>
      <printOptions horizontalCentered="1"/>
      <pageSetup scale="60" fitToHeight="5" orientation="landscape"/>
      <headerFooter alignWithMargins="0"/>
    </customSheetView>
    <customSheetView guid="{46C4EEEB-C468-4FDB-8961-DFC585498CD3}" showGridLines="0">
      <selection activeCell="G14" sqref="G14"/>
      <rowBreaks count="2" manualBreakCount="2">
        <brk id="57" max="7" man="1"/>
        <brk id="135" max="7" man="1"/>
      </rowBreaks>
      <pageMargins left="0" right="0" top="0" bottom="0" header="0" footer="0"/>
      <printOptions horizontalCentered="1"/>
      <pageSetup scale="60" fitToHeight="5" orientation="landscape"/>
      <headerFooter alignWithMargins="0"/>
    </customSheetView>
  </customSheetViews>
  <phoneticPr fontId="15" type="noConversion"/>
  <conditionalFormatting sqref="B151:B153 B156:B157 B197:B201">
    <cfRule type="cellIs" dxfId="0" priority="1" stopIfTrue="1" operator="equal">
      <formula>"$C$40=""No"""</formula>
    </cfRule>
  </conditionalFormatting>
  <printOptions horizontalCentered="1"/>
  <pageMargins left="0.59055118110236227" right="0.59055118110236227" top="0.39370078740157483" bottom="0.39370078740157483" header="0.51181102362204722" footer="0.51181102362204722"/>
  <pageSetup scale="60" fitToHeight="5" orientation="landscape" r:id="rId1"/>
  <headerFooter alignWithMargins="0"/>
  <rowBreaks count="2" manualBreakCount="2">
    <brk id="60" max="7" man="1"/>
    <brk id="157"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3B1FE-6404-46C6-AE68-953A256833C8}">
  <dimension ref="A1:C14"/>
  <sheetViews>
    <sheetView workbookViewId="0">
      <selection activeCell="C11" sqref="C11"/>
    </sheetView>
  </sheetViews>
  <sheetFormatPr defaultColWidth="8.85546875" defaultRowHeight="12.75" x14ac:dyDescent="0.2"/>
  <cols>
    <col min="1" max="1" width="44.5703125" bestFit="1" customWidth="1"/>
    <col min="2" max="2" width="26.85546875" bestFit="1" customWidth="1"/>
  </cols>
  <sheetData>
    <row r="1" spans="1:3" x14ac:dyDescent="0.2">
      <c r="A1" s="5" t="s">
        <v>588</v>
      </c>
      <c r="B1" s="1"/>
    </row>
    <row r="2" spans="1:3" x14ac:dyDescent="0.2">
      <c r="A2" s="1" t="s">
        <v>589</v>
      </c>
    </row>
    <row r="3" spans="1:3" x14ac:dyDescent="0.2">
      <c r="A3" s="1" t="s">
        <v>590</v>
      </c>
    </row>
    <row r="6" spans="1:3" x14ac:dyDescent="0.2">
      <c r="A6" s="5" t="s">
        <v>591</v>
      </c>
      <c r="B6" s="5" t="s">
        <v>592</v>
      </c>
      <c r="C6" s="5" t="s">
        <v>593</v>
      </c>
    </row>
    <row r="7" spans="1:3" ht="15" x14ac:dyDescent="0.2">
      <c r="A7" s="1" t="s">
        <v>594</v>
      </c>
      <c r="B7" s="275" t="s">
        <v>150</v>
      </c>
      <c r="C7" s="1" t="e">
        <f>VLOOKUP(Scoring!C16,Scoring!C287:G294,5,FALSE)</f>
        <v>#N/A</v>
      </c>
    </row>
    <row r="8" spans="1:3" ht="15" x14ac:dyDescent="0.2">
      <c r="A8" s="276" t="s">
        <v>487</v>
      </c>
      <c r="B8" s="275" t="s">
        <v>150</v>
      </c>
      <c r="C8">
        <f>Scoring!C162</f>
        <v>0</v>
      </c>
    </row>
    <row r="9" spans="1:3" ht="15" x14ac:dyDescent="0.2">
      <c r="A9" s="276" t="s">
        <v>595</v>
      </c>
      <c r="B9" s="275" t="s">
        <v>150</v>
      </c>
      <c r="C9" s="237" t="e">
        <f ca="1">Scoring!C171</f>
        <v>#REF!</v>
      </c>
    </row>
    <row r="10" spans="1:3" ht="15" x14ac:dyDescent="0.2">
      <c r="A10" s="276" t="s">
        <v>596</v>
      </c>
      <c r="B10" s="275" t="s">
        <v>150</v>
      </c>
      <c r="C10">
        <f>IF(Applicant_Information!E69="SELECT FROM DROPDOWN",0,15)</f>
        <v>0</v>
      </c>
    </row>
    <row r="11" spans="1:3" ht="15" x14ac:dyDescent="0.2">
      <c r="A11" s="276" t="s">
        <v>523</v>
      </c>
      <c r="B11" s="275" t="s">
        <v>150</v>
      </c>
      <c r="C11" t="e">
        <f ca="1">IF(Scoring!C194=40,75,0)</f>
        <v>#REF!</v>
      </c>
    </row>
    <row r="12" spans="1:3" ht="15" x14ac:dyDescent="0.2">
      <c r="A12" s="276" t="s">
        <v>597</v>
      </c>
      <c r="B12" s="312" t="s">
        <v>6</v>
      </c>
      <c r="C12">
        <f>IF(B12="No",50,0)</f>
        <v>0</v>
      </c>
    </row>
    <row r="13" spans="1:3" ht="15" x14ac:dyDescent="0.2">
      <c r="A13" s="276" t="s">
        <v>598</v>
      </c>
      <c r="B13" s="312" t="s">
        <v>6</v>
      </c>
      <c r="C13">
        <f>IF(B13="Yes",50,0)</f>
        <v>0</v>
      </c>
    </row>
    <row r="14" spans="1:3" ht="15" x14ac:dyDescent="0.2">
      <c r="A14" s="277" t="s">
        <v>599</v>
      </c>
      <c r="B14" s="5"/>
      <c r="C14" s="5" t="e">
        <f>SUM(C7:C13)</f>
        <v>#N/A</v>
      </c>
    </row>
  </sheetData>
  <sheetProtection algorithmName="SHA-512" hashValue="kYD/DTWUPih7JQVNeS4XshMZPXF4sRFgyKCp0+hUes6KLoXQ/4dASn4dYINBpfA2tlQQGiEh0rIE/yCVbQDtSA==" saltValue="5krYFk9j7LG8KcqhK3+HCg==" spinCount="100000" sheet="1" objects="1" scenarios="1"/>
  <dataValidations count="1">
    <dataValidation type="list" allowBlank="1" showInputMessage="1" showErrorMessage="1" sqref="B13 B12" xr:uid="{CF6C814D-10AA-4304-A17C-4B1AECB559B3}">
      <formula1>yes_no</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8"/>
  <sheetViews>
    <sheetView workbookViewId="0">
      <selection activeCell="E45" sqref="E45"/>
    </sheetView>
  </sheetViews>
  <sheetFormatPr defaultColWidth="8.85546875" defaultRowHeight="12.75" x14ac:dyDescent="0.2"/>
  <cols>
    <col min="1" max="1" width="46.42578125" customWidth="1"/>
    <col min="2" max="2" width="34.42578125" customWidth="1"/>
    <col min="3" max="3" width="0.42578125" customWidth="1"/>
    <col min="4" max="4" width="35.42578125" customWidth="1"/>
    <col min="5" max="5" width="37.42578125" customWidth="1"/>
  </cols>
  <sheetData>
    <row r="1" spans="1:5" ht="20.25" x14ac:dyDescent="0.3">
      <c r="A1" s="233"/>
      <c r="B1" s="713" t="s">
        <v>600</v>
      </c>
      <c r="C1" s="714"/>
      <c r="D1" s="714"/>
      <c r="E1" s="233"/>
    </row>
    <row r="2" spans="1:5" x14ac:dyDescent="0.2">
      <c r="A2" s="715" t="s">
        <v>601</v>
      </c>
      <c r="B2" s="716"/>
      <c r="D2" s="712" t="s">
        <v>602</v>
      </c>
      <c r="E2" s="712"/>
    </row>
    <row r="3" spans="1:5" x14ac:dyDescent="0.2">
      <c r="A3" s="234" t="s">
        <v>603</v>
      </c>
      <c r="B3" s="313">
        <f>Applicant_Information!B5</f>
        <v>0</v>
      </c>
      <c r="D3" s="314" t="s">
        <v>604</v>
      </c>
      <c r="E3" s="314"/>
    </row>
    <row r="4" spans="1:5" x14ac:dyDescent="0.2">
      <c r="A4" s="235" t="s">
        <v>605</v>
      </c>
      <c r="B4" s="313" t="str">
        <f>Applicant_Information!E53</f>
        <v>SELECT FROM DROPDOWN</v>
      </c>
      <c r="D4" s="315" t="s">
        <v>606</v>
      </c>
      <c r="E4" s="313" t="e">
        <f ca="1">Scoring!C136</f>
        <v>#REF!</v>
      </c>
    </row>
    <row r="5" spans="1:5" x14ac:dyDescent="0.2">
      <c r="A5" s="235" t="s">
        <v>607</v>
      </c>
      <c r="B5" s="313" t="str">
        <f>Applicant_Information!E60</f>
        <v>SELECT FROM DROPDOWN</v>
      </c>
      <c r="D5" s="315" t="s">
        <v>608</v>
      </c>
      <c r="E5" s="316">
        <f>Advanced_Manufacturing!D37</f>
        <v>0</v>
      </c>
    </row>
    <row r="6" spans="1:5" x14ac:dyDescent="0.2">
      <c r="A6" s="234" t="s">
        <v>609</v>
      </c>
      <c r="B6" s="317">
        <f>VQP</f>
        <v>0</v>
      </c>
      <c r="D6" s="315" t="s">
        <v>610</v>
      </c>
      <c r="E6" s="318" t="s">
        <v>611</v>
      </c>
    </row>
    <row r="7" spans="1:5" x14ac:dyDescent="0.2">
      <c r="A7" s="234" t="s">
        <v>612</v>
      </c>
      <c r="B7" s="317">
        <f>Scoring!C153</f>
        <v>0</v>
      </c>
      <c r="D7" s="315" t="s">
        <v>613</v>
      </c>
      <c r="E7" s="313" t="e">
        <f ca="1">Scoring!C137</f>
        <v>#REF!</v>
      </c>
    </row>
    <row r="8" spans="1:5" x14ac:dyDescent="0.2">
      <c r="A8" s="235" t="s">
        <v>614</v>
      </c>
      <c r="B8" s="319" t="e">
        <f ca="1">Scoring!C151</f>
        <v>#REF!</v>
      </c>
      <c r="D8" s="315" t="s">
        <v>615</v>
      </c>
      <c r="E8" s="316">
        <f>Advanced_Manufacturing!D39</f>
        <v>0</v>
      </c>
    </row>
    <row r="9" spans="1:5" x14ac:dyDescent="0.2">
      <c r="A9" s="234" t="s">
        <v>616</v>
      </c>
      <c r="B9" s="320" t="e">
        <f>Scoring!C152</f>
        <v>#N/A</v>
      </c>
      <c r="D9" s="315" t="s">
        <v>617</v>
      </c>
      <c r="E9" s="318" t="s">
        <v>618</v>
      </c>
    </row>
    <row r="10" spans="1:5" x14ac:dyDescent="0.2">
      <c r="A10" s="235" t="s">
        <v>619</v>
      </c>
      <c r="B10" s="320" t="e">
        <f ca="1">SUM(B8:B9)</f>
        <v>#REF!</v>
      </c>
      <c r="D10" s="313" t="s">
        <v>620</v>
      </c>
      <c r="E10" s="313" t="e">
        <f ca="1">Scoring!C138</f>
        <v>#REF!</v>
      </c>
    </row>
    <row r="11" spans="1:5" x14ac:dyDescent="0.2">
      <c r="A11" s="234" t="s">
        <v>621</v>
      </c>
      <c r="B11" s="320" t="e">
        <f ca="1">Scoring!C154</f>
        <v>#REF!</v>
      </c>
      <c r="D11" s="315" t="s">
        <v>622</v>
      </c>
      <c r="E11" s="316">
        <f>Advanced_Manufacturing!D41</f>
        <v>0</v>
      </c>
    </row>
    <row r="12" spans="1:5" x14ac:dyDescent="0.2">
      <c r="A12" s="234" t="s">
        <v>623</v>
      </c>
      <c r="B12" s="320" t="e">
        <f ca="1">Scoring!D151</f>
        <v>#REF!</v>
      </c>
      <c r="D12" s="315" t="s">
        <v>624</v>
      </c>
      <c r="E12" s="318" t="s">
        <v>625</v>
      </c>
    </row>
    <row r="13" spans="1:5" x14ac:dyDescent="0.2">
      <c r="A13" s="234" t="s">
        <v>626</v>
      </c>
      <c r="B13" s="320" t="e">
        <f>Scoring!D152</f>
        <v>#N/A</v>
      </c>
      <c r="D13" s="313" t="s">
        <v>627</v>
      </c>
      <c r="E13" s="313" t="e">
        <f ca="1">Scoring!C139</f>
        <v>#REF!</v>
      </c>
    </row>
    <row r="14" spans="1:5" x14ac:dyDescent="0.2">
      <c r="A14" s="313" t="s">
        <v>628</v>
      </c>
      <c r="B14" s="320" t="e">
        <f ca="1">Scoring!C199</f>
        <v>#N/A</v>
      </c>
      <c r="D14" s="315" t="s">
        <v>629</v>
      </c>
      <c r="E14" s="316">
        <f>Advanced_Manufacturing!D43</f>
        <v>0</v>
      </c>
    </row>
    <row r="15" spans="1:5" x14ac:dyDescent="0.2">
      <c r="A15" s="313" t="s">
        <v>630</v>
      </c>
      <c r="B15" s="320" t="e">
        <f ca="1">Scoring!C201</f>
        <v>#N/A</v>
      </c>
      <c r="D15" s="315" t="s">
        <v>631</v>
      </c>
      <c r="E15" s="318" t="s">
        <v>632</v>
      </c>
    </row>
    <row r="16" spans="1:5" x14ac:dyDescent="0.2">
      <c r="D16" s="313" t="s">
        <v>633</v>
      </c>
      <c r="E16" s="313" t="e">
        <f ca="1">Scoring!C140</f>
        <v>#REF!</v>
      </c>
    </row>
    <row r="17" spans="1:5" x14ac:dyDescent="0.2">
      <c r="A17" s="715" t="s">
        <v>634</v>
      </c>
      <c r="B17" s="715"/>
      <c r="D17" s="315" t="s">
        <v>635</v>
      </c>
      <c r="E17" s="316">
        <f>Advanced_Manufacturing!D45</f>
        <v>0</v>
      </c>
    </row>
    <row r="18" spans="1:5" x14ac:dyDescent="0.2">
      <c r="A18" s="315" t="s">
        <v>636</v>
      </c>
      <c r="B18" s="321">
        <f>Applicant_Information!E11</f>
        <v>0</v>
      </c>
      <c r="D18" s="315" t="s">
        <v>637</v>
      </c>
      <c r="E18" s="318" t="s">
        <v>638</v>
      </c>
    </row>
    <row r="19" spans="1:5" x14ac:dyDescent="0.2">
      <c r="A19" s="315" t="s">
        <v>639</v>
      </c>
      <c r="B19" s="313">
        <f>Applicant_Information!E8</f>
        <v>0</v>
      </c>
      <c r="D19" s="717" t="s">
        <v>640</v>
      </c>
      <c r="E19" s="718"/>
    </row>
    <row r="20" spans="1:5" x14ac:dyDescent="0.2">
      <c r="A20" s="315" t="s">
        <v>641</v>
      </c>
      <c r="B20" s="322" t="s">
        <v>642</v>
      </c>
      <c r="D20" s="313" t="s">
        <v>628</v>
      </c>
      <c r="E20" s="323" t="e">
        <f ca="1">Scoring!C199</f>
        <v>#N/A</v>
      </c>
    </row>
    <row r="21" spans="1:5" x14ac:dyDescent="0.2">
      <c r="D21" s="313" t="s">
        <v>643</v>
      </c>
      <c r="E21" s="324" t="e">
        <f ca="1">Scoring!C171</f>
        <v>#REF!</v>
      </c>
    </row>
    <row r="22" spans="1:5" x14ac:dyDescent="0.2">
      <c r="A22" s="715" t="s">
        <v>644</v>
      </c>
      <c r="B22" s="715"/>
      <c r="D22" s="313" t="s">
        <v>645</v>
      </c>
      <c r="E22" s="324" t="e">
        <f ca="1">Scoring!C165</f>
        <v>#REF!</v>
      </c>
    </row>
    <row r="23" spans="1:5" x14ac:dyDescent="0.2">
      <c r="A23" s="712" t="s">
        <v>646</v>
      </c>
      <c r="B23" s="712"/>
      <c r="D23" s="313" t="s">
        <v>647</v>
      </c>
      <c r="E23" s="325" t="e">
        <f ca="1">Scoring!C166</f>
        <v>#REF!</v>
      </c>
    </row>
    <row r="24" spans="1:5" x14ac:dyDescent="0.2">
      <c r="A24" s="313" t="s">
        <v>648</v>
      </c>
      <c r="B24" s="320" t="e">
        <f ca="1">B15</f>
        <v>#N/A</v>
      </c>
      <c r="D24" s="313" t="s">
        <v>501</v>
      </c>
      <c r="E24" s="313">
        <f ca="1">Scoring!C178</f>
        <v>0</v>
      </c>
    </row>
    <row r="25" spans="1:5" x14ac:dyDescent="0.2">
      <c r="A25" s="315" t="s">
        <v>649</v>
      </c>
      <c r="B25" s="320" t="e">
        <f>B13</f>
        <v>#N/A</v>
      </c>
      <c r="D25" s="313" t="s">
        <v>650</v>
      </c>
      <c r="E25" s="324" t="e">
        <f ca="1">Scoring!C175</f>
        <v>#REF!</v>
      </c>
    </row>
    <row r="26" spans="1:5" x14ac:dyDescent="0.2">
      <c r="A26" s="712" t="s">
        <v>651</v>
      </c>
      <c r="B26" s="712"/>
      <c r="D26" s="313" t="s">
        <v>647</v>
      </c>
      <c r="E26" s="325" t="e">
        <f ca="1">Scoring!C176</f>
        <v>#REF!</v>
      </c>
    </row>
    <row r="27" spans="1:5" x14ac:dyDescent="0.2">
      <c r="A27" s="313" t="s">
        <v>652</v>
      </c>
      <c r="B27" s="320" t="e">
        <f ca="1">B12</f>
        <v>#REF!</v>
      </c>
      <c r="D27" s="313" t="s">
        <v>653</v>
      </c>
      <c r="E27" s="313">
        <f>Scoring!C162</f>
        <v>0</v>
      </c>
    </row>
    <row r="28" spans="1:5" x14ac:dyDescent="0.2">
      <c r="A28" s="313" t="s">
        <v>654</v>
      </c>
      <c r="B28" s="319" t="e">
        <f ca="1">B8</f>
        <v>#REF!</v>
      </c>
      <c r="D28" s="313" t="s">
        <v>655</v>
      </c>
      <c r="E28" s="313" t="str">
        <f>B4</f>
        <v>SELECT FROM DROPDOWN</v>
      </c>
    </row>
    <row r="29" spans="1:5" x14ac:dyDescent="0.2">
      <c r="A29" s="712" t="s">
        <v>656</v>
      </c>
      <c r="B29" s="712"/>
      <c r="D29" s="315" t="s">
        <v>657</v>
      </c>
      <c r="E29" s="326">
        <f>Scoring!C161</f>
        <v>0</v>
      </c>
    </row>
    <row r="30" spans="1:5" x14ac:dyDescent="0.2">
      <c r="A30" s="315" t="s">
        <v>658</v>
      </c>
      <c r="B30" s="320" t="e">
        <f>B13</f>
        <v>#N/A</v>
      </c>
      <c r="D30" s="315" t="s">
        <v>659</v>
      </c>
      <c r="E30" s="323" t="e">
        <f>Scoring!C188</f>
        <v>#N/A</v>
      </c>
    </row>
    <row r="31" spans="1:5" x14ac:dyDescent="0.2">
      <c r="A31" s="314" t="s">
        <v>660</v>
      </c>
      <c r="B31" s="327"/>
      <c r="D31" s="315" t="s">
        <v>661</v>
      </c>
      <c r="E31" s="328" t="e">
        <f>Scoring!C187</f>
        <v>#N/A</v>
      </c>
    </row>
    <row r="32" spans="1:5" x14ac:dyDescent="0.2">
      <c r="A32" s="315" t="s">
        <v>662</v>
      </c>
      <c r="B32" s="329" t="e">
        <f>B9</f>
        <v>#N/A</v>
      </c>
      <c r="D32" s="313" t="s">
        <v>663</v>
      </c>
      <c r="E32" s="313" t="e">
        <f ca="1">Scoring!C191</f>
        <v>#REF!</v>
      </c>
    </row>
    <row r="33" spans="1:5" x14ac:dyDescent="0.2">
      <c r="A33" s="314" t="s">
        <v>664</v>
      </c>
      <c r="B33" s="327"/>
      <c r="D33" s="313" t="s">
        <v>665</v>
      </c>
      <c r="E33" s="313" t="e">
        <f ca="1">Scoring!C192</f>
        <v>#REF!</v>
      </c>
    </row>
    <row r="34" spans="1:5" x14ac:dyDescent="0.2">
      <c r="A34" s="315" t="s">
        <v>666</v>
      </c>
      <c r="B34" s="313" t="e">
        <f ca="1">Scoring!C134</f>
        <v>#REF!</v>
      </c>
      <c r="D34" s="315" t="s">
        <v>667</v>
      </c>
      <c r="E34" s="330" t="s">
        <v>668</v>
      </c>
    </row>
    <row r="35" spans="1:5" x14ac:dyDescent="0.2">
      <c r="A35" s="315" t="s">
        <v>669</v>
      </c>
      <c r="B35" s="331" t="s">
        <v>670</v>
      </c>
      <c r="D35" s="313" t="s">
        <v>671</v>
      </c>
      <c r="E35" s="313" t="e">
        <f ca="1">Scoring!C193</f>
        <v>#REF!</v>
      </c>
    </row>
    <row r="36" spans="1:5" x14ac:dyDescent="0.2">
      <c r="A36" s="315" t="s">
        <v>672</v>
      </c>
      <c r="B36" s="313" t="e">
        <f ca="1">Scoring!C135</f>
        <v>#REF!</v>
      </c>
      <c r="D36" s="315" t="s">
        <v>673</v>
      </c>
      <c r="E36" s="330" t="s">
        <v>674</v>
      </c>
    </row>
    <row r="37" spans="1:5" x14ac:dyDescent="0.2">
      <c r="A37" s="315" t="s">
        <v>675</v>
      </c>
      <c r="B37" s="316">
        <f>Advanced_Manufacturing!D35</f>
        <v>0</v>
      </c>
      <c r="D37" s="315" t="s">
        <v>676</v>
      </c>
      <c r="E37" s="313" t="e">
        <f ca="1">Scoring!C195</f>
        <v>#REF!</v>
      </c>
    </row>
    <row r="38" spans="1:5" x14ac:dyDescent="0.2">
      <c r="A38" s="315" t="s">
        <v>677</v>
      </c>
      <c r="B38" s="318" t="s">
        <v>678</v>
      </c>
      <c r="D38" s="315" t="s">
        <v>679</v>
      </c>
      <c r="E38" s="330" t="s">
        <v>680</v>
      </c>
    </row>
    <row r="39" spans="1:5" x14ac:dyDescent="0.2">
      <c r="E39" s="236"/>
    </row>
    <row r="40" spans="1:5" x14ac:dyDescent="0.2">
      <c r="B40" s="709" t="s">
        <v>681</v>
      </c>
      <c r="C40" s="710"/>
      <c r="D40" s="711"/>
    </row>
    <row r="41" spans="1:5" x14ac:dyDescent="0.2">
      <c r="B41" s="315" t="s">
        <v>682</v>
      </c>
      <c r="C41" s="313"/>
      <c r="D41" s="332">
        <f>IF(D43*0.0005&lt;250,250,MIN(D43*0.0005,10000))</f>
        <v>250</v>
      </c>
      <c r="E41" s="1" t="s">
        <v>683</v>
      </c>
    </row>
    <row r="42" spans="1:5" x14ac:dyDescent="0.2">
      <c r="B42" s="333" t="s">
        <v>684</v>
      </c>
      <c r="C42" s="333"/>
      <c r="D42" s="334">
        <f>IF(D43*0.004&lt;15000,15000,MIN(D43*0.004,350000))</f>
        <v>15000</v>
      </c>
    </row>
    <row r="43" spans="1:5" x14ac:dyDescent="0.2">
      <c r="B43" s="333" t="s">
        <v>685</v>
      </c>
      <c r="C43" s="333"/>
      <c r="D43" s="334">
        <f>B6</f>
        <v>0</v>
      </c>
    </row>
    <row r="44" spans="1:5" x14ac:dyDescent="0.2">
      <c r="B44" s="333" t="s">
        <v>329</v>
      </c>
      <c r="C44" s="333"/>
      <c r="D44" s="334">
        <f>B7</f>
        <v>0</v>
      </c>
    </row>
    <row r="48" spans="1:5" x14ac:dyDescent="0.2">
      <c r="B48" s="237"/>
    </row>
  </sheetData>
  <sheetProtection algorithmName="SHA-512" hashValue="kPIL1FFg8bIqTw3WX+K1tA8BlEaVFVewizxP6aIEUD3CkSremEXW2LysbnjbvGxgy+Xs5io09wJs19BJQIK+9g==" saltValue="WetESv/5ssJgz2UMvBVMCw==" spinCount="100000" sheet="1" objects="1" scenarios="1"/>
  <mergeCells count="10">
    <mergeCell ref="B40:D40"/>
    <mergeCell ref="A23:B23"/>
    <mergeCell ref="A26:B26"/>
    <mergeCell ref="A29:B29"/>
    <mergeCell ref="B1:D1"/>
    <mergeCell ref="A2:B2"/>
    <mergeCell ref="D2:E2"/>
    <mergeCell ref="A17:B17"/>
    <mergeCell ref="D19:E19"/>
    <mergeCell ref="A22:B22"/>
  </mergeCells>
  <hyperlinks>
    <hyperlink ref="B35" location="Advanced_Manufacturing!C31" display="Environmental Impact E16" xr:uid="{00000000-0004-0000-0B00-000000000000}"/>
    <hyperlink ref="B20" location="Applicant_Information!A37" display="Applicant Information A23 &amp; A24" xr:uid="{00000000-0004-0000-0B00-000001000000}"/>
    <hyperlink ref="E6" location="Advanced_Manufacturing!C38" display="Environmental Impact E18" xr:uid="{00000000-0004-0000-0B00-000002000000}"/>
    <hyperlink ref="E9" location="Advanced_Manufacturing!C40" display="Environmental Impact E19" xr:uid="{00000000-0004-0000-0B00-000003000000}"/>
    <hyperlink ref="E12" location="Advanced_Manufacturing!C42" display="Environmental Impact E20" xr:uid="{00000000-0004-0000-0B00-000004000000}"/>
    <hyperlink ref="E15" location="Advanced_Manufacturing!C44" display="Environmental Impact E21" xr:uid="{00000000-0004-0000-0B00-000005000000}"/>
    <hyperlink ref="E18" location="Advanced_Manufacturing!C44" display="Environmental Impact E22" xr:uid="{00000000-0004-0000-0B00-000006000000}"/>
    <hyperlink ref="B38" location="Advanced_Manufacturing!C33" display="Environmental Impact E17" xr:uid="{00000000-0004-0000-0B00-000007000000}"/>
  </hyperlink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1"/>
  <dimension ref="A1:R39"/>
  <sheetViews>
    <sheetView showGridLines="0" zoomScale="125" zoomScaleNormal="125" workbookViewId="0">
      <selection activeCell="C7" sqref="C7"/>
    </sheetView>
  </sheetViews>
  <sheetFormatPr defaultColWidth="8.5703125" defaultRowHeight="12.75" x14ac:dyDescent="0.2"/>
  <cols>
    <col min="1" max="1" width="3.140625" customWidth="1"/>
    <col min="2" max="2" width="24.42578125" customWidth="1"/>
    <col min="3" max="3" width="12.5703125" customWidth="1"/>
    <col min="4" max="4" width="11.5703125" customWidth="1"/>
    <col min="5" max="5" width="0.5703125" customWidth="1"/>
    <col min="6" max="6" width="10.42578125" customWidth="1"/>
    <col min="7" max="7" width="12.5703125" customWidth="1"/>
    <col min="8" max="8" width="11" customWidth="1"/>
    <col min="10" max="10" width="9.5703125" customWidth="1"/>
    <col min="11" max="11" width="13" customWidth="1"/>
    <col min="14" max="14" width="11.42578125" style="15" customWidth="1"/>
    <col min="15" max="15" width="16" style="15" bestFit="1" customWidth="1"/>
    <col min="16" max="18" width="9.140625" style="15" customWidth="1"/>
  </cols>
  <sheetData>
    <row r="1" spans="1:18" x14ac:dyDescent="0.2">
      <c r="A1" s="5" t="s">
        <v>686</v>
      </c>
    </row>
    <row r="2" spans="1:18" ht="13.5" thickBot="1" x14ac:dyDescent="0.25">
      <c r="A2" s="12" t="s">
        <v>687</v>
      </c>
      <c r="B2" s="13"/>
      <c r="C2" s="13"/>
      <c r="D2" s="13"/>
      <c r="E2" s="13"/>
      <c r="F2" s="13"/>
      <c r="G2" s="13"/>
      <c r="H2" s="13"/>
      <c r="I2" s="13"/>
      <c r="J2" s="13"/>
      <c r="K2" s="13"/>
      <c r="L2" s="13"/>
      <c r="Q2" s="16"/>
      <c r="R2" s="16"/>
    </row>
    <row r="3" spans="1:18" ht="13.5" thickTop="1" x14ac:dyDescent="0.2">
      <c r="B3" s="14" t="s">
        <v>688</v>
      </c>
      <c r="C3" s="2"/>
      <c r="D3" s="2"/>
      <c r="E3" s="2"/>
      <c r="J3" s="18" t="s">
        <v>689</v>
      </c>
      <c r="K3" s="2"/>
    </row>
    <row r="4" spans="1:18" x14ac:dyDescent="0.2">
      <c r="B4" s="11" t="s">
        <v>690</v>
      </c>
      <c r="C4" s="11" t="s">
        <v>691</v>
      </c>
      <c r="D4" s="11" t="s">
        <v>692</v>
      </c>
      <c r="E4" s="11"/>
      <c r="F4" s="11" t="s">
        <v>693</v>
      </c>
      <c r="G4" s="11" t="s">
        <v>694</v>
      </c>
      <c r="H4" s="11" t="s">
        <v>695</v>
      </c>
      <c r="I4" s="4"/>
      <c r="J4" s="313"/>
      <c r="K4" s="335" t="s">
        <v>696</v>
      </c>
      <c r="L4" s="335" t="s">
        <v>697</v>
      </c>
    </row>
    <row r="5" spans="1:18" x14ac:dyDescent="0.2">
      <c r="B5" s="313" t="s">
        <v>698</v>
      </c>
      <c r="C5" s="336">
        <v>0.33800000000000002</v>
      </c>
      <c r="D5" s="336">
        <v>0.57999999999999996</v>
      </c>
      <c r="E5" s="11"/>
      <c r="F5" s="337">
        <v>492.4694561170881</v>
      </c>
      <c r="G5" s="338">
        <v>2000</v>
      </c>
      <c r="H5" s="339">
        <f>F5/G5</f>
        <v>0.24623472805854404</v>
      </c>
      <c r="I5" s="10"/>
      <c r="J5" s="313" t="s">
        <v>698</v>
      </c>
      <c r="K5" s="340">
        <f>$H5*C5</f>
        <v>8.3227338083787891E-2</v>
      </c>
      <c r="L5" s="340">
        <f>$H5*D5</f>
        <v>0.14281614227395553</v>
      </c>
    </row>
    <row r="6" spans="1:18" x14ac:dyDescent="0.2">
      <c r="B6" s="313" t="s">
        <v>699</v>
      </c>
      <c r="C6" s="336">
        <v>3.5999999999999997E-2</v>
      </c>
      <c r="D6" s="336">
        <v>0.67500000000000004</v>
      </c>
      <c r="E6" s="11"/>
      <c r="F6" s="337">
        <v>2462.3472805854403</v>
      </c>
      <c r="G6" s="338">
        <v>2000</v>
      </c>
      <c r="H6" s="339">
        <f>F6/G6</f>
        <v>1.2311736402927203</v>
      </c>
      <c r="I6" s="10"/>
      <c r="J6" s="313" t="s">
        <v>699</v>
      </c>
      <c r="K6" s="340">
        <f>$H6*C6</f>
        <v>4.4322251050537928E-2</v>
      </c>
      <c r="L6" s="340">
        <f>$H6*D6</f>
        <v>0.83104220719758626</v>
      </c>
    </row>
    <row r="7" spans="1:18" x14ac:dyDescent="0.2">
      <c r="B7" s="313" t="s">
        <v>700</v>
      </c>
      <c r="C7" s="341">
        <v>420.38900000000001</v>
      </c>
      <c r="D7" s="341">
        <v>947.18200000000002</v>
      </c>
      <c r="E7" s="11"/>
      <c r="F7" s="337">
        <v>52.03</v>
      </c>
      <c r="G7" s="338">
        <v>2000</v>
      </c>
      <c r="H7" s="339">
        <f>F7/G7</f>
        <v>2.6015E-2</v>
      </c>
      <c r="I7" s="10"/>
      <c r="J7" s="313" t="s">
        <v>700</v>
      </c>
      <c r="K7" s="340">
        <f>H7*C7</f>
        <v>10.936419835000001</v>
      </c>
      <c r="L7" s="340">
        <f>H7*D7</f>
        <v>24.640939729999999</v>
      </c>
    </row>
    <row r="8" spans="1:18" x14ac:dyDescent="0.2">
      <c r="E8" s="11"/>
      <c r="J8" s="313" t="s">
        <v>701</v>
      </c>
      <c r="K8" s="339">
        <f>SUM(K5:K7)</f>
        <v>11.063969424134326</v>
      </c>
      <c r="L8" s="339">
        <f>SUM(L5:L7)</f>
        <v>25.614798079471541</v>
      </c>
    </row>
    <row r="9" spans="1:18" x14ac:dyDescent="0.2">
      <c r="J9" s="10"/>
      <c r="K9" s="10"/>
      <c r="L9" s="10"/>
    </row>
    <row r="10" spans="1:18" ht="13.5" thickBot="1" x14ac:dyDescent="0.25">
      <c r="A10" s="12" t="s">
        <v>702</v>
      </c>
      <c r="B10" s="13"/>
      <c r="C10" s="13"/>
      <c r="D10" s="13"/>
      <c r="E10" s="13"/>
      <c r="F10" s="13"/>
      <c r="G10" s="13"/>
      <c r="H10" s="13"/>
      <c r="I10" s="13"/>
      <c r="J10" s="17"/>
      <c r="K10" s="17"/>
      <c r="L10" s="17"/>
      <c r="M10" s="15"/>
    </row>
    <row r="11" spans="1:18" ht="13.5" thickTop="1" x14ac:dyDescent="0.2">
      <c r="B11" s="14" t="s">
        <v>688</v>
      </c>
      <c r="C11" s="2"/>
      <c r="F11" s="2"/>
      <c r="J11" s="18" t="s">
        <v>703</v>
      </c>
      <c r="K11" s="10"/>
    </row>
    <row r="12" spans="1:18" x14ac:dyDescent="0.2">
      <c r="B12" s="11" t="s">
        <v>690</v>
      </c>
      <c r="C12" s="11" t="s">
        <v>704</v>
      </c>
      <c r="F12" s="11" t="s">
        <v>693</v>
      </c>
      <c r="G12" s="11" t="s">
        <v>705</v>
      </c>
      <c r="H12" s="11" t="s">
        <v>706</v>
      </c>
      <c r="J12" s="313"/>
      <c r="K12" s="335" t="s">
        <v>707</v>
      </c>
    </row>
    <row r="13" spans="1:18" x14ac:dyDescent="0.2">
      <c r="B13" s="313" t="s">
        <v>708</v>
      </c>
      <c r="C13" s="336">
        <v>0.70277500000000004</v>
      </c>
      <c r="F13" s="342">
        <v>601.90711303199657</v>
      </c>
      <c r="G13" s="338">
        <f>(1000/2.2)*2000</f>
        <v>909090.90909090906</v>
      </c>
      <c r="H13" s="343">
        <f>F13/G13</f>
        <v>6.6209782433519629E-4</v>
      </c>
      <c r="J13" s="313" t="s">
        <v>708</v>
      </c>
      <c r="K13" s="344">
        <f>C13*H13</f>
        <v>4.6530579849716759E-4</v>
      </c>
    </row>
    <row r="14" spans="1:18" x14ac:dyDescent="0.2">
      <c r="C14" s="11" t="s">
        <v>709</v>
      </c>
      <c r="F14" s="11" t="s">
        <v>693</v>
      </c>
      <c r="G14" s="11" t="s">
        <v>694</v>
      </c>
      <c r="H14" s="11" t="s">
        <v>695</v>
      </c>
      <c r="J14" s="345" t="s">
        <v>700</v>
      </c>
      <c r="K14" s="346">
        <f>H15*C15</f>
        <v>0.504691</v>
      </c>
    </row>
    <row r="15" spans="1:18" x14ac:dyDescent="0.2">
      <c r="B15" s="313" t="s">
        <v>700</v>
      </c>
      <c r="C15" s="336">
        <v>19.399999999999999</v>
      </c>
      <c r="F15" s="347">
        <f>F7</f>
        <v>52.03</v>
      </c>
      <c r="G15" s="338">
        <v>2000</v>
      </c>
      <c r="H15" s="339">
        <f>F15/G15</f>
        <v>2.6015E-2</v>
      </c>
      <c r="J15" s="345" t="s">
        <v>701</v>
      </c>
      <c r="K15" s="346">
        <f>SUM(K13:K14)</f>
        <v>0.50515630579849713</v>
      </c>
    </row>
    <row r="16" spans="1:18" x14ac:dyDescent="0.2">
      <c r="I16" s="10"/>
      <c r="J16" s="10"/>
      <c r="K16" s="10"/>
    </row>
    <row r="17" spans="1:12" x14ac:dyDescent="0.2">
      <c r="I17" s="10"/>
      <c r="J17" s="10"/>
      <c r="K17" s="10"/>
    </row>
    <row r="18" spans="1:12" ht="13.5" thickBot="1" x14ac:dyDescent="0.25">
      <c r="A18" s="12" t="s">
        <v>710</v>
      </c>
      <c r="B18" s="13"/>
      <c r="C18" s="13"/>
      <c r="D18" s="13"/>
      <c r="E18" s="13"/>
      <c r="F18" s="13"/>
      <c r="G18" s="13"/>
      <c r="H18" s="13"/>
      <c r="I18" s="17"/>
      <c r="J18" s="17"/>
      <c r="K18" s="17"/>
      <c r="L18" s="13"/>
    </row>
    <row r="19" spans="1:12" ht="13.5" thickTop="1" x14ac:dyDescent="0.2">
      <c r="C19" s="5" t="s">
        <v>711</v>
      </c>
      <c r="F19" s="11" t="s">
        <v>693</v>
      </c>
      <c r="G19" s="11" t="s">
        <v>694</v>
      </c>
      <c r="H19" s="11" t="s">
        <v>695</v>
      </c>
      <c r="I19" s="10"/>
      <c r="J19" s="18" t="s">
        <v>712</v>
      </c>
      <c r="K19" s="10"/>
    </row>
    <row r="20" spans="1:12" x14ac:dyDescent="0.2">
      <c r="B20" s="313" t="s">
        <v>700</v>
      </c>
      <c r="C20" s="341">
        <v>117</v>
      </c>
      <c r="F20" s="347">
        <f>F7</f>
        <v>52.03</v>
      </c>
      <c r="G20" s="338">
        <v>2000</v>
      </c>
      <c r="H20" s="339">
        <f>F20/G20</f>
        <v>2.6015E-2</v>
      </c>
      <c r="I20" s="10"/>
      <c r="J20" s="345" t="s">
        <v>700</v>
      </c>
      <c r="K20" s="346">
        <f>H20*C20</f>
        <v>3.043755</v>
      </c>
    </row>
    <row r="21" spans="1:12" x14ac:dyDescent="0.2">
      <c r="I21" s="10"/>
      <c r="J21" s="10"/>
      <c r="K21" s="10"/>
    </row>
    <row r="22" spans="1:12" x14ac:dyDescent="0.2">
      <c r="I22" s="10"/>
      <c r="J22" s="10"/>
      <c r="K22" s="10"/>
    </row>
    <row r="23" spans="1:12" x14ac:dyDescent="0.2">
      <c r="I23" s="10"/>
      <c r="J23" s="10"/>
      <c r="K23" s="10"/>
    </row>
    <row r="24" spans="1:12" x14ac:dyDescent="0.2">
      <c r="I24" s="10"/>
      <c r="J24" s="10"/>
      <c r="K24" s="10"/>
    </row>
    <row r="25" spans="1:12" x14ac:dyDescent="0.2">
      <c r="I25" s="10"/>
      <c r="J25" s="10"/>
      <c r="K25" s="10"/>
    </row>
    <row r="26" spans="1:12" x14ac:dyDescent="0.2">
      <c r="I26" s="10"/>
      <c r="J26" s="10"/>
      <c r="K26" s="10"/>
    </row>
    <row r="27" spans="1:12" x14ac:dyDescent="0.2">
      <c r="I27" s="10"/>
      <c r="J27" s="10"/>
      <c r="K27" s="10"/>
    </row>
    <row r="29" spans="1:12" x14ac:dyDescent="0.2">
      <c r="H29" s="10"/>
      <c r="I29" s="10"/>
      <c r="J29" s="10"/>
    </row>
    <row r="30" spans="1:12" x14ac:dyDescent="0.2">
      <c r="H30" s="10"/>
      <c r="I30" s="10"/>
      <c r="J30" s="10"/>
    </row>
    <row r="31" spans="1:12" x14ac:dyDescent="0.2">
      <c r="H31" s="10"/>
      <c r="I31" s="10"/>
      <c r="J31" s="10"/>
    </row>
    <row r="32" spans="1:12" x14ac:dyDescent="0.2">
      <c r="F32" s="10"/>
      <c r="G32" s="10"/>
      <c r="H32" s="10"/>
    </row>
    <row r="34" spans="2:4" x14ac:dyDescent="0.2">
      <c r="C34" s="10"/>
      <c r="D34" s="10"/>
    </row>
    <row r="35" spans="2:4" x14ac:dyDescent="0.2">
      <c r="C35" s="10"/>
      <c r="D35" s="10"/>
    </row>
    <row r="36" spans="2:4" x14ac:dyDescent="0.2">
      <c r="B36" s="6"/>
      <c r="C36" s="10"/>
      <c r="D36" s="10"/>
    </row>
    <row r="39" spans="2:4" x14ac:dyDescent="0.2">
      <c r="C39" s="10"/>
      <c r="D39" s="10"/>
    </row>
  </sheetData>
  <customSheetViews>
    <customSheetView guid="{1041E6CB-32E2-4271-B20C-13C1365EF52A}" showGridLines="0" state="hidden">
      <selection activeCell="C15" sqref="C15"/>
      <pageMargins left="0" right="0" top="0" bottom="0" header="0" footer="0"/>
      <pageSetup orientation="portrait" verticalDpi="0"/>
      <headerFooter alignWithMargins="0"/>
    </customSheetView>
    <customSheetView guid="{46C4EEEB-C468-4FDB-8961-DFC585498CD3}" showGridLines="0" state="hidden">
      <selection activeCell="C15" sqref="C15"/>
      <pageMargins left="0" right="0" top="0" bottom="0" header="0" footer="0"/>
      <pageSetup orientation="portrait" verticalDpi="0"/>
      <headerFooter alignWithMargins="0"/>
    </customSheetView>
  </customSheetViews>
  <phoneticPr fontId="15" type="noConversion"/>
  <pageMargins left="0.75" right="0.75" top="1" bottom="1" header="0.5" footer="0.5"/>
  <pageSetup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1"/>
  <dimension ref="A1:N1781"/>
  <sheetViews>
    <sheetView showGridLines="0" topLeftCell="A5" workbookViewId="0">
      <selection activeCell="G7" sqref="G7:H66"/>
    </sheetView>
  </sheetViews>
  <sheetFormatPr defaultColWidth="9.140625" defaultRowHeight="15" x14ac:dyDescent="0.2"/>
  <cols>
    <col min="1" max="1" width="35.5703125" style="19" bestFit="1" customWidth="1"/>
    <col min="2" max="2" width="19.5703125" style="19" customWidth="1"/>
    <col min="3" max="3" width="35.5703125" style="19" customWidth="1"/>
    <col min="4" max="4" width="19.140625" style="28" bestFit="1" customWidth="1"/>
    <col min="5" max="5" width="19.140625" style="9" customWidth="1"/>
    <col min="6" max="6" width="16.5703125" style="9" customWidth="1"/>
    <col min="7" max="7" width="14.5703125" style="9" bestFit="1" customWidth="1"/>
    <col min="8" max="8" width="28.5703125" style="9" customWidth="1"/>
    <col min="9" max="9" width="15.42578125" style="9" bestFit="1" customWidth="1"/>
    <col min="10" max="10" width="15.140625" style="9" bestFit="1" customWidth="1"/>
    <col min="11" max="11" width="14.42578125" style="9" bestFit="1" customWidth="1"/>
    <col min="12" max="12" width="17.42578125" style="9" bestFit="1" customWidth="1"/>
    <col min="13" max="13" width="9" style="28" customWidth="1"/>
    <col min="14" max="14" width="9.140625" style="9"/>
    <col min="15" max="15" width="26.42578125" style="9" bestFit="1" customWidth="1"/>
    <col min="16" max="16384" width="9.140625" style="9"/>
  </cols>
  <sheetData>
    <row r="1" spans="1:14" x14ac:dyDescent="0.2">
      <c r="A1" s="5" t="s">
        <v>686</v>
      </c>
      <c r="D1" s="251"/>
      <c r="E1" s="1"/>
      <c r="F1" s="1"/>
      <c r="G1" s="1"/>
      <c r="H1" s="1"/>
      <c r="I1" s="1"/>
      <c r="J1" s="1"/>
      <c r="K1" s="1"/>
      <c r="L1" s="1"/>
      <c r="M1" s="251"/>
    </row>
    <row r="2" spans="1:14" x14ac:dyDescent="0.2">
      <c r="A2" s="5"/>
      <c r="D2" s="251"/>
      <c r="E2" s="1"/>
      <c r="F2" s="1"/>
      <c r="G2" s="1"/>
      <c r="H2" s="1"/>
      <c r="I2" s="1"/>
      <c r="J2" s="1"/>
      <c r="K2" s="1"/>
      <c r="L2" s="1"/>
      <c r="M2" s="251"/>
    </row>
    <row r="3" spans="1:14" ht="15.75" x14ac:dyDescent="0.25">
      <c r="A3" s="8" t="s">
        <v>713</v>
      </c>
      <c r="D3" s="251"/>
      <c r="E3" s="1"/>
      <c r="F3" s="1"/>
      <c r="G3" s="1"/>
      <c r="H3" s="1"/>
      <c r="I3" s="1"/>
      <c r="J3" s="1"/>
      <c r="K3" s="1"/>
      <c r="L3" s="1"/>
      <c r="M3" s="251"/>
    </row>
    <row r="5" spans="1:14" ht="15.75" x14ac:dyDescent="0.25">
      <c r="A5" s="8" t="s">
        <v>714</v>
      </c>
      <c r="B5" s="8"/>
      <c r="C5" s="8"/>
      <c r="D5" s="509"/>
      <c r="E5" s="8"/>
      <c r="F5" s="8"/>
      <c r="G5" s="8" t="s">
        <v>715</v>
      </c>
      <c r="H5" s="1"/>
      <c r="I5" s="8"/>
      <c r="J5" s="8" t="s">
        <v>716</v>
      </c>
      <c r="K5" s="1"/>
      <c r="L5" s="1"/>
      <c r="M5" s="251"/>
    </row>
    <row r="6" spans="1:14" ht="16.5" thickBot="1" x14ac:dyDescent="0.3">
      <c r="A6" s="25" t="s">
        <v>717</v>
      </c>
      <c r="B6" s="20"/>
      <c r="C6" s="20"/>
      <c r="D6" s="509"/>
      <c r="E6" s="8"/>
      <c r="F6" s="8"/>
      <c r="G6" s="8" t="s">
        <v>718</v>
      </c>
      <c r="H6" s="1"/>
      <c r="I6" s="8"/>
      <c r="J6" s="8" t="s">
        <v>719</v>
      </c>
      <c r="K6" s="1"/>
      <c r="L6" s="1"/>
      <c r="M6" s="252"/>
    </row>
    <row r="7" spans="1:14" s="21" customFormat="1" ht="26.25" customHeight="1" thickBot="1" x14ac:dyDescent="0.25">
      <c r="A7" s="22" t="s">
        <v>720</v>
      </c>
      <c r="B7" s="23" t="s">
        <v>721</v>
      </c>
      <c r="C7" s="23" t="str">
        <f t="shared" ref="C7:C71" si="0">A7&amp;" - "&amp;B7</f>
        <v>City - County</v>
      </c>
      <c r="D7" s="510" t="s">
        <v>722</v>
      </c>
      <c r="E7" s="26" t="s">
        <v>723</v>
      </c>
      <c r="G7" s="253" t="s">
        <v>724</v>
      </c>
      <c r="H7" s="254" t="s">
        <v>725</v>
      </c>
      <c r="I7" s="24"/>
      <c r="J7" s="27" t="s">
        <v>721</v>
      </c>
      <c r="K7" s="255" t="s">
        <v>726</v>
      </c>
    </row>
    <row r="8" spans="1:14" x14ac:dyDescent="0.2">
      <c r="B8" s="21"/>
      <c r="C8" s="256" t="s">
        <v>6</v>
      </c>
      <c r="D8" s="511"/>
      <c r="E8" s="58"/>
      <c r="F8" s="1"/>
      <c r="G8" s="257" t="s">
        <v>727</v>
      </c>
      <c r="H8" s="258">
        <v>5.2916666666666654E-2</v>
      </c>
      <c r="I8" s="1"/>
      <c r="J8" s="259"/>
      <c r="K8" s="260"/>
      <c r="L8" s="1"/>
      <c r="M8" s="1"/>
      <c r="N8" s="515"/>
    </row>
    <row r="9" spans="1:14" ht="12.75" x14ac:dyDescent="0.2">
      <c r="A9" s="256" t="s">
        <v>728</v>
      </c>
      <c r="B9" s="1" t="s">
        <v>729</v>
      </c>
      <c r="C9" s="1" t="str">
        <f t="shared" si="0"/>
        <v>Acampo - San Joaquin</v>
      </c>
      <c r="D9" s="512">
        <f t="shared" ref="D9:D72" si="1">VLOOKUP(B9,unemployment_rates,2, FALSE)</f>
        <v>6.699999999999999E-2</v>
      </c>
      <c r="E9" s="261">
        <f>VLOOKUP(B9,Prop_Tax_Rates,2,FALSE)</f>
        <v>1.1299999999999999E-2</v>
      </c>
      <c r="F9" s="1"/>
      <c r="G9" s="259" t="s">
        <v>764</v>
      </c>
      <c r="H9" s="262">
        <v>4.7E-2</v>
      </c>
      <c r="I9" s="1"/>
      <c r="J9" s="259" t="s">
        <v>730</v>
      </c>
      <c r="K9" s="260">
        <v>1.2430000000000002E-2</v>
      </c>
      <c r="M9" s="9"/>
      <c r="N9" s="515"/>
    </row>
    <row r="10" spans="1:14" ht="12.75" x14ac:dyDescent="0.2">
      <c r="A10" s="259" t="s">
        <v>731</v>
      </c>
      <c r="B10" s="1" t="s">
        <v>732</v>
      </c>
      <c r="C10" s="1" t="str">
        <f t="shared" si="0"/>
        <v>Acton - Los Angeles</v>
      </c>
      <c r="D10" s="512">
        <f t="shared" si="1"/>
        <v>5.4833333333333331E-2</v>
      </c>
      <c r="E10" s="261">
        <f>VLOOKUP(B10,Prop_Tax_Rates,2,FALSE)</f>
        <v>1.1599999999999999E-2</v>
      </c>
      <c r="F10" s="1"/>
      <c r="G10" s="259" t="s">
        <v>800</v>
      </c>
      <c r="H10" s="262">
        <v>6.8916666666666654E-2</v>
      </c>
      <c r="I10" s="1"/>
      <c r="J10" s="259" t="s">
        <v>733</v>
      </c>
      <c r="K10" s="260">
        <v>1.03E-2</v>
      </c>
      <c r="M10" s="9"/>
      <c r="N10" s="515"/>
    </row>
    <row r="11" spans="1:14" ht="12.75" x14ac:dyDescent="0.2">
      <c r="A11" s="259" t="s">
        <v>734</v>
      </c>
      <c r="B11" s="1" t="s">
        <v>735</v>
      </c>
      <c r="C11" s="1" t="str">
        <f t="shared" si="0"/>
        <v>Adelaida - San Luis Obispo</v>
      </c>
      <c r="D11" s="512">
        <f t="shared" si="1"/>
        <v>3.8833333333333331E-2</v>
      </c>
      <c r="E11" s="261">
        <f t="shared" ref="E11:E72" si="2">VLOOKUP(B11,Prop_Tax_Rates,2,FALSE)</f>
        <v>1.085E-2</v>
      </c>
      <c r="F11" s="1"/>
      <c r="G11" s="259" t="s">
        <v>819</v>
      </c>
      <c r="H11" s="262">
        <v>5.3500000000000006E-2</v>
      </c>
      <c r="I11" s="1"/>
      <c r="J11" s="259" t="s">
        <v>736</v>
      </c>
      <c r="K11" s="260">
        <v>1.014E-2</v>
      </c>
      <c r="M11" s="9"/>
      <c r="N11" s="515"/>
    </row>
    <row r="12" spans="1:14" ht="12.75" x14ac:dyDescent="0.2">
      <c r="A12" s="259" t="s">
        <v>737</v>
      </c>
      <c r="B12" s="1" t="s">
        <v>738</v>
      </c>
      <c r="C12" s="1" t="str">
        <f t="shared" si="0"/>
        <v>Adelanto - San Bernardino</v>
      </c>
      <c r="D12" s="512">
        <f t="shared" si="1"/>
        <v>5.1583333333333342E-2</v>
      </c>
      <c r="E12" s="261">
        <f t="shared" si="2"/>
        <v>1.1379999999999999E-2</v>
      </c>
      <c r="F12" s="1"/>
      <c r="G12" s="259" t="s">
        <v>915</v>
      </c>
      <c r="H12" s="262">
        <v>5.8999999999999983E-2</v>
      </c>
      <c r="I12" s="1"/>
      <c r="J12" s="259" t="s">
        <v>739</v>
      </c>
      <c r="K12" s="260">
        <v>1.1169999999999999E-2</v>
      </c>
      <c r="M12" s="9"/>
      <c r="N12" s="515"/>
    </row>
    <row r="13" spans="1:14" ht="12.75" x14ac:dyDescent="0.2">
      <c r="A13" s="259" t="s">
        <v>740</v>
      </c>
      <c r="B13" s="1" t="s">
        <v>741</v>
      </c>
      <c r="C13" s="1" t="str">
        <f t="shared" si="0"/>
        <v>Adin - Modoc</v>
      </c>
      <c r="D13" s="512">
        <f t="shared" si="1"/>
        <v>6.8499999999999991E-2</v>
      </c>
      <c r="E13" s="261">
        <f t="shared" si="2"/>
        <v>0.01</v>
      </c>
      <c r="F13" s="1"/>
      <c r="G13" s="259" t="s">
        <v>810</v>
      </c>
      <c r="H13" s="262">
        <v>4.7166666666666662E-2</v>
      </c>
      <c r="I13" s="1"/>
      <c r="J13" s="259" t="s">
        <v>742</v>
      </c>
      <c r="K13" s="260">
        <v>1.0920000000000001E-2</v>
      </c>
      <c r="M13" s="9"/>
      <c r="N13" s="515"/>
    </row>
    <row r="14" spans="1:14" ht="12.75" x14ac:dyDescent="0.2">
      <c r="A14" s="259" t="s">
        <v>743</v>
      </c>
      <c r="B14" s="1" t="s">
        <v>732</v>
      </c>
      <c r="C14" s="1" t="str">
        <f t="shared" si="0"/>
        <v>Agoura  - Los Angeles</v>
      </c>
      <c r="D14" s="512">
        <f t="shared" si="1"/>
        <v>5.4833333333333331E-2</v>
      </c>
      <c r="E14" s="261">
        <f t="shared" si="2"/>
        <v>1.1599999999999999E-2</v>
      </c>
      <c r="F14" s="1"/>
      <c r="G14" s="259" t="s">
        <v>859</v>
      </c>
      <c r="H14" s="262">
        <v>0.13600000000000001</v>
      </c>
      <c r="I14" s="1"/>
      <c r="J14" s="259" t="s">
        <v>744</v>
      </c>
      <c r="K14" s="260">
        <v>1.098E-2</v>
      </c>
      <c r="M14" s="9"/>
      <c r="N14" s="515"/>
    </row>
    <row r="15" spans="1:14" ht="12.75" x14ac:dyDescent="0.2">
      <c r="A15" s="259" t="s">
        <v>745</v>
      </c>
      <c r="B15" s="1" t="s">
        <v>732</v>
      </c>
      <c r="C15" s="1" t="str">
        <f t="shared" si="0"/>
        <v>Agoura Hills - Los Angeles</v>
      </c>
      <c r="D15" s="512">
        <f t="shared" si="1"/>
        <v>5.4833333333333331E-2</v>
      </c>
      <c r="E15" s="261">
        <f t="shared" si="2"/>
        <v>1.1599999999999999E-2</v>
      </c>
      <c r="F15" s="1"/>
      <c r="G15" s="259" t="s">
        <v>767</v>
      </c>
      <c r="H15" s="262">
        <v>4.7250000000000007E-2</v>
      </c>
      <c r="I15" s="1"/>
      <c r="J15" s="259" t="s">
        <v>746</v>
      </c>
      <c r="K15" s="260">
        <v>1.163E-2</v>
      </c>
      <c r="M15" s="9"/>
      <c r="N15" s="515"/>
    </row>
    <row r="16" spans="1:14" ht="12.75" x14ac:dyDescent="0.2">
      <c r="A16" s="259" t="s">
        <v>747</v>
      </c>
      <c r="B16" s="1" t="s">
        <v>748</v>
      </c>
      <c r="C16" s="1" t="str">
        <f t="shared" si="0"/>
        <v>Agua Caliente - Sonoma</v>
      </c>
      <c r="D16" s="512">
        <f t="shared" si="1"/>
        <v>4.0583333333333325E-2</v>
      </c>
      <c r="E16" s="261">
        <f t="shared" si="2"/>
        <v>1.133E-2</v>
      </c>
      <c r="F16" s="1"/>
      <c r="G16" s="259" t="s">
        <v>1207</v>
      </c>
      <c r="H16" s="262">
        <v>6.0749999999999992E-2</v>
      </c>
      <c r="I16" s="1"/>
      <c r="J16" s="259" t="s">
        <v>749</v>
      </c>
      <c r="K16" s="260">
        <v>1.035E-2</v>
      </c>
      <c r="M16" s="9"/>
      <c r="N16" s="515"/>
    </row>
    <row r="17" spans="1:14" ht="12.75" x14ac:dyDescent="0.2">
      <c r="A17" s="259" t="s">
        <v>750</v>
      </c>
      <c r="B17" s="1" t="s">
        <v>751</v>
      </c>
      <c r="C17" s="1" t="str">
        <f t="shared" si="0"/>
        <v>Agua Caliente Springs - San Diego</v>
      </c>
      <c r="D17" s="512">
        <f t="shared" si="1"/>
        <v>4.4750000000000005E-2</v>
      </c>
      <c r="E17" s="261">
        <f t="shared" si="2"/>
        <v>1.167E-2</v>
      </c>
      <c r="F17" s="1"/>
      <c r="G17" s="259" t="s">
        <v>762</v>
      </c>
      <c r="H17" s="262">
        <v>4.466666666666666E-2</v>
      </c>
      <c r="I17" s="1"/>
      <c r="J17" s="259" t="s">
        <v>752</v>
      </c>
      <c r="K17" s="260">
        <v>1.0660000000000001E-2</v>
      </c>
      <c r="M17" s="9"/>
      <c r="N17" s="515"/>
    </row>
    <row r="18" spans="1:14" ht="12.75" x14ac:dyDescent="0.2">
      <c r="A18" s="259" t="s">
        <v>753</v>
      </c>
      <c r="B18" s="1" t="s">
        <v>732</v>
      </c>
      <c r="C18" s="1" t="str">
        <f t="shared" si="0"/>
        <v>Agua Dulce - Los Angeles</v>
      </c>
      <c r="D18" s="512">
        <f t="shared" si="1"/>
        <v>5.4833333333333331E-2</v>
      </c>
      <c r="E18" s="261">
        <f t="shared" si="2"/>
        <v>1.1599999999999999E-2</v>
      </c>
      <c r="F18" s="1"/>
      <c r="G18" s="259" t="s">
        <v>895</v>
      </c>
      <c r="H18" s="262">
        <v>8.0416666666666664E-2</v>
      </c>
      <c r="I18" s="1"/>
      <c r="J18" s="259" t="s">
        <v>754</v>
      </c>
      <c r="K18" s="260">
        <v>1.2110000000000001E-2</v>
      </c>
      <c r="M18" s="9"/>
      <c r="N18" s="515"/>
    </row>
    <row r="19" spans="1:14" ht="12.75" x14ac:dyDescent="0.2">
      <c r="A19" s="259" t="s">
        <v>755</v>
      </c>
      <c r="B19" s="1" t="s">
        <v>756</v>
      </c>
      <c r="C19" s="1" t="str">
        <f t="shared" si="0"/>
        <v>Aguanga - Riverside</v>
      </c>
      <c r="D19" s="512">
        <f t="shared" si="1"/>
        <v>5.3749999999999999E-2</v>
      </c>
      <c r="E19" s="261">
        <f t="shared" si="2"/>
        <v>1.1859999999999999E-2</v>
      </c>
      <c r="F19" s="1"/>
      <c r="G19" s="259" t="s">
        <v>882</v>
      </c>
      <c r="H19" s="262">
        <v>6.7749999999999991E-2</v>
      </c>
      <c r="I19" s="1"/>
      <c r="J19" s="259" t="s">
        <v>757</v>
      </c>
      <c r="K19" s="260">
        <v>1.093E-2</v>
      </c>
      <c r="M19" s="9"/>
      <c r="N19" s="515"/>
    </row>
    <row r="20" spans="1:14" ht="12.75" x14ac:dyDescent="0.2">
      <c r="A20" s="259" t="s">
        <v>758</v>
      </c>
      <c r="B20" s="1" t="s">
        <v>759</v>
      </c>
      <c r="C20" s="1" t="str">
        <f t="shared" si="0"/>
        <v>Ahwahnee - Madera</v>
      </c>
      <c r="D20" s="512">
        <f t="shared" si="1"/>
        <v>7.8166666666666662E-2</v>
      </c>
      <c r="E20" s="261">
        <f t="shared" si="2"/>
        <v>1.098E-2</v>
      </c>
      <c r="F20" s="1"/>
      <c r="G20" s="259" t="s">
        <v>777</v>
      </c>
      <c r="H20" s="262">
        <v>5.1583333333333321E-2</v>
      </c>
      <c r="I20" s="1"/>
      <c r="J20" s="259" t="s">
        <v>760</v>
      </c>
      <c r="K20" s="260">
        <v>1.115E-2</v>
      </c>
      <c r="M20" s="9"/>
      <c r="N20" s="515"/>
    </row>
    <row r="21" spans="1:14" ht="12.75" x14ac:dyDescent="0.2">
      <c r="A21" s="259" t="s">
        <v>761</v>
      </c>
      <c r="B21" s="1" t="s">
        <v>762</v>
      </c>
      <c r="C21" s="1" t="str">
        <f t="shared" si="0"/>
        <v>Al Tahoe - El Dorado</v>
      </c>
      <c r="D21" s="512">
        <f t="shared" si="1"/>
        <v>4.466666666666666E-2</v>
      </c>
      <c r="E21" s="261">
        <f t="shared" si="2"/>
        <v>1.0660000000000001E-2</v>
      </c>
      <c r="F21" s="1"/>
      <c r="G21" s="259" t="s">
        <v>919</v>
      </c>
      <c r="H21" s="262">
        <v>0.17949999999999999</v>
      </c>
      <c r="I21" s="1"/>
      <c r="J21" s="259" t="s">
        <v>763</v>
      </c>
      <c r="K21" s="260">
        <v>1.206E-2</v>
      </c>
      <c r="M21" s="9"/>
      <c r="N21" s="515"/>
    </row>
    <row r="22" spans="1:14" ht="12.75" x14ac:dyDescent="0.2">
      <c r="A22" s="259" t="s">
        <v>764</v>
      </c>
      <c r="B22" s="1" t="s">
        <v>764</v>
      </c>
      <c r="C22" s="1" t="str">
        <f t="shared" si="0"/>
        <v>Alameda - Alameda</v>
      </c>
      <c r="D22" s="512">
        <f t="shared" si="1"/>
        <v>4.7E-2</v>
      </c>
      <c r="E22" s="261">
        <f t="shared" si="2"/>
        <v>1.2430000000000002E-2</v>
      </c>
      <c r="F22" s="1"/>
      <c r="G22" s="259" t="s">
        <v>822</v>
      </c>
      <c r="H22" s="262">
        <v>3.9833333333333339E-2</v>
      </c>
      <c r="I22" s="1"/>
      <c r="J22" s="259" t="s">
        <v>765</v>
      </c>
      <c r="K22" s="260">
        <v>1.065E-2</v>
      </c>
      <c r="M22" s="9"/>
      <c r="N22" s="515"/>
    </row>
    <row r="23" spans="1:14" ht="12.75" x14ac:dyDescent="0.2">
      <c r="A23" s="259" t="s">
        <v>766</v>
      </c>
      <c r="B23" s="1" t="s">
        <v>767</v>
      </c>
      <c r="C23" s="1" t="str">
        <f t="shared" si="0"/>
        <v>Alamo - Contra Costa</v>
      </c>
      <c r="D23" s="512">
        <f t="shared" si="1"/>
        <v>4.7250000000000007E-2</v>
      </c>
      <c r="E23" s="261">
        <f t="shared" si="2"/>
        <v>1.163E-2</v>
      </c>
      <c r="F23" s="1"/>
      <c r="G23" s="259" t="s">
        <v>884</v>
      </c>
      <c r="H23" s="262">
        <v>8.9333333333333334E-2</v>
      </c>
      <c r="I23" s="1"/>
      <c r="J23" s="259" t="s">
        <v>768</v>
      </c>
      <c r="K23" s="260">
        <v>1.238E-2</v>
      </c>
      <c r="M23" s="9"/>
      <c r="N23" s="515"/>
    </row>
    <row r="24" spans="1:14" ht="12.75" x14ac:dyDescent="0.2">
      <c r="A24" s="259" t="s">
        <v>769</v>
      </c>
      <c r="B24" s="1" t="s">
        <v>764</v>
      </c>
      <c r="C24" s="1" t="str">
        <f t="shared" si="0"/>
        <v>Albany - Alameda</v>
      </c>
      <c r="D24" s="512">
        <f t="shared" si="1"/>
        <v>4.7E-2</v>
      </c>
      <c r="E24" s="261">
        <f t="shared" si="2"/>
        <v>1.2430000000000002E-2</v>
      </c>
      <c r="F24" s="1"/>
      <c r="G24" s="259" t="s">
        <v>872</v>
      </c>
      <c r="H24" s="262">
        <v>8.7083333333333346E-2</v>
      </c>
      <c r="I24" s="1"/>
      <c r="J24" s="259" t="s">
        <v>770</v>
      </c>
      <c r="K24" s="260">
        <v>1.0820000000000001E-2</v>
      </c>
      <c r="M24" s="9"/>
      <c r="N24" s="515"/>
    </row>
    <row r="25" spans="1:14" ht="12.75" x14ac:dyDescent="0.2">
      <c r="A25" s="259" t="s">
        <v>771</v>
      </c>
      <c r="B25" s="1" t="s">
        <v>756</v>
      </c>
      <c r="C25" s="1" t="str">
        <f t="shared" si="0"/>
        <v>Alberhill - Riverside</v>
      </c>
      <c r="D25" s="512">
        <f t="shared" si="1"/>
        <v>5.3749999999999999E-2</v>
      </c>
      <c r="E25" s="261">
        <f t="shared" si="2"/>
        <v>1.1859999999999999E-2</v>
      </c>
      <c r="F25" s="1"/>
      <c r="G25" s="259" t="s">
        <v>1154</v>
      </c>
      <c r="H25" s="262">
        <v>6.1750000000000006E-2</v>
      </c>
      <c r="I25" s="1"/>
      <c r="J25" s="259" t="s">
        <v>772</v>
      </c>
      <c r="K25" s="260">
        <v>1.1160000000000002E-2</v>
      </c>
      <c r="M25" s="9"/>
      <c r="N25" s="515"/>
    </row>
    <row r="26" spans="1:14" ht="12.75" x14ac:dyDescent="0.2">
      <c r="A26" s="259" t="s">
        <v>773</v>
      </c>
      <c r="B26" s="1" t="s">
        <v>774</v>
      </c>
      <c r="C26" s="1" t="str">
        <f t="shared" si="0"/>
        <v>Albion - Mendocino</v>
      </c>
      <c r="D26" s="512">
        <f t="shared" si="1"/>
        <v>5.1916666666666667E-2</v>
      </c>
      <c r="E26" s="261">
        <f t="shared" si="2"/>
        <v>1.1650000000000001E-2</v>
      </c>
      <c r="F26" s="1"/>
      <c r="G26" s="259" t="s">
        <v>959</v>
      </c>
      <c r="H26" s="262">
        <v>5.8083333333333327E-2</v>
      </c>
      <c r="I26" s="1"/>
      <c r="J26" s="259" t="s">
        <v>775</v>
      </c>
      <c r="K26" s="260">
        <v>1.018E-2</v>
      </c>
      <c r="M26" s="9"/>
      <c r="N26" s="515"/>
    </row>
    <row r="27" spans="1:14" ht="12.75" x14ac:dyDescent="0.2">
      <c r="A27" s="259" t="s">
        <v>776</v>
      </c>
      <c r="B27" s="1" t="s">
        <v>777</v>
      </c>
      <c r="C27" s="1" t="str">
        <f t="shared" si="0"/>
        <v>Alderpoint - Humboldt</v>
      </c>
      <c r="D27" s="512">
        <f t="shared" si="1"/>
        <v>5.1583333333333321E-2</v>
      </c>
      <c r="E27" s="261">
        <f t="shared" si="2"/>
        <v>1.115E-2</v>
      </c>
      <c r="F27" s="1"/>
      <c r="G27" s="259" t="s">
        <v>732</v>
      </c>
      <c r="H27" s="262">
        <v>5.4833333333333331E-2</v>
      </c>
      <c r="I27" s="1"/>
      <c r="J27" s="259" t="s">
        <v>778</v>
      </c>
      <c r="K27" s="260">
        <v>1.1599999999999999E-2</v>
      </c>
      <c r="M27" s="9"/>
      <c r="N27" s="515"/>
    </row>
    <row r="28" spans="1:14" ht="12.75" x14ac:dyDescent="0.2">
      <c r="A28" s="259" t="s">
        <v>779</v>
      </c>
      <c r="B28" s="1" t="s">
        <v>732</v>
      </c>
      <c r="C28" s="1" t="str">
        <f t="shared" si="0"/>
        <v>Alhambra - Los Angeles</v>
      </c>
      <c r="D28" s="512">
        <f t="shared" si="1"/>
        <v>5.4833333333333331E-2</v>
      </c>
      <c r="E28" s="261">
        <f t="shared" si="2"/>
        <v>1.1599999999999999E-2</v>
      </c>
      <c r="F28" s="1"/>
      <c r="G28" s="259" t="s">
        <v>759</v>
      </c>
      <c r="H28" s="262">
        <v>7.8166666666666662E-2</v>
      </c>
      <c r="I28" s="1"/>
      <c r="J28" s="259" t="s">
        <v>780</v>
      </c>
      <c r="K28" s="260">
        <v>1.098E-2</v>
      </c>
      <c r="M28" s="9"/>
      <c r="N28" s="515"/>
    </row>
    <row r="29" spans="1:14" ht="12.75" x14ac:dyDescent="0.2">
      <c r="A29" s="259" t="s">
        <v>781</v>
      </c>
      <c r="B29" s="1" t="s">
        <v>782</v>
      </c>
      <c r="C29" s="1" t="str">
        <f t="shared" si="0"/>
        <v>Aliso Viejo - Orange</v>
      </c>
      <c r="D29" s="512">
        <f t="shared" si="1"/>
        <v>3.9749999999999994E-2</v>
      </c>
      <c r="E29" s="261">
        <f t="shared" si="2"/>
        <v>1.0660000000000001E-2</v>
      </c>
      <c r="F29" s="1"/>
      <c r="G29" s="259" t="s">
        <v>946</v>
      </c>
      <c r="H29" s="262">
        <v>3.7749999999999999E-2</v>
      </c>
      <c r="I29" s="1"/>
      <c r="J29" s="259" t="s">
        <v>783</v>
      </c>
      <c r="K29" s="260">
        <v>1.1299999999999999E-2</v>
      </c>
      <c r="M29" s="9"/>
      <c r="N29" s="515"/>
    </row>
    <row r="30" spans="1:14" ht="12.75" x14ac:dyDescent="0.2">
      <c r="A30" s="259" t="s">
        <v>784</v>
      </c>
      <c r="B30" s="1" t="s">
        <v>785</v>
      </c>
      <c r="C30" s="1" t="str">
        <f t="shared" si="0"/>
        <v>Alleghany - Sierra</v>
      </c>
      <c r="D30" s="512">
        <f t="shared" si="1"/>
        <v>5.2250000000000005E-2</v>
      </c>
      <c r="E30" s="261">
        <f t="shared" si="2"/>
        <v>0.01</v>
      </c>
      <c r="F30" s="1"/>
      <c r="G30" s="259" t="s">
        <v>935</v>
      </c>
      <c r="H30" s="262">
        <v>5.2833333333333329E-2</v>
      </c>
      <c r="I30" s="1"/>
      <c r="J30" s="259" t="s">
        <v>786</v>
      </c>
      <c r="K30" s="260">
        <v>1.0369999999999999E-2</v>
      </c>
      <c r="M30" s="9"/>
      <c r="N30" s="515"/>
    </row>
    <row r="31" spans="1:14" ht="12.75" x14ac:dyDescent="0.2">
      <c r="A31" s="259" t="s">
        <v>787</v>
      </c>
      <c r="B31" s="1" t="s">
        <v>788</v>
      </c>
      <c r="C31" s="1" t="str">
        <f t="shared" si="0"/>
        <v>Almaden Valley - Santa Clara</v>
      </c>
      <c r="D31" s="512">
        <f t="shared" si="1"/>
        <v>4.0750000000000001E-2</v>
      </c>
      <c r="E31" s="261">
        <f t="shared" si="2"/>
        <v>1.2110000000000001E-2</v>
      </c>
      <c r="F31" s="1"/>
      <c r="G31" s="259" t="s">
        <v>774</v>
      </c>
      <c r="H31" s="262">
        <v>5.1916666666666667E-2</v>
      </c>
      <c r="I31" s="1"/>
      <c r="J31" s="259" t="s">
        <v>789</v>
      </c>
      <c r="K31" s="260">
        <v>1.1650000000000001E-2</v>
      </c>
      <c r="M31" s="9"/>
      <c r="N31" s="515"/>
    </row>
    <row r="32" spans="1:14" ht="12.75" x14ac:dyDescent="0.2">
      <c r="A32" s="259" t="s">
        <v>790</v>
      </c>
      <c r="B32" s="1" t="s">
        <v>791</v>
      </c>
      <c r="C32" s="1" t="str">
        <f t="shared" si="0"/>
        <v>Almanor - Plumas</v>
      </c>
      <c r="D32" s="512">
        <f t="shared" si="1"/>
        <v>7.7250000000000013E-2</v>
      </c>
      <c r="E32" s="261">
        <f t="shared" si="2"/>
        <v>1.099E-2</v>
      </c>
      <c r="F32" s="1"/>
      <c r="G32" s="259" t="s">
        <v>892</v>
      </c>
      <c r="H32" s="262">
        <v>9.6416666666666678E-2</v>
      </c>
      <c r="I32" s="1"/>
      <c r="J32" s="259" t="s">
        <v>792</v>
      </c>
      <c r="K32" s="260">
        <v>1.0829999999999999E-2</v>
      </c>
      <c r="M32" s="9"/>
      <c r="N32" s="515"/>
    </row>
    <row r="33" spans="1:14" ht="12.75" x14ac:dyDescent="0.2">
      <c r="A33" s="259" t="s">
        <v>793</v>
      </c>
      <c r="B33" s="1" t="s">
        <v>732</v>
      </c>
      <c r="C33" s="1" t="str">
        <f t="shared" si="0"/>
        <v>Almondale - Los Angeles</v>
      </c>
      <c r="D33" s="512">
        <f t="shared" si="1"/>
        <v>5.4833333333333331E-2</v>
      </c>
      <c r="E33" s="261">
        <f t="shared" si="2"/>
        <v>1.1599999999999999E-2</v>
      </c>
      <c r="F33" s="1"/>
      <c r="G33" s="259" t="s">
        <v>741</v>
      </c>
      <c r="H33" s="262">
        <v>6.8499999999999991E-2</v>
      </c>
      <c r="I33" s="1"/>
      <c r="J33" s="259" t="s">
        <v>794</v>
      </c>
      <c r="K33" s="260">
        <v>0.01</v>
      </c>
      <c r="M33" s="9"/>
      <c r="N33" s="515"/>
    </row>
    <row r="34" spans="1:14" ht="12.75" x14ac:dyDescent="0.2">
      <c r="A34" s="259" t="s">
        <v>795</v>
      </c>
      <c r="B34" s="1" t="s">
        <v>732</v>
      </c>
      <c r="C34" s="1" t="str">
        <f t="shared" si="0"/>
        <v>Alondra - Los Angeles</v>
      </c>
      <c r="D34" s="512">
        <f t="shared" si="1"/>
        <v>5.4833333333333331E-2</v>
      </c>
      <c r="E34" s="261">
        <f t="shared" si="2"/>
        <v>1.1599999999999999E-2</v>
      </c>
      <c r="F34" s="1"/>
      <c r="G34" s="259" t="s">
        <v>951</v>
      </c>
      <c r="H34" s="262">
        <v>4.0166666666666663E-2</v>
      </c>
      <c r="I34" s="1"/>
      <c r="J34" s="259" t="s">
        <v>796</v>
      </c>
      <c r="K34" s="260">
        <v>1.154E-2</v>
      </c>
      <c r="M34" s="9"/>
      <c r="N34" s="515"/>
    </row>
    <row r="35" spans="1:14" ht="12.75" x14ac:dyDescent="0.2">
      <c r="A35" s="259" t="s">
        <v>797</v>
      </c>
      <c r="B35" s="1" t="s">
        <v>798</v>
      </c>
      <c r="C35" s="1" t="str">
        <f t="shared" si="0"/>
        <v>Alpaugh - Tulare</v>
      </c>
      <c r="D35" s="512">
        <f t="shared" si="1"/>
        <v>0.10691666666666669</v>
      </c>
      <c r="E35" s="261">
        <f t="shared" si="2"/>
        <v>1.0869999999999999E-2</v>
      </c>
      <c r="F35" s="1"/>
      <c r="G35" s="259" t="s">
        <v>876</v>
      </c>
      <c r="H35" s="262">
        <v>7.425000000000001E-2</v>
      </c>
      <c r="I35" s="1"/>
      <c r="J35" s="259" t="s">
        <v>799</v>
      </c>
      <c r="K35" s="260">
        <v>1.098E-2</v>
      </c>
      <c r="M35" s="9"/>
      <c r="N35" s="515"/>
    </row>
    <row r="36" spans="1:14" ht="12.75" x14ac:dyDescent="0.2">
      <c r="A36" s="259" t="s">
        <v>800</v>
      </c>
      <c r="B36" s="1" t="s">
        <v>751</v>
      </c>
      <c r="C36" s="1" t="str">
        <f t="shared" si="0"/>
        <v>Alpine - San Diego</v>
      </c>
      <c r="D36" s="512">
        <f t="shared" si="1"/>
        <v>4.4750000000000005E-2</v>
      </c>
      <c r="E36" s="261">
        <f t="shared" si="2"/>
        <v>1.167E-2</v>
      </c>
      <c r="F36" s="1"/>
      <c r="G36" s="259" t="s">
        <v>827</v>
      </c>
      <c r="H36" s="262">
        <v>0.04</v>
      </c>
      <c r="I36" s="1"/>
      <c r="J36" s="259" t="s">
        <v>801</v>
      </c>
      <c r="K36" s="260">
        <v>1.102E-2</v>
      </c>
      <c r="M36" s="9"/>
      <c r="N36" s="515"/>
    </row>
    <row r="37" spans="1:14" ht="12.75" x14ac:dyDescent="0.2">
      <c r="A37" s="259" t="s">
        <v>802</v>
      </c>
      <c r="B37" s="1" t="s">
        <v>803</v>
      </c>
      <c r="C37" s="1" t="str">
        <f t="shared" si="0"/>
        <v>Alta - Placer</v>
      </c>
      <c r="D37" s="512">
        <f t="shared" si="1"/>
        <v>4.1833333333333347E-2</v>
      </c>
      <c r="E37" s="261">
        <f t="shared" si="2"/>
        <v>1.0880000000000001E-2</v>
      </c>
      <c r="F37" s="1"/>
      <c r="G37" s="259" t="s">
        <v>1118</v>
      </c>
      <c r="H37" s="262">
        <v>4.3166666666666673E-2</v>
      </c>
      <c r="I37" s="1"/>
      <c r="J37" s="259" t="s">
        <v>804</v>
      </c>
      <c r="K37" s="260">
        <v>1.0620000000000001E-2</v>
      </c>
      <c r="M37" s="9"/>
      <c r="N37" s="515"/>
    </row>
    <row r="38" spans="1:14" ht="12.75" x14ac:dyDescent="0.2">
      <c r="A38" s="259" t="s">
        <v>805</v>
      </c>
      <c r="B38" s="1" t="s">
        <v>738</v>
      </c>
      <c r="C38" s="1" t="str">
        <f t="shared" si="0"/>
        <v>Alta Loma - San Bernardino</v>
      </c>
      <c r="D38" s="512">
        <f t="shared" si="1"/>
        <v>5.1583333333333342E-2</v>
      </c>
      <c r="E38" s="261">
        <f t="shared" si="2"/>
        <v>1.1379999999999999E-2</v>
      </c>
      <c r="F38" s="1"/>
      <c r="G38" s="259" t="s">
        <v>782</v>
      </c>
      <c r="H38" s="262">
        <v>3.9749999999999994E-2</v>
      </c>
      <c r="I38" s="1"/>
      <c r="J38" s="259" t="s">
        <v>806</v>
      </c>
      <c r="K38" s="260">
        <v>1.0660000000000001E-2</v>
      </c>
      <c r="M38" s="9"/>
      <c r="N38" s="515"/>
    </row>
    <row r="39" spans="1:14" ht="12.75" x14ac:dyDescent="0.2">
      <c r="A39" s="263" t="s">
        <v>807</v>
      </c>
      <c r="B39" s="1" t="s">
        <v>732</v>
      </c>
      <c r="C39" s="1" t="str">
        <f t="shared" si="0"/>
        <v>Altadena - Los Angeles</v>
      </c>
      <c r="D39" s="512">
        <f t="shared" si="1"/>
        <v>5.4833333333333331E-2</v>
      </c>
      <c r="E39" s="261">
        <f t="shared" si="2"/>
        <v>1.1599999999999999E-2</v>
      </c>
      <c r="F39" s="1"/>
      <c r="G39" s="259" t="s">
        <v>803</v>
      </c>
      <c r="H39" s="262">
        <v>4.1833333333333347E-2</v>
      </c>
      <c r="I39" s="1"/>
      <c r="J39" s="259" t="s">
        <v>808</v>
      </c>
      <c r="K39" s="260">
        <v>1.0880000000000001E-2</v>
      </c>
      <c r="M39" s="9"/>
      <c r="N39" s="515"/>
    </row>
    <row r="40" spans="1:14" ht="12.75" x14ac:dyDescent="0.2">
      <c r="A40" s="259" t="s">
        <v>809</v>
      </c>
      <c r="B40" s="1" t="s">
        <v>810</v>
      </c>
      <c r="C40" s="1" t="str">
        <f t="shared" si="0"/>
        <v>Altaville - Calaveras</v>
      </c>
      <c r="D40" s="512">
        <f t="shared" si="1"/>
        <v>4.7166666666666662E-2</v>
      </c>
      <c r="E40" s="261">
        <f t="shared" si="2"/>
        <v>1.0920000000000001E-2</v>
      </c>
      <c r="F40" s="1"/>
      <c r="G40" s="259" t="s">
        <v>791</v>
      </c>
      <c r="H40" s="262">
        <v>7.7250000000000013E-2</v>
      </c>
      <c r="I40" s="1"/>
      <c r="J40" s="259" t="s">
        <v>811</v>
      </c>
      <c r="K40" s="260">
        <v>1.099E-2</v>
      </c>
      <c r="M40" s="9"/>
      <c r="N40" s="515"/>
    </row>
    <row r="41" spans="1:14" ht="12.75" x14ac:dyDescent="0.2">
      <c r="A41" s="259" t="s">
        <v>812</v>
      </c>
      <c r="B41" s="1" t="s">
        <v>777</v>
      </c>
      <c r="C41" s="1" t="str">
        <f t="shared" si="0"/>
        <v>Alton - Humboldt</v>
      </c>
      <c r="D41" s="512">
        <f t="shared" si="1"/>
        <v>5.1583333333333321E-2</v>
      </c>
      <c r="E41" s="261">
        <f t="shared" si="2"/>
        <v>1.115E-2</v>
      </c>
      <c r="F41" s="1"/>
      <c r="G41" s="259" t="s">
        <v>756</v>
      </c>
      <c r="H41" s="262">
        <v>5.3749999999999999E-2</v>
      </c>
      <c r="I41" s="1"/>
      <c r="J41" s="259" t="s">
        <v>813</v>
      </c>
      <c r="K41" s="260">
        <v>1.1859999999999999E-2</v>
      </c>
      <c r="M41" s="9"/>
      <c r="N41" s="515"/>
    </row>
    <row r="42" spans="1:14" ht="12.75" x14ac:dyDescent="0.2">
      <c r="A42" s="259" t="s">
        <v>814</v>
      </c>
      <c r="B42" s="1" t="s">
        <v>741</v>
      </c>
      <c r="C42" s="1" t="str">
        <f t="shared" si="0"/>
        <v>Alturas - Modoc</v>
      </c>
      <c r="D42" s="512">
        <f t="shared" si="1"/>
        <v>6.8499999999999991E-2</v>
      </c>
      <c r="E42" s="261">
        <f t="shared" si="2"/>
        <v>0.01</v>
      </c>
      <c r="F42" s="1"/>
      <c r="G42" s="259" t="s">
        <v>843</v>
      </c>
      <c r="H42" s="262">
        <v>4.8833333333333326E-2</v>
      </c>
      <c r="I42" s="1"/>
      <c r="J42" s="259" t="s">
        <v>815</v>
      </c>
      <c r="K42" s="260">
        <v>1.1519999999999999E-2</v>
      </c>
      <c r="M42" s="9"/>
      <c r="N42" s="515"/>
    </row>
    <row r="43" spans="1:14" ht="12.75" x14ac:dyDescent="0.2">
      <c r="A43" s="259" t="s">
        <v>816</v>
      </c>
      <c r="B43" s="1" t="s">
        <v>788</v>
      </c>
      <c r="C43" s="1" t="str">
        <f t="shared" si="0"/>
        <v>Alviso - Santa Clara</v>
      </c>
      <c r="D43" s="512">
        <f t="shared" si="1"/>
        <v>4.0750000000000001E-2</v>
      </c>
      <c r="E43" s="261">
        <f t="shared" si="2"/>
        <v>1.2110000000000001E-2</v>
      </c>
      <c r="F43" s="1"/>
      <c r="G43" s="259" t="s">
        <v>1530</v>
      </c>
      <c r="H43" s="262">
        <v>6.5999999999999989E-2</v>
      </c>
      <c r="I43" s="1"/>
      <c r="J43" s="259" t="s">
        <v>817</v>
      </c>
      <c r="K43" s="260">
        <v>1.2119999999999999E-2</v>
      </c>
      <c r="M43" s="9"/>
      <c r="N43" s="515"/>
    </row>
    <row r="44" spans="1:14" ht="12.75" x14ac:dyDescent="0.2">
      <c r="A44" s="259" t="s">
        <v>818</v>
      </c>
      <c r="B44" s="1" t="s">
        <v>819</v>
      </c>
      <c r="C44" s="1" t="str">
        <f t="shared" si="0"/>
        <v>Amador City - Amador</v>
      </c>
      <c r="D44" s="512">
        <f t="shared" si="1"/>
        <v>5.3500000000000006E-2</v>
      </c>
      <c r="E44" s="261">
        <f t="shared" si="2"/>
        <v>1.014E-2</v>
      </c>
      <c r="F44" s="1"/>
      <c r="G44" s="259" t="s">
        <v>738</v>
      </c>
      <c r="H44" s="262">
        <v>5.1583333333333342E-2</v>
      </c>
      <c r="I44" s="1"/>
      <c r="J44" s="259" t="s">
        <v>820</v>
      </c>
      <c r="K44" s="260">
        <v>1.1379999999999999E-2</v>
      </c>
      <c r="M44" s="9"/>
      <c r="N44" s="515"/>
    </row>
    <row r="45" spans="1:14" ht="12.75" x14ac:dyDescent="0.2">
      <c r="A45" s="259" t="s">
        <v>821</v>
      </c>
      <c r="B45" s="1" t="s">
        <v>822</v>
      </c>
      <c r="C45" s="1" t="str">
        <f t="shared" si="0"/>
        <v>Amargosa - Inyo</v>
      </c>
      <c r="D45" s="512">
        <f t="shared" si="1"/>
        <v>3.9833333333333339E-2</v>
      </c>
      <c r="E45" s="261">
        <f t="shared" si="2"/>
        <v>1.065E-2</v>
      </c>
      <c r="F45" s="1"/>
      <c r="G45" s="259" t="s">
        <v>751</v>
      </c>
      <c r="H45" s="262">
        <v>4.4750000000000005E-2</v>
      </c>
      <c r="I45" s="1"/>
      <c r="J45" s="259" t="s">
        <v>823</v>
      </c>
      <c r="K45" s="260">
        <v>1.167E-2</v>
      </c>
      <c r="M45" s="9"/>
      <c r="N45" s="515"/>
    </row>
    <row r="46" spans="1:14" ht="12.75" x14ac:dyDescent="0.2">
      <c r="A46" s="259" t="s">
        <v>824</v>
      </c>
      <c r="B46" s="1" t="s">
        <v>738</v>
      </c>
      <c r="C46" s="1" t="str">
        <f t="shared" si="0"/>
        <v>Amboy - San Bernardino</v>
      </c>
      <c r="D46" s="512">
        <f t="shared" si="1"/>
        <v>5.1583333333333342E-2</v>
      </c>
      <c r="E46" s="261">
        <f t="shared" si="2"/>
        <v>1.1379999999999999E-2</v>
      </c>
      <c r="F46" s="1"/>
      <c r="G46" s="259" t="s">
        <v>2092</v>
      </c>
      <c r="H46" s="262">
        <v>3.7000000000000005E-2</v>
      </c>
      <c r="I46" s="1"/>
      <c r="J46" s="259" t="s">
        <v>825</v>
      </c>
      <c r="K46" s="260">
        <v>1.1819999999999999E-2</v>
      </c>
      <c r="M46" s="9"/>
      <c r="N46" s="515"/>
    </row>
    <row r="47" spans="1:14" ht="12.75" x14ac:dyDescent="0.2">
      <c r="A47" s="259" t="s">
        <v>826</v>
      </c>
      <c r="B47" s="1" t="s">
        <v>827</v>
      </c>
      <c r="C47" s="1" t="str">
        <f t="shared" si="0"/>
        <v>American Canyon - Napa</v>
      </c>
      <c r="D47" s="512">
        <f t="shared" si="1"/>
        <v>0.04</v>
      </c>
      <c r="E47" s="261">
        <f t="shared" si="2"/>
        <v>1.102E-2</v>
      </c>
      <c r="F47" s="1"/>
      <c r="G47" s="259" t="s">
        <v>729</v>
      </c>
      <c r="H47" s="262">
        <v>6.699999999999999E-2</v>
      </c>
      <c r="I47" s="1"/>
      <c r="J47" s="259" t="s">
        <v>828</v>
      </c>
      <c r="K47" s="260">
        <v>1.1299999999999999E-2</v>
      </c>
      <c r="M47" s="9"/>
      <c r="N47" s="515"/>
    </row>
    <row r="48" spans="1:14" ht="12.75" x14ac:dyDescent="0.2">
      <c r="A48" s="259" t="s">
        <v>829</v>
      </c>
      <c r="B48" s="1" t="s">
        <v>782</v>
      </c>
      <c r="C48" s="1" t="str">
        <f t="shared" si="0"/>
        <v>Anaheim - Orange</v>
      </c>
      <c r="D48" s="512">
        <f t="shared" si="1"/>
        <v>3.9749999999999994E-2</v>
      </c>
      <c r="E48" s="261">
        <f t="shared" si="2"/>
        <v>1.0660000000000001E-2</v>
      </c>
      <c r="F48" s="1"/>
      <c r="G48" s="259" t="s">
        <v>735</v>
      </c>
      <c r="H48" s="262">
        <v>3.8833333333333331E-2</v>
      </c>
      <c r="I48" s="1"/>
      <c r="J48" s="259" t="s">
        <v>830</v>
      </c>
      <c r="K48" s="260">
        <v>1.085E-2</v>
      </c>
      <c r="M48" s="9"/>
      <c r="N48" s="515"/>
    </row>
    <row r="49" spans="1:14" ht="12.75" x14ac:dyDescent="0.2">
      <c r="A49" s="259" t="s">
        <v>831</v>
      </c>
      <c r="B49" s="1" t="s">
        <v>832</v>
      </c>
      <c r="C49" s="1" t="str">
        <f t="shared" si="0"/>
        <v>Anderson - Shasta</v>
      </c>
      <c r="D49" s="512">
        <f t="shared" si="1"/>
        <v>5.6416666666666657E-2</v>
      </c>
      <c r="E49" s="261">
        <f t="shared" si="2"/>
        <v>1.099E-2</v>
      </c>
      <c r="F49" s="1"/>
      <c r="G49" s="259" t="s">
        <v>890</v>
      </c>
      <c r="H49" s="262">
        <v>3.5000000000000003E-2</v>
      </c>
      <c r="I49" s="1"/>
      <c r="J49" s="259" t="s">
        <v>833</v>
      </c>
      <c r="K49" s="260">
        <v>1.1089999999999999E-2</v>
      </c>
      <c r="M49" s="9"/>
      <c r="N49" s="515"/>
    </row>
    <row r="50" spans="1:14" ht="12.75" x14ac:dyDescent="0.2">
      <c r="A50" s="259" t="s">
        <v>834</v>
      </c>
      <c r="B50" s="1" t="s">
        <v>810</v>
      </c>
      <c r="C50" s="1" t="str">
        <f t="shared" si="0"/>
        <v>Angels Camp - Calaveras</v>
      </c>
      <c r="D50" s="512">
        <f t="shared" si="1"/>
        <v>4.7166666666666662E-2</v>
      </c>
      <c r="E50" s="261">
        <f t="shared" si="2"/>
        <v>1.0920000000000001E-2</v>
      </c>
      <c r="F50" s="1"/>
      <c r="G50" s="259" t="s">
        <v>911</v>
      </c>
      <c r="H50" s="262">
        <v>4.5333333333333344E-2</v>
      </c>
      <c r="I50" s="1"/>
      <c r="J50" s="259" t="s">
        <v>835</v>
      </c>
      <c r="K50" s="260">
        <v>1.0740000000000001E-2</v>
      </c>
      <c r="M50" s="9"/>
      <c r="N50" s="515"/>
    </row>
    <row r="51" spans="1:14" ht="12.75" x14ac:dyDescent="0.2">
      <c r="A51" s="259" t="s">
        <v>836</v>
      </c>
      <c r="B51" s="1" t="s">
        <v>738</v>
      </c>
      <c r="C51" s="1" t="str">
        <f t="shared" si="0"/>
        <v>Angelus Oaks - San Bernardino</v>
      </c>
      <c r="D51" s="512">
        <f t="shared" si="1"/>
        <v>5.1583333333333342E-2</v>
      </c>
      <c r="E51" s="261">
        <f t="shared" si="2"/>
        <v>1.1379999999999999E-2</v>
      </c>
      <c r="F51" s="1"/>
      <c r="G51" s="259" t="s">
        <v>788</v>
      </c>
      <c r="H51" s="262">
        <v>4.0750000000000001E-2</v>
      </c>
      <c r="I51" s="1"/>
      <c r="J51" s="259" t="s">
        <v>837</v>
      </c>
      <c r="K51" s="260">
        <v>1.2110000000000001E-2</v>
      </c>
      <c r="M51" s="9"/>
      <c r="N51" s="515"/>
    </row>
    <row r="52" spans="1:14" ht="12.75" x14ac:dyDescent="0.2">
      <c r="A52" s="259" t="s">
        <v>838</v>
      </c>
      <c r="B52" s="1" t="s">
        <v>827</v>
      </c>
      <c r="C52" s="1" t="str">
        <f t="shared" si="0"/>
        <v>Angwin - Napa</v>
      </c>
      <c r="D52" s="512">
        <f t="shared" si="1"/>
        <v>0.04</v>
      </c>
      <c r="E52" s="261">
        <f t="shared" si="2"/>
        <v>1.102E-2</v>
      </c>
      <c r="F52" s="1"/>
      <c r="G52" s="259" t="s">
        <v>856</v>
      </c>
      <c r="H52" s="262">
        <v>6.2416666666666669E-2</v>
      </c>
      <c r="I52" s="1"/>
      <c r="J52" s="259" t="s">
        <v>839</v>
      </c>
      <c r="K52" s="260">
        <v>1.106E-2</v>
      </c>
      <c r="M52" s="9"/>
      <c r="N52" s="515"/>
    </row>
    <row r="53" spans="1:14" ht="12.75" x14ac:dyDescent="0.2">
      <c r="A53" s="259" t="s">
        <v>840</v>
      </c>
      <c r="B53" s="1" t="s">
        <v>748</v>
      </c>
      <c r="C53" s="1" t="str">
        <f t="shared" si="0"/>
        <v>Annapolis - Sonoma</v>
      </c>
      <c r="D53" s="512">
        <f t="shared" si="1"/>
        <v>4.0583333333333325E-2</v>
      </c>
      <c r="E53" s="261">
        <f t="shared" si="2"/>
        <v>1.133E-2</v>
      </c>
      <c r="F53" s="1"/>
      <c r="G53" s="259" t="s">
        <v>832</v>
      </c>
      <c r="H53" s="262">
        <v>5.6416666666666657E-2</v>
      </c>
      <c r="I53" s="1"/>
      <c r="J53" s="259" t="s">
        <v>841</v>
      </c>
      <c r="K53" s="260">
        <v>1.099E-2</v>
      </c>
      <c r="M53" s="9"/>
      <c r="N53" s="515"/>
    </row>
    <row r="54" spans="1:14" ht="12.75" x14ac:dyDescent="0.2">
      <c r="A54" s="259" t="s">
        <v>842</v>
      </c>
      <c r="B54" s="1" t="s">
        <v>843</v>
      </c>
      <c r="C54" s="1" t="str">
        <f t="shared" si="0"/>
        <v>Antelope - Sacramento</v>
      </c>
      <c r="D54" s="512">
        <f t="shared" si="1"/>
        <v>4.8833333333333326E-2</v>
      </c>
      <c r="E54" s="261">
        <f t="shared" si="2"/>
        <v>1.1519999999999999E-2</v>
      </c>
      <c r="F54" s="1"/>
      <c r="G54" s="259" t="s">
        <v>785</v>
      </c>
      <c r="H54" s="262">
        <v>5.2250000000000005E-2</v>
      </c>
      <c r="I54" s="1"/>
      <c r="J54" s="259" t="s">
        <v>844</v>
      </c>
      <c r="K54" s="260">
        <v>0.01</v>
      </c>
      <c r="M54" s="9"/>
      <c r="N54" s="515"/>
    </row>
    <row r="55" spans="1:14" ht="12.75" x14ac:dyDescent="0.2">
      <c r="A55" s="259" t="s">
        <v>845</v>
      </c>
      <c r="B55" s="1" t="s">
        <v>732</v>
      </c>
      <c r="C55" s="1" t="str">
        <f t="shared" si="0"/>
        <v>Antelope Acres - Los Angeles</v>
      </c>
      <c r="D55" s="512">
        <f t="shared" si="1"/>
        <v>5.4833333333333331E-2</v>
      </c>
      <c r="E55" s="261">
        <f t="shared" si="2"/>
        <v>1.1599999999999999E-2</v>
      </c>
      <c r="F55" s="1"/>
      <c r="G55" s="259" t="s">
        <v>1053</v>
      </c>
      <c r="H55" s="262">
        <v>6.883333333333333E-2</v>
      </c>
      <c r="I55" s="1"/>
      <c r="J55" s="259" t="s">
        <v>846</v>
      </c>
      <c r="K55" s="260">
        <v>1.0460000000000001E-2</v>
      </c>
      <c r="M55" s="9"/>
      <c r="N55" s="515"/>
    </row>
    <row r="56" spans="1:14" ht="12.75" x14ac:dyDescent="0.2">
      <c r="A56" s="259" t="s">
        <v>847</v>
      </c>
      <c r="B56" s="1" t="s">
        <v>767</v>
      </c>
      <c r="C56" s="1" t="str">
        <f t="shared" si="0"/>
        <v>Antioch - Contra Costa</v>
      </c>
      <c r="D56" s="512">
        <f t="shared" si="1"/>
        <v>4.7250000000000007E-2</v>
      </c>
      <c r="E56" s="261">
        <f t="shared" si="2"/>
        <v>1.163E-2</v>
      </c>
      <c r="F56" s="1"/>
      <c r="G56" s="259" t="s">
        <v>949</v>
      </c>
      <c r="H56" s="262">
        <v>5.1916666666666673E-2</v>
      </c>
      <c r="I56" s="1"/>
      <c r="J56" s="259" t="s">
        <v>848</v>
      </c>
      <c r="K56" s="260">
        <v>1.18E-2</v>
      </c>
      <c r="M56" s="9"/>
      <c r="N56" s="515"/>
    </row>
    <row r="57" spans="1:14" ht="12.75" x14ac:dyDescent="0.2">
      <c r="A57" s="259" t="s">
        <v>849</v>
      </c>
      <c r="B57" s="1" t="s">
        <v>756</v>
      </c>
      <c r="C57" s="1" t="str">
        <f t="shared" si="0"/>
        <v>Anza - Riverside</v>
      </c>
      <c r="D57" s="512">
        <f t="shared" si="1"/>
        <v>5.3749999999999999E-2</v>
      </c>
      <c r="E57" s="261">
        <f t="shared" si="2"/>
        <v>1.1859999999999999E-2</v>
      </c>
      <c r="F57" s="1"/>
      <c r="G57" s="259" t="s">
        <v>748</v>
      </c>
      <c r="H57" s="262">
        <v>4.0583333333333325E-2</v>
      </c>
      <c r="I57" s="1"/>
      <c r="J57" s="259" t="s">
        <v>850</v>
      </c>
      <c r="K57" s="260">
        <v>1.133E-2</v>
      </c>
      <c r="M57" s="9"/>
      <c r="N57" s="515"/>
    </row>
    <row r="58" spans="1:14" ht="12.75" x14ac:dyDescent="0.2">
      <c r="A58" s="259" t="s">
        <v>851</v>
      </c>
      <c r="B58" s="1" t="s">
        <v>738</v>
      </c>
      <c r="C58" s="1" t="str">
        <f t="shared" si="0"/>
        <v>Apple Valley - San Bernardino</v>
      </c>
      <c r="D58" s="512">
        <f t="shared" si="1"/>
        <v>5.1583333333333342E-2</v>
      </c>
      <c r="E58" s="261">
        <f t="shared" si="2"/>
        <v>1.1379999999999999E-2</v>
      </c>
      <c r="F58" s="1"/>
      <c r="G58" s="259" t="s">
        <v>1124</v>
      </c>
      <c r="H58" s="262">
        <v>6.9833333333333331E-2</v>
      </c>
      <c r="I58" s="1"/>
      <c r="J58" s="259" t="s">
        <v>852</v>
      </c>
      <c r="K58" s="260">
        <v>1.1080000000000001E-2</v>
      </c>
      <c r="M58" s="9"/>
      <c r="N58" s="515"/>
    </row>
    <row r="59" spans="1:14" ht="12.75" x14ac:dyDescent="0.2">
      <c r="A59" s="259" t="s">
        <v>853</v>
      </c>
      <c r="B59" s="1" t="s">
        <v>803</v>
      </c>
      <c r="C59" s="1" t="str">
        <f t="shared" si="0"/>
        <v>Applegate - Placer</v>
      </c>
      <c r="D59" s="512">
        <f t="shared" si="1"/>
        <v>4.1833333333333347E-2</v>
      </c>
      <c r="E59" s="261">
        <f t="shared" si="2"/>
        <v>1.0880000000000001E-2</v>
      </c>
      <c r="F59" s="1"/>
      <c r="G59" s="259" t="s">
        <v>1300</v>
      </c>
      <c r="H59" s="262">
        <v>8.2583333333333328E-2</v>
      </c>
      <c r="I59" s="1"/>
      <c r="J59" s="259" t="s">
        <v>854</v>
      </c>
      <c r="K59" s="260">
        <v>1.099E-2</v>
      </c>
      <c r="M59" s="9"/>
      <c r="N59" s="515"/>
    </row>
    <row r="60" spans="1:14" ht="12.75" x14ac:dyDescent="0.2">
      <c r="A60" s="259" t="s">
        <v>855</v>
      </c>
      <c r="B60" s="1" t="s">
        <v>856</v>
      </c>
      <c r="C60" s="1" t="str">
        <f t="shared" si="0"/>
        <v>Aptos - Santa Cruz</v>
      </c>
      <c r="D60" s="512">
        <f t="shared" si="1"/>
        <v>6.2416666666666669E-2</v>
      </c>
      <c r="E60" s="261">
        <f t="shared" si="2"/>
        <v>1.106E-2</v>
      </c>
      <c r="F60" s="1"/>
      <c r="G60" s="259" t="s">
        <v>1188</v>
      </c>
      <c r="H60" s="262">
        <v>6.3083333333333325E-2</v>
      </c>
      <c r="I60" s="1"/>
      <c r="J60" s="259" t="s">
        <v>857</v>
      </c>
      <c r="K60" s="260">
        <v>1.057E-2</v>
      </c>
      <c r="M60" s="9"/>
      <c r="N60" s="515"/>
    </row>
    <row r="61" spans="1:14" ht="12.75" x14ac:dyDescent="0.2">
      <c r="A61" s="259" t="s">
        <v>858</v>
      </c>
      <c r="B61" s="1" t="s">
        <v>859</v>
      </c>
      <c r="C61" s="1" t="str">
        <f t="shared" si="0"/>
        <v>Arbuckle - Colusa</v>
      </c>
      <c r="D61" s="512">
        <f t="shared" si="1"/>
        <v>0.13600000000000001</v>
      </c>
      <c r="E61" s="261">
        <f t="shared" si="2"/>
        <v>1.098E-2</v>
      </c>
      <c r="F61" s="1"/>
      <c r="G61" s="259" t="s">
        <v>961</v>
      </c>
      <c r="H61" s="262">
        <v>5.916666666666668E-2</v>
      </c>
      <c r="I61" s="1"/>
      <c r="J61" s="259" t="s">
        <v>860</v>
      </c>
      <c r="K61" s="260">
        <v>1.043E-2</v>
      </c>
      <c r="M61" s="9"/>
      <c r="N61" s="515"/>
    </row>
    <row r="62" spans="1:14" ht="12.75" x14ac:dyDescent="0.2">
      <c r="A62" s="259" t="s">
        <v>861</v>
      </c>
      <c r="B62" s="1" t="s">
        <v>732</v>
      </c>
      <c r="C62" s="1" t="str">
        <f t="shared" si="0"/>
        <v>Arcadia - Los Angeles</v>
      </c>
      <c r="D62" s="512">
        <f t="shared" si="1"/>
        <v>5.4833333333333331E-2</v>
      </c>
      <c r="E62" s="261">
        <f t="shared" si="2"/>
        <v>1.1599999999999999E-2</v>
      </c>
      <c r="F62" s="1"/>
      <c r="G62" s="259" t="s">
        <v>798</v>
      </c>
      <c r="H62" s="262">
        <v>0.10691666666666669</v>
      </c>
      <c r="I62" s="1"/>
      <c r="J62" s="259" t="s">
        <v>862</v>
      </c>
      <c r="K62" s="260">
        <v>1.0869999999999999E-2</v>
      </c>
      <c r="M62" s="9"/>
      <c r="N62" s="515"/>
    </row>
    <row r="63" spans="1:14" ht="12.75" x14ac:dyDescent="0.2">
      <c r="A63" s="259" t="s">
        <v>863</v>
      </c>
      <c r="B63" s="1" t="s">
        <v>777</v>
      </c>
      <c r="C63" s="1" t="str">
        <f t="shared" si="0"/>
        <v>Arcata - Humboldt</v>
      </c>
      <c r="D63" s="512">
        <f t="shared" si="1"/>
        <v>5.1583333333333321E-2</v>
      </c>
      <c r="E63" s="261">
        <f t="shared" si="2"/>
        <v>1.115E-2</v>
      </c>
      <c r="F63" s="1"/>
      <c r="G63" s="259" t="s">
        <v>968</v>
      </c>
      <c r="H63" s="262">
        <v>5.4333333333333338E-2</v>
      </c>
      <c r="I63" s="1"/>
      <c r="J63" s="259" t="s">
        <v>864</v>
      </c>
      <c r="K63" s="260">
        <v>1.0780000000000001E-2</v>
      </c>
      <c r="M63" s="9"/>
      <c r="N63" s="515"/>
    </row>
    <row r="64" spans="1:14" ht="12.75" x14ac:dyDescent="0.2">
      <c r="A64" s="259" t="s">
        <v>865</v>
      </c>
      <c r="B64" s="1" t="s">
        <v>738</v>
      </c>
      <c r="C64" s="1" t="str">
        <f t="shared" si="0"/>
        <v>Argus - San Bernardino</v>
      </c>
      <c r="D64" s="512">
        <f t="shared" si="1"/>
        <v>5.1583333333333342E-2</v>
      </c>
      <c r="E64" s="261">
        <f t="shared" si="2"/>
        <v>1.1379999999999999E-2</v>
      </c>
      <c r="F64" s="1"/>
      <c r="G64" s="259" t="s">
        <v>1058</v>
      </c>
      <c r="H64" s="262">
        <v>4.7250000000000007E-2</v>
      </c>
      <c r="I64" s="1"/>
      <c r="J64" s="259" t="s">
        <v>866</v>
      </c>
      <c r="K64" s="260">
        <v>1.098E-2</v>
      </c>
      <c r="M64" s="9"/>
      <c r="N64" s="515"/>
    </row>
    <row r="65" spans="1:14" ht="12.75" x14ac:dyDescent="0.2">
      <c r="A65" s="259" t="s">
        <v>867</v>
      </c>
      <c r="B65" s="1" t="s">
        <v>732</v>
      </c>
      <c r="C65" s="1" t="str">
        <f t="shared" si="0"/>
        <v>Arleta - Los Angeles</v>
      </c>
      <c r="D65" s="512">
        <f t="shared" si="1"/>
        <v>5.4833333333333331E-2</v>
      </c>
      <c r="E65" s="261">
        <f t="shared" si="2"/>
        <v>1.1599999999999999E-2</v>
      </c>
      <c r="F65" s="1"/>
      <c r="G65" s="259" t="s">
        <v>1018</v>
      </c>
      <c r="H65" s="262">
        <v>5.2666666666666667E-2</v>
      </c>
      <c r="I65" s="1"/>
      <c r="J65" s="259" t="s">
        <v>868</v>
      </c>
      <c r="K65" s="260">
        <v>1.11E-2</v>
      </c>
      <c r="M65" s="9"/>
      <c r="N65" s="515"/>
    </row>
    <row r="66" spans="1:14" ht="13.5" thickBot="1" x14ac:dyDescent="0.25">
      <c r="A66" s="259" t="s">
        <v>869</v>
      </c>
      <c r="B66" s="1" t="s">
        <v>756</v>
      </c>
      <c r="C66" s="1" t="str">
        <f t="shared" si="0"/>
        <v>Arlington - Riverside</v>
      </c>
      <c r="D66" s="512">
        <f t="shared" si="1"/>
        <v>5.3749999999999999E-2</v>
      </c>
      <c r="E66" s="261">
        <f t="shared" si="2"/>
        <v>1.1859999999999999E-2</v>
      </c>
      <c r="F66" s="1"/>
      <c r="G66" s="264" t="s">
        <v>932</v>
      </c>
      <c r="H66" s="265">
        <v>7.2416666666666657E-2</v>
      </c>
      <c r="I66" s="1"/>
      <c r="J66" s="264" t="s">
        <v>870</v>
      </c>
      <c r="K66" s="266">
        <v>1.102E-2</v>
      </c>
      <c r="M66" s="9"/>
      <c r="N66" s="515"/>
    </row>
    <row r="67" spans="1:14" ht="12.75" x14ac:dyDescent="0.2">
      <c r="A67" s="259" t="s">
        <v>871</v>
      </c>
      <c r="B67" s="1" t="s">
        <v>872</v>
      </c>
      <c r="C67" s="1" t="str">
        <f t="shared" si="0"/>
        <v>Armona - Kings</v>
      </c>
      <c r="D67" s="512">
        <f t="shared" si="1"/>
        <v>8.7083333333333346E-2</v>
      </c>
      <c r="E67" s="261">
        <f t="shared" si="2"/>
        <v>1.0820000000000001E-2</v>
      </c>
      <c r="F67" s="1"/>
      <c r="G67" s="1"/>
      <c r="H67" s="1"/>
      <c r="I67" s="1"/>
      <c r="J67" s="1"/>
      <c r="K67" s="1"/>
      <c r="L67" s="1"/>
      <c r="M67" s="251"/>
    </row>
    <row r="68" spans="1:14" ht="12.75" x14ac:dyDescent="0.2">
      <c r="A68" s="259" t="s">
        <v>873</v>
      </c>
      <c r="B68" s="1" t="s">
        <v>764</v>
      </c>
      <c r="C68" s="1" t="str">
        <f t="shared" si="0"/>
        <v>Army Terminal - Alameda</v>
      </c>
      <c r="D68" s="512">
        <f t="shared" si="1"/>
        <v>4.7E-2</v>
      </c>
      <c r="E68" s="261">
        <f t="shared" si="2"/>
        <v>1.2430000000000002E-2</v>
      </c>
      <c r="F68" s="1"/>
      <c r="G68" s="1"/>
      <c r="H68" s="1"/>
      <c r="I68" s="1"/>
      <c r="J68" s="1"/>
      <c r="K68" s="1"/>
      <c r="L68" s="1"/>
      <c r="M68" s="251"/>
    </row>
    <row r="69" spans="1:14" ht="12.75" x14ac:dyDescent="0.2">
      <c r="A69" s="259" t="s">
        <v>874</v>
      </c>
      <c r="B69" s="1" t="s">
        <v>810</v>
      </c>
      <c r="C69" s="1" t="str">
        <f t="shared" si="0"/>
        <v>Arnold - Calaveras</v>
      </c>
      <c r="D69" s="512">
        <f t="shared" si="1"/>
        <v>4.7166666666666662E-2</v>
      </c>
      <c r="E69" s="261">
        <f t="shared" si="2"/>
        <v>1.0920000000000001E-2</v>
      </c>
      <c r="F69" s="1"/>
      <c r="G69" s="1"/>
      <c r="H69" s="1"/>
      <c r="I69" s="1"/>
      <c r="J69" s="1"/>
      <c r="K69" s="1"/>
      <c r="L69" s="1"/>
      <c r="M69" s="251"/>
    </row>
    <row r="70" spans="1:14" ht="12.75" x14ac:dyDescent="0.2">
      <c r="A70" s="259" t="s">
        <v>875</v>
      </c>
      <c r="B70" s="1" t="s">
        <v>876</v>
      </c>
      <c r="C70" s="1" t="str">
        <f t="shared" si="0"/>
        <v>Aromas - Monterey</v>
      </c>
      <c r="D70" s="512">
        <f t="shared" si="1"/>
        <v>7.425000000000001E-2</v>
      </c>
      <c r="E70" s="261">
        <f t="shared" si="2"/>
        <v>1.098E-2</v>
      </c>
      <c r="F70" s="1"/>
      <c r="G70" s="1"/>
      <c r="H70" s="1"/>
      <c r="I70" s="1"/>
      <c r="J70" s="1"/>
      <c r="K70" s="1"/>
      <c r="L70" s="1"/>
      <c r="M70" s="251"/>
    </row>
    <row r="71" spans="1:14" ht="12.75" x14ac:dyDescent="0.2">
      <c r="A71" s="259" t="s">
        <v>877</v>
      </c>
      <c r="B71" s="1" t="s">
        <v>738</v>
      </c>
      <c r="C71" s="1" t="str">
        <f t="shared" si="0"/>
        <v>Arrowbear Lake - San Bernardino</v>
      </c>
      <c r="D71" s="512">
        <f t="shared" si="1"/>
        <v>5.1583333333333342E-2</v>
      </c>
      <c r="E71" s="261">
        <f t="shared" si="2"/>
        <v>1.1379999999999999E-2</v>
      </c>
      <c r="F71" s="1"/>
      <c r="G71" s="1"/>
      <c r="H71" s="1"/>
      <c r="I71" s="1"/>
      <c r="J71" s="1"/>
      <c r="K71" s="1"/>
      <c r="L71" s="1"/>
      <c r="M71" s="251"/>
    </row>
    <row r="72" spans="1:14" ht="12.75" x14ac:dyDescent="0.2">
      <c r="A72" s="259" t="s">
        <v>878</v>
      </c>
      <c r="B72" s="1" t="s">
        <v>738</v>
      </c>
      <c r="C72" s="1" t="str">
        <f t="shared" ref="C72:C135" si="3">A72&amp;" - "&amp;B72</f>
        <v>Arrowhead Highlands - San Bernardino</v>
      </c>
      <c r="D72" s="512">
        <f t="shared" si="1"/>
        <v>5.1583333333333342E-2</v>
      </c>
      <c r="E72" s="261">
        <f t="shared" si="2"/>
        <v>1.1379999999999999E-2</v>
      </c>
      <c r="F72" s="1"/>
      <c r="G72" s="1"/>
      <c r="H72" s="1"/>
      <c r="I72" s="1"/>
      <c r="J72" s="1"/>
      <c r="K72" s="1"/>
      <c r="L72" s="1"/>
      <c r="M72" s="251"/>
    </row>
    <row r="73" spans="1:14" ht="12.75" x14ac:dyDescent="0.2">
      <c r="A73" s="259" t="s">
        <v>879</v>
      </c>
      <c r="B73" s="1" t="s">
        <v>735</v>
      </c>
      <c r="C73" s="1" t="str">
        <f t="shared" si="3"/>
        <v>Arroyo Grande - San Luis Obispo</v>
      </c>
      <c r="D73" s="512">
        <f t="shared" ref="D73:D136" si="4">VLOOKUP(B73,unemployment_rates,2, FALSE)</f>
        <v>3.8833333333333331E-2</v>
      </c>
      <c r="E73" s="261">
        <f t="shared" ref="E73:E136" si="5">VLOOKUP(B73,Prop_Tax_Rates,2,FALSE)</f>
        <v>1.085E-2</v>
      </c>
      <c r="F73" s="1"/>
      <c r="G73" s="1"/>
      <c r="H73" s="1"/>
      <c r="I73" s="1"/>
      <c r="J73" s="1"/>
      <c r="K73" s="1"/>
      <c r="L73" s="1"/>
      <c r="M73" s="251"/>
    </row>
    <row r="74" spans="1:14" ht="12.75" x14ac:dyDescent="0.2">
      <c r="A74" s="259" t="s">
        <v>880</v>
      </c>
      <c r="B74" s="1" t="s">
        <v>732</v>
      </c>
      <c r="C74" s="1" t="str">
        <f t="shared" si="3"/>
        <v>Artesia - Los Angeles</v>
      </c>
      <c r="D74" s="512">
        <f t="shared" si="4"/>
        <v>5.4833333333333331E-2</v>
      </c>
      <c r="E74" s="261">
        <f t="shared" si="5"/>
        <v>1.1599999999999999E-2</v>
      </c>
      <c r="F74" s="1"/>
      <c r="G74" s="1"/>
      <c r="H74" s="1"/>
      <c r="I74" s="1"/>
      <c r="J74" s="1"/>
      <c r="K74" s="1"/>
      <c r="L74" s="1"/>
      <c r="M74" s="251"/>
    </row>
    <row r="75" spans="1:14" ht="12.75" x14ac:dyDescent="0.2">
      <c r="A75" s="259" t="s">
        <v>881</v>
      </c>
      <c r="B75" s="1" t="s">
        <v>882</v>
      </c>
      <c r="C75" s="1" t="str">
        <f t="shared" si="3"/>
        <v>Artois - Glenn</v>
      </c>
      <c r="D75" s="512">
        <f t="shared" si="4"/>
        <v>6.7749999999999991E-2</v>
      </c>
      <c r="E75" s="261">
        <f t="shared" si="5"/>
        <v>1.093E-2</v>
      </c>
      <c r="F75" s="1"/>
      <c r="G75" s="1"/>
      <c r="H75" s="1"/>
      <c r="I75" s="1"/>
      <c r="J75" s="1"/>
      <c r="K75" s="1"/>
      <c r="L75" s="1"/>
      <c r="M75" s="251"/>
    </row>
    <row r="76" spans="1:14" ht="12.75" x14ac:dyDescent="0.2">
      <c r="A76" s="259" t="s">
        <v>883</v>
      </c>
      <c r="B76" s="1" t="s">
        <v>884</v>
      </c>
      <c r="C76" s="1" t="str">
        <f t="shared" si="3"/>
        <v>Arvin - Kern</v>
      </c>
      <c r="D76" s="512">
        <f t="shared" si="4"/>
        <v>8.9333333333333334E-2</v>
      </c>
      <c r="E76" s="261">
        <f t="shared" si="5"/>
        <v>1.238E-2</v>
      </c>
      <c r="F76" s="1"/>
      <c r="G76" s="1"/>
      <c r="H76" s="1"/>
      <c r="I76" s="1"/>
      <c r="J76" s="1"/>
      <c r="K76" s="1"/>
      <c r="L76" s="1"/>
      <c r="M76" s="251"/>
    </row>
    <row r="77" spans="1:14" ht="12.75" x14ac:dyDescent="0.2">
      <c r="A77" s="259" t="s">
        <v>885</v>
      </c>
      <c r="B77" s="1" t="s">
        <v>764</v>
      </c>
      <c r="C77" s="1" t="str">
        <f t="shared" si="3"/>
        <v>Ashland - Alameda</v>
      </c>
      <c r="D77" s="512">
        <f t="shared" si="4"/>
        <v>4.7E-2</v>
      </c>
      <c r="E77" s="261">
        <f t="shared" si="5"/>
        <v>1.2430000000000002E-2</v>
      </c>
      <c r="F77" s="1"/>
      <c r="G77" s="1"/>
      <c r="H77" s="1"/>
      <c r="I77" s="1"/>
      <c r="J77" s="1"/>
      <c r="K77" s="1"/>
      <c r="L77" s="1"/>
      <c r="M77" s="251"/>
    </row>
    <row r="78" spans="1:14" ht="12.75" x14ac:dyDescent="0.2">
      <c r="A78" s="259" t="s">
        <v>886</v>
      </c>
      <c r="B78" s="1" t="s">
        <v>748</v>
      </c>
      <c r="C78" s="1" t="str">
        <f t="shared" si="3"/>
        <v>Asti - Sonoma</v>
      </c>
      <c r="D78" s="512">
        <f t="shared" si="4"/>
        <v>4.0583333333333325E-2</v>
      </c>
      <c r="E78" s="261">
        <f t="shared" si="5"/>
        <v>1.133E-2</v>
      </c>
      <c r="F78" s="1"/>
      <c r="G78" s="1"/>
      <c r="H78" s="1"/>
      <c r="I78" s="1"/>
      <c r="J78" s="1"/>
      <c r="K78" s="1"/>
      <c r="L78" s="1"/>
      <c r="M78" s="251"/>
    </row>
    <row r="79" spans="1:14" ht="12.75" x14ac:dyDescent="0.2">
      <c r="A79" s="259" t="s">
        <v>887</v>
      </c>
      <c r="B79" s="1" t="s">
        <v>735</v>
      </c>
      <c r="C79" s="1" t="str">
        <f t="shared" si="3"/>
        <v>Atascadero - San Luis Obispo</v>
      </c>
      <c r="D79" s="512">
        <f t="shared" si="4"/>
        <v>3.8833333333333331E-2</v>
      </c>
      <c r="E79" s="261">
        <f t="shared" si="5"/>
        <v>1.085E-2</v>
      </c>
      <c r="F79" s="1"/>
      <c r="G79" s="1"/>
      <c r="H79" s="1"/>
      <c r="I79" s="1"/>
      <c r="J79" s="1"/>
      <c r="K79" s="1"/>
      <c r="L79" s="1"/>
      <c r="M79" s="251"/>
    </row>
    <row r="80" spans="1:14" ht="12.75" x14ac:dyDescent="0.2">
      <c r="A80" s="259" t="s">
        <v>888</v>
      </c>
      <c r="B80" s="1" t="s">
        <v>732</v>
      </c>
      <c r="C80" s="1" t="str">
        <f t="shared" si="3"/>
        <v>Athens - Los Angeles</v>
      </c>
      <c r="D80" s="512">
        <f t="shared" si="4"/>
        <v>5.4833333333333331E-2</v>
      </c>
      <c r="E80" s="261">
        <f t="shared" si="5"/>
        <v>1.1599999999999999E-2</v>
      </c>
      <c r="F80" s="1"/>
      <c r="G80" s="1"/>
      <c r="H80" s="1"/>
      <c r="I80" s="1"/>
      <c r="J80" s="1"/>
      <c r="K80" s="1"/>
      <c r="L80" s="1"/>
      <c r="M80" s="251"/>
    </row>
    <row r="81" spans="1:5" ht="12.75" x14ac:dyDescent="0.2">
      <c r="A81" s="259" t="s">
        <v>889</v>
      </c>
      <c r="B81" s="1" t="s">
        <v>890</v>
      </c>
      <c r="C81" s="1" t="str">
        <f t="shared" si="3"/>
        <v>Atherton - San Mateo</v>
      </c>
      <c r="D81" s="512">
        <f t="shared" si="4"/>
        <v>3.5000000000000003E-2</v>
      </c>
      <c r="E81" s="261">
        <f t="shared" si="5"/>
        <v>1.1089999999999999E-2</v>
      </c>
    </row>
    <row r="82" spans="1:5" ht="12.75" x14ac:dyDescent="0.2">
      <c r="A82" s="259" t="s">
        <v>891</v>
      </c>
      <c r="B82" s="1" t="s">
        <v>892</v>
      </c>
      <c r="C82" s="1" t="str">
        <f t="shared" si="3"/>
        <v>Atwater - Merced</v>
      </c>
      <c r="D82" s="512">
        <f t="shared" si="4"/>
        <v>9.6416666666666678E-2</v>
      </c>
      <c r="E82" s="261">
        <f t="shared" si="5"/>
        <v>1.0829999999999999E-2</v>
      </c>
    </row>
    <row r="83" spans="1:5" ht="12.75" x14ac:dyDescent="0.2">
      <c r="A83" s="259" t="s">
        <v>893</v>
      </c>
      <c r="B83" s="1" t="s">
        <v>782</v>
      </c>
      <c r="C83" s="1" t="str">
        <f t="shared" si="3"/>
        <v>Atwood - Orange</v>
      </c>
      <c r="D83" s="512">
        <f t="shared" si="4"/>
        <v>3.9749999999999994E-2</v>
      </c>
      <c r="E83" s="261">
        <f t="shared" si="5"/>
        <v>1.0660000000000001E-2</v>
      </c>
    </row>
    <row r="84" spans="1:5" ht="12.75" x14ac:dyDescent="0.2">
      <c r="A84" s="259" t="s">
        <v>894</v>
      </c>
      <c r="B84" s="1" t="s">
        <v>895</v>
      </c>
      <c r="C84" s="1" t="str">
        <f t="shared" si="3"/>
        <v>Auberry - Fresno</v>
      </c>
      <c r="D84" s="512">
        <f t="shared" si="4"/>
        <v>8.0416666666666664E-2</v>
      </c>
      <c r="E84" s="261">
        <f t="shared" si="5"/>
        <v>1.2110000000000001E-2</v>
      </c>
    </row>
    <row r="85" spans="1:5" ht="12.75" x14ac:dyDescent="0.2">
      <c r="A85" s="259" t="s">
        <v>896</v>
      </c>
      <c r="B85" s="1" t="s">
        <v>803</v>
      </c>
      <c r="C85" s="1" t="str">
        <f t="shared" si="3"/>
        <v>Auburn - Placer</v>
      </c>
      <c r="D85" s="512">
        <f t="shared" si="4"/>
        <v>4.1833333333333347E-2</v>
      </c>
      <c r="E85" s="261">
        <f t="shared" si="5"/>
        <v>1.0880000000000001E-2</v>
      </c>
    </row>
    <row r="86" spans="1:5" ht="12.75" x14ac:dyDescent="0.2">
      <c r="A86" s="259" t="s">
        <v>897</v>
      </c>
      <c r="B86" s="1" t="s">
        <v>732</v>
      </c>
      <c r="C86" s="1" t="str">
        <f t="shared" si="3"/>
        <v>Avalon - Los Angeles</v>
      </c>
      <c r="D86" s="512">
        <f t="shared" si="4"/>
        <v>5.4833333333333331E-2</v>
      </c>
      <c r="E86" s="261">
        <f t="shared" si="5"/>
        <v>1.1599999999999999E-2</v>
      </c>
    </row>
    <row r="87" spans="1:5" ht="12.75" x14ac:dyDescent="0.2">
      <c r="A87" s="259" t="s">
        <v>898</v>
      </c>
      <c r="B87" s="1" t="s">
        <v>872</v>
      </c>
      <c r="C87" s="1" t="str">
        <f t="shared" si="3"/>
        <v>Avenal - Kings</v>
      </c>
      <c r="D87" s="512">
        <f t="shared" si="4"/>
        <v>8.7083333333333346E-2</v>
      </c>
      <c r="E87" s="261">
        <f t="shared" si="5"/>
        <v>1.0820000000000001E-2</v>
      </c>
    </row>
    <row r="88" spans="1:5" ht="12.75" x14ac:dyDescent="0.2">
      <c r="A88" s="259" t="s">
        <v>899</v>
      </c>
      <c r="B88" s="1" t="s">
        <v>810</v>
      </c>
      <c r="C88" s="1" t="str">
        <f t="shared" si="3"/>
        <v>Avery - Calaveras</v>
      </c>
      <c r="D88" s="512">
        <f t="shared" si="4"/>
        <v>4.7166666666666662E-2</v>
      </c>
      <c r="E88" s="261">
        <f t="shared" si="5"/>
        <v>1.0920000000000001E-2</v>
      </c>
    </row>
    <row r="89" spans="1:5" ht="12.75" x14ac:dyDescent="0.2">
      <c r="A89" s="259" t="s">
        <v>900</v>
      </c>
      <c r="B89" s="1" t="s">
        <v>735</v>
      </c>
      <c r="C89" s="1" t="str">
        <f t="shared" si="3"/>
        <v>Avila Beach - San Luis Obispo</v>
      </c>
      <c r="D89" s="512">
        <f t="shared" si="4"/>
        <v>3.8833333333333331E-2</v>
      </c>
      <c r="E89" s="261">
        <f t="shared" si="5"/>
        <v>1.085E-2</v>
      </c>
    </row>
    <row r="90" spans="1:5" ht="12.75" x14ac:dyDescent="0.2">
      <c r="A90" s="259" t="s">
        <v>901</v>
      </c>
      <c r="B90" s="1" t="s">
        <v>732</v>
      </c>
      <c r="C90" s="1" t="str">
        <f t="shared" si="3"/>
        <v>Azusa - Los Angeles</v>
      </c>
      <c r="D90" s="512">
        <f t="shared" si="4"/>
        <v>5.4833333333333331E-2</v>
      </c>
      <c r="E90" s="261">
        <f t="shared" si="5"/>
        <v>1.1599999999999999E-2</v>
      </c>
    </row>
    <row r="91" spans="1:5" ht="12.75" x14ac:dyDescent="0.2">
      <c r="A91" s="259" t="s">
        <v>902</v>
      </c>
      <c r="B91" s="1" t="s">
        <v>798</v>
      </c>
      <c r="C91" s="1" t="str">
        <f t="shared" si="3"/>
        <v>Badger - Tulare</v>
      </c>
      <c r="D91" s="512">
        <f t="shared" si="4"/>
        <v>0.10691666666666669</v>
      </c>
      <c r="E91" s="261">
        <f t="shared" si="5"/>
        <v>1.0869999999999999E-2</v>
      </c>
    </row>
    <row r="92" spans="1:5" ht="12.75" x14ac:dyDescent="0.2">
      <c r="A92" s="259" t="s">
        <v>903</v>
      </c>
      <c r="B92" s="1" t="s">
        <v>732</v>
      </c>
      <c r="C92" s="1" t="str">
        <f t="shared" si="3"/>
        <v>Bailey - Los Angeles</v>
      </c>
      <c r="D92" s="512">
        <f t="shared" si="4"/>
        <v>5.4833333333333331E-2</v>
      </c>
      <c r="E92" s="261">
        <f t="shared" si="5"/>
        <v>1.1599999999999999E-2</v>
      </c>
    </row>
    <row r="93" spans="1:5" ht="12.75" x14ac:dyDescent="0.2">
      <c r="A93" s="259" t="s">
        <v>904</v>
      </c>
      <c r="B93" s="1" t="s">
        <v>738</v>
      </c>
      <c r="C93" s="1" t="str">
        <f t="shared" si="3"/>
        <v>Baker - San Bernardino</v>
      </c>
      <c r="D93" s="512">
        <f t="shared" si="4"/>
        <v>5.1583333333333342E-2</v>
      </c>
      <c r="E93" s="261">
        <f t="shared" si="5"/>
        <v>1.1379999999999999E-2</v>
      </c>
    </row>
    <row r="94" spans="1:5" ht="12.75" x14ac:dyDescent="0.2">
      <c r="A94" s="259" t="s">
        <v>905</v>
      </c>
      <c r="B94" s="1" t="s">
        <v>884</v>
      </c>
      <c r="C94" s="1" t="str">
        <f t="shared" si="3"/>
        <v>Bakersfield - Kern</v>
      </c>
      <c r="D94" s="512">
        <f t="shared" si="4"/>
        <v>8.9333333333333334E-2</v>
      </c>
      <c r="E94" s="261">
        <f t="shared" si="5"/>
        <v>1.238E-2</v>
      </c>
    </row>
    <row r="95" spans="1:5" ht="12.75" x14ac:dyDescent="0.2">
      <c r="A95" s="259" t="s">
        <v>906</v>
      </c>
      <c r="B95" s="1" t="s">
        <v>782</v>
      </c>
      <c r="C95" s="1" t="str">
        <f t="shared" si="3"/>
        <v>Balboa - Orange</v>
      </c>
      <c r="D95" s="512">
        <f t="shared" si="4"/>
        <v>3.9749999999999994E-2</v>
      </c>
      <c r="E95" s="261">
        <f t="shared" si="5"/>
        <v>1.0660000000000001E-2</v>
      </c>
    </row>
    <row r="96" spans="1:5" ht="12.75" x14ac:dyDescent="0.2">
      <c r="A96" s="259" t="s">
        <v>907</v>
      </c>
      <c r="B96" s="1" t="s">
        <v>782</v>
      </c>
      <c r="C96" s="1" t="str">
        <f t="shared" si="3"/>
        <v>Balboa Island - Orange</v>
      </c>
      <c r="D96" s="512">
        <f t="shared" si="4"/>
        <v>3.9749999999999994E-2</v>
      </c>
      <c r="E96" s="261">
        <f t="shared" si="5"/>
        <v>1.0660000000000001E-2</v>
      </c>
    </row>
    <row r="97" spans="1:5" ht="12.75" x14ac:dyDescent="0.2">
      <c r="A97" s="259" t="s">
        <v>908</v>
      </c>
      <c r="B97" s="1" t="s">
        <v>751</v>
      </c>
      <c r="C97" s="1" t="str">
        <f t="shared" si="3"/>
        <v>Balboa Park  - San Diego</v>
      </c>
      <c r="D97" s="512">
        <f t="shared" si="4"/>
        <v>4.4750000000000005E-2</v>
      </c>
      <c r="E97" s="261">
        <f t="shared" si="5"/>
        <v>1.167E-2</v>
      </c>
    </row>
    <row r="98" spans="1:5" ht="12.75" x14ac:dyDescent="0.2">
      <c r="A98" s="259" t="s">
        <v>909</v>
      </c>
      <c r="B98" s="1" t="s">
        <v>732</v>
      </c>
      <c r="C98" s="1" t="str">
        <f t="shared" si="3"/>
        <v>Baldwin Park - Los Angeles</v>
      </c>
      <c r="D98" s="512">
        <f t="shared" si="4"/>
        <v>5.4833333333333331E-2</v>
      </c>
      <c r="E98" s="261">
        <f t="shared" si="5"/>
        <v>1.1599999999999999E-2</v>
      </c>
    </row>
    <row r="99" spans="1:5" ht="12.75" x14ac:dyDescent="0.2">
      <c r="A99" s="259" t="s">
        <v>910</v>
      </c>
      <c r="B99" s="1" t="s">
        <v>911</v>
      </c>
      <c r="C99" s="1" t="str">
        <f t="shared" si="3"/>
        <v>Ballard - Santa Barbara</v>
      </c>
      <c r="D99" s="512">
        <f t="shared" si="4"/>
        <v>4.5333333333333344E-2</v>
      </c>
      <c r="E99" s="261">
        <f t="shared" si="5"/>
        <v>1.0740000000000001E-2</v>
      </c>
    </row>
    <row r="100" spans="1:5" ht="12.75" x14ac:dyDescent="0.2">
      <c r="A100" s="259" t="s">
        <v>912</v>
      </c>
      <c r="B100" s="1" t="s">
        <v>892</v>
      </c>
      <c r="C100" s="1" t="str">
        <f t="shared" si="3"/>
        <v>Ballico - Merced</v>
      </c>
      <c r="D100" s="512">
        <f t="shared" si="4"/>
        <v>9.6416666666666678E-2</v>
      </c>
      <c r="E100" s="261">
        <f t="shared" si="5"/>
        <v>1.0829999999999999E-2</v>
      </c>
    </row>
    <row r="101" spans="1:5" ht="12.75" x14ac:dyDescent="0.2">
      <c r="A101" s="259" t="s">
        <v>913</v>
      </c>
      <c r="B101" s="1" t="s">
        <v>782</v>
      </c>
      <c r="C101" s="1" t="str">
        <f t="shared" si="3"/>
        <v>Ballroad - Orange</v>
      </c>
      <c r="D101" s="512">
        <f t="shared" si="4"/>
        <v>3.9749999999999994E-2</v>
      </c>
      <c r="E101" s="261">
        <f t="shared" si="5"/>
        <v>1.0660000000000001E-2</v>
      </c>
    </row>
    <row r="102" spans="1:5" ht="12.75" x14ac:dyDescent="0.2">
      <c r="A102" s="259" t="s">
        <v>914</v>
      </c>
      <c r="B102" s="1" t="s">
        <v>915</v>
      </c>
      <c r="C102" s="1" t="str">
        <f t="shared" si="3"/>
        <v>Bangor - Butte</v>
      </c>
      <c r="D102" s="512">
        <f t="shared" si="4"/>
        <v>5.8999999999999983E-2</v>
      </c>
      <c r="E102" s="261">
        <f t="shared" si="5"/>
        <v>1.1169999999999999E-2</v>
      </c>
    </row>
    <row r="103" spans="1:5" ht="12.75" x14ac:dyDescent="0.2">
      <c r="A103" s="259" t="s">
        <v>916</v>
      </c>
      <c r="B103" s="1" t="s">
        <v>756</v>
      </c>
      <c r="C103" s="1" t="str">
        <f t="shared" si="3"/>
        <v>Banning - Riverside</v>
      </c>
      <c r="D103" s="512">
        <f t="shared" si="4"/>
        <v>5.3749999999999999E-2</v>
      </c>
      <c r="E103" s="261">
        <f t="shared" si="5"/>
        <v>1.1859999999999999E-2</v>
      </c>
    </row>
    <row r="104" spans="1:5" ht="12.75" x14ac:dyDescent="0.2">
      <c r="A104" s="259" t="s">
        <v>917</v>
      </c>
      <c r="B104" s="1" t="s">
        <v>729</v>
      </c>
      <c r="C104" s="1" t="str">
        <f t="shared" si="3"/>
        <v>Banta - San Joaquin</v>
      </c>
      <c r="D104" s="512">
        <f t="shared" si="4"/>
        <v>6.699999999999999E-2</v>
      </c>
      <c r="E104" s="261">
        <f t="shared" si="5"/>
        <v>1.1299999999999999E-2</v>
      </c>
    </row>
    <row r="105" spans="1:5" ht="12.75" x14ac:dyDescent="0.2">
      <c r="A105" s="259" t="s">
        <v>918</v>
      </c>
      <c r="B105" s="1" t="s">
        <v>919</v>
      </c>
      <c r="C105" s="1" t="str">
        <f t="shared" si="3"/>
        <v>Bard - Imperial</v>
      </c>
      <c r="D105" s="512">
        <f t="shared" si="4"/>
        <v>0.17949999999999999</v>
      </c>
      <c r="E105" s="261">
        <f t="shared" si="5"/>
        <v>1.206E-2</v>
      </c>
    </row>
    <row r="106" spans="1:5" ht="12.75" x14ac:dyDescent="0.2">
      <c r="A106" s="259" t="s">
        <v>920</v>
      </c>
      <c r="B106" s="1" t="s">
        <v>732</v>
      </c>
      <c r="C106" s="1" t="str">
        <f t="shared" si="3"/>
        <v>Barrington - Los Angeles</v>
      </c>
      <c r="D106" s="512">
        <f t="shared" si="4"/>
        <v>5.4833333333333331E-2</v>
      </c>
      <c r="E106" s="261">
        <f t="shared" si="5"/>
        <v>1.1599999999999999E-2</v>
      </c>
    </row>
    <row r="107" spans="1:5" ht="12.75" x14ac:dyDescent="0.2">
      <c r="A107" s="259" t="s">
        <v>921</v>
      </c>
      <c r="B107" s="1" t="s">
        <v>738</v>
      </c>
      <c r="C107" s="1" t="str">
        <f t="shared" si="3"/>
        <v>Barstow - San Bernardino</v>
      </c>
      <c r="D107" s="512">
        <f t="shared" si="4"/>
        <v>5.1583333333333342E-2</v>
      </c>
      <c r="E107" s="261">
        <f t="shared" si="5"/>
        <v>1.1379999999999999E-2</v>
      </c>
    </row>
    <row r="108" spans="1:5" ht="12.75" x14ac:dyDescent="0.2">
      <c r="A108" s="259" t="s">
        <v>922</v>
      </c>
      <c r="B108" s="1" t="s">
        <v>822</v>
      </c>
      <c r="C108" s="1" t="str">
        <f t="shared" si="3"/>
        <v>Bartlett - Inyo</v>
      </c>
      <c r="D108" s="512">
        <f t="shared" si="4"/>
        <v>3.9833333333333339E-2</v>
      </c>
      <c r="E108" s="261">
        <f t="shared" si="5"/>
        <v>1.065E-2</v>
      </c>
    </row>
    <row r="109" spans="1:5" ht="12.75" x14ac:dyDescent="0.2">
      <c r="A109" s="259" t="s">
        <v>923</v>
      </c>
      <c r="B109" s="1" t="s">
        <v>895</v>
      </c>
      <c r="C109" s="1" t="str">
        <f t="shared" si="3"/>
        <v>Barton - Fresno</v>
      </c>
      <c r="D109" s="512">
        <f t="shared" si="4"/>
        <v>8.0416666666666664E-2</v>
      </c>
      <c r="E109" s="261">
        <f t="shared" si="5"/>
        <v>1.2110000000000001E-2</v>
      </c>
    </row>
    <row r="110" spans="1:5" ht="12.75" x14ac:dyDescent="0.2">
      <c r="A110" s="259" t="s">
        <v>924</v>
      </c>
      <c r="B110" s="1" t="s">
        <v>738</v>
      </c>
      <c r="C110" s="1" t="str">
        <f t="shared" si="3"/>
        <v>Base Line - San Bernardino</v>
      </c>
      <c r="D110" s="512">
        <f t="shared" si="4"/>
        <v>5.1583333333333342E-2</v>
      </c>
      <c r="E110" s="261">
        <f t="shared" si="5"/>
        <v>1.1379999999999999E-2</v>
      </c>
    </row>
    <row r="111" spans="1:5" ht="12.75" x14ac:dyDescent="0.2">
      <c r="A111" s="259" t="s">
        <v>925</v>
      </c>
      <c r="B111" s="1" t="s">
        <v>759</v>
      </c>
      <c r="C111" s="1" t="str">
        <f t="shared" si="3"/>
        <v>Bass Lake - Madera</v>
      </c>
      <c r="D111" s="512">
        <f t="shared" si="4"/>
        <v>7.8166666666666662E-2</v>
      </c>
      <c r="E111" s="261">
        <f t="shared" si="5"/>
        <v>1.098E-2</v>
      </c>
    </row>
    <row r="112" spans="1:5" ht="12.75" x14ac:dyDescent="0.2">
      <c r="A112" s="259" t="s">
        <v>926</v>
      </c>
      <c r="B112" s="1" t="s">
        <v>732</v>
      </c>
      <c r="C112" s="1" t="str">
        <f t="shared" si="3"/>
        <v>Bassett - Los Angeles</v>
      </c>
      <c r="D112" s="512">
        <f t="shared" si="4"/>
        <v>5.4833333333333331E-2</v>
      </c>
      <c r="E112" s="261">
        <f t="shared" si="5"/>
        <v>1.1599999999999999E-2</v>
      </c>
    </row>
    <row r="113" spans="1:5" ht="12.75" x14ac:dyDescent="0.2">
      <c r="A113" s="259" t="s">
        <v>927</v>
      </c>
      <c r="B113" s="1" t="s">
        <v>803</v>
      </c>
      <c r="C113" s="1" t="str">
        <f t="shared" si="3"/>
        <v>Baxter - Placer</v>
      </c>
      <c r="D113" s="512">
        <f t="shared" si="4"/>
        <v>4.1833333333333347E-2</v>
      </c>
      <c r="E113" s="261">
        <f t="shared" si="5"/>
        <v>1.0880000000000001E-2</v>
      </c>
    </row>
    <row r="114" spans="1:5" ht="12.75" x14ac:dyDescent="0.2">
      <c r="A114" s="259" t="s">
        <v>928</v>
      </c>
      <c r="B114" s="1" t="s">
        <v>767</v>
      </c>
      <c r="C114" s="1" t="str">
        <f t="shared" si="3"/>
        <v>Bay Point - Contra Costa</v>
      </c>
      <c r="D114" s="512">
        <f t="shared" si="4"/>
        <v>4.7250000000000007E-2</v>
      </c>
      <c r="E114" s="261">
        <f t="shared" si="5"/>
        <v>1.163E-2</v>
      </c>
    </row>
    <row r="115" spans="1:5" ht="12.75" x14ac:dyDescent="0.2">
      <c r="A115" s="259" t="s">
        <v>929</v>
      </c>
      <c r="B115" s="1" t="s">
        <v>777</v>
      </c>
      <c r="C115" s="1" t="str">
        <f t="shared" si="3"/>
        <v>Bayside - Humboldt</v>
      </c>
      <c r="D115" s="512">
        <f t="shared" si="4"/>
        <v>5.1583333333333321E-2</v>
      </c>
      <c r="E115" s="261">
        <f t="shared" si="5"/>
        <v>1.115E-2</v>
      </c>
    </row>
    <row r="116" spans="1:5" ht="12.75" x14ac:dyDescent="0.2">
      <c r="A116" s="259" t="s">
        <v>930</v>
      </c>
      <c r="B116" s="1" t="s">
        <v>735</v>
      </c>
      <c r="C116" s="1" t="str">
        <f t="shared" si="3"/>
        <v>Baywood Park - San Luis Obispo</v>
      </c>
      <c r="D116" s="512">
        <f t="shared" si="4"/>
        <v>3.8833333333333331E-2</v>
      </c>
      <c r="E116" s="261">
        <f t="shared" si="5"/>
        <v>1.085E-2</v>
      </c>
    </row>
    <row r="117" spans="1:5" ht="12.75" x14ac:dyDescent="0.2">
      <c r="A117" s="259" t="s">
        <v>931</v>
      </c>
      <c r="B117" s="1" t="s">
        <v>932</v>
      </c>
      <c r="C117" s="1" t="str">
        <f t="shared" si="3"/>
        <v>Beale A.F.B. - Yuba</v>
      </c>
      <c r="D117" s="512">
        <f t="shared" si="4"/>
        <v>7.2416666666666657E-2</v>
      </c>
      <c r="E117" s="261">
        <f t="shared" si="5"/>
        <v>1.102E-2</v>
      </c>
    </row>
    <row r="118" spans="1:5" ht="12.75" x14ac:dyDescent="0.2">
      <c r="A118" s="259" t="s">
        <v>933</v>
      </c>
      <c r="B118" s="1" t="s">
        <v>819</v>
      </c>
      <c r="C118" s="1" t="str">
        <f t="shared" si="3"/>
        <v>Bear River Lake - Amador</v>
      </c>
      <c r="D118" s="512">
        <f t="shared" si="4"/>
        <v>5.3500000000000006E-2</v>
      </c>
      <c r="E118" s="261">
        <f t="shared" si="5"/>
        <v>1.014E-2</v>
      </c>
    </row>
    <row r="119" spans="1:5" ht="12.75" x14ac:dyDescent="0.2">
      <c r="A119" s="259" t="s">
        <v>934</v>
      </c>
      <c r="B119" s="1" t="s">
        <v>800</v>
      </c>
      <c r="C119" s="1" t="str">
        <f t="shared" si="3"/>
        <v>Bear Valley - Alpine</v>
      </c>
      <c r="D119" s="512">
        <f t="shared" si="4"/>
        <v>6.8916666666666654E-2</v>
      </c>
      <c r="E119" s="261">
        <f t="shared" si="5"/>
        <v>1.03E-2</v>
      </c>
    </row>
    <row r="120" spans="1:5" ht="12.75" x14ac:dyDescent="0.2">
      <c r="A120" s="259" t="s">
        <v>934</v>
      </c>
      <c r="B120" s="1" t="s">
        <v>935</v>
      </c>
      <c r="C120" s="1" t="str">
        <f t="shared" si="3"/>
        <v>Bear Valley - Mariposa</v>
      </c>
      <c r="D120" s="512">
        <f t="shared" si="4"/>
        <v>5.2833333333333329E-2</v>
      </c>
      <c r="E120" s="261">
        <f t="shared" si="5"/>
        <v>1.0369999999999999E-2</v>
      </c>
    </row>
    <row r="121" spans="1:5" ht="12.75" x14ac:dyDescent="0.2">
      <c r="A121" s="259" t="s">
        <v>936</v>
      </c>
      <c r="B121" s="1" t="s">
        <v>756</v>
      </c>
      <c r="C121" s="1" t="str">
        <f t="shared" si="3"/>
        <v>Beaumont - Riverside</v>
      </c>
      <c r="D121" s="512">
        <f t="shared" si="4"/>
        <v>5.3749999999999999E-2</v>
      </c>
      <c r="E121" s="261">
        <f t="shared" si="5"/>
        <v>1.1859999999999999E-2</v>
      </c>
    </row>
    <row r="122" spans="1:5" ht="12.75" x14ac:dyDescent="0.2">
      <c r="A122" s="259" t="s">
        <v>937</v>
      </c>
      <c r="B122" s="1" t="s">
        <v>791</v>
      </c>
      <c r="C122" s="1" t="str">
        <f t="shared" si="3"/>
        <v>Beckwourth - Plumas</v>
      </c>
      <c r="D122" s="512">
        <f t="shared" si="4"/>
        <v>7.7250000000000013E-2</v>
      </c>
      <c r="E122" s="261">
        <f t="shared" si="5"/>
        <v>1.099E-2</v>
      </c>
    </row>
    <row r="123" spans="1:5" ht="12.75" x14ac:dyDescent="0.2">
      <c r="A123" s="259" t="s">
        <v>938</v>
      </c>
      <c r="B123" s="1" t="s">
        <v>732</v>
      </c>
      <c r="C123" s="1" t="str">
        <f t="shared" si="3"/>
        <v>Bel Air Estates - Los Angeles</v>
      </c>
      <c r="D123" s="512">
        <f t="shared" si="4"/>
        <v>5.4833333333333331E-2</v>
      </c>
      <c r="E123" s="261">
        <f t="shared" si="5"/>
        <v>1.1599999999999999E-2</v>
      </c>
    </row>
    <row r="124" spans="1:5" ht="12.75" x14ac:dyDescent="0.2">
      <c r="A124" s="259" t="s">
        <v>939</v>
      </c>
      <c r="B124" s="1" t="s">
        <v>791</v>
      </c>
      <c r="C124" s="1" t="str">
        <f t="shared" si="3"/>
        <v>Belden - Plumas</v>
      </c>
      <c r="D124" s="512">
        <f t="shared" si="4"/>
        <v>7.7250000000000013E-2</v>
      </c>
      <c r="E124" s="261">
        <f t="shared" si="5"/>
        <v>1.099E-2</v>
      </c>
    </row>
    <row r="125" spans="1:5" ht="12.75" x14ac:dyDescent="0.2">
      <c r="A125" s="259" t="s">
        <v>940</v>
      </c>
      <c r="B125" s="1" t="s">
        <v>732</v>
      </c>
      <c r="C125" s="1" t="str">
        <f t="shared" si="3"/>
        <v>Bell - Los Angeles</v>
      </c>
      <c r="D125" s="512">
        <f t="shared" si="4"/>
        <v>5.4833333333333331E-2</v>
      </c>
      <c r="E125" s="261">
        <f t="shared" si="5"/>
        <v>1.1599999999999999E-2</v>
      </c>
    </row>
    <row r="126" spans="1:5" ht="12.75" x14ac:dyDescent="0.2">
      <c r="A126" s="259" t="s">
        <v>941</v>
      </c>
      <c r="B126" s="1" t="s">
        <v>732</v>
      </c>
      <c r="C126" s="1" t="str">
        <f t="shared" si="3"/>
        <v>Bell Gardens - Los Angeles</v>
      </c>
      <c r="D126" s="512">
        <f t="shared" si="4"/>
        <v>5.4833333333333331E-2</v>
      </c>
      <c r="E126" s="261">
        <f t="shared" si="5"/>
        <v>1.1599999999999999E-2</v>
      </c>
    </row>
    <row r="127" spans="1:5" ht="12.75" x14ac:dyDescent="0.2">
      <c r="A127" s="259" t="s">
        <v>942</v>
      </c>
      <c r="B127" s="1" t="s">
        <v>832</v>
      </c>
      <c r="C127" s="1" t="str">
        <f t="shared" si="3"/>
        <v>Bella Vista - Shasta</v>
      </c>
      <c r="D127" s="512">
        <f t="shared" si="4"/>
        <v>5.6416666666666657E-2</v>
      </c>
      <c r="E127" s="261">
        <f t="shared" si="5"/>
        <v>1.099E-2</v>
      </c>
    </row>
    <row r="128" spans="1:5" ht="12.75" x14ac:dyDescent="0.2">
      <c r="A128" s="259" t="s">
        <v>943</v>
      </c>
      <c r="B128" s="1" t="s">
        <v>732</v>
      </c>
      <c r="C128" s="1" t="str">
        <f t="shared" si="3"/>
        <v>Bellflower - Los Angeles</v>
      </c>
      <c r="D128" s="512">
        <f t="shared" si="4"/>
        <v>5.4833333333333331E-2</v>
      </c>
      <c r="E128" s="261">
        <f t="shared" si="5"/>
        <v>1.1599999999999999E-2</v>
      </c>
    </row>
    <row r="129" spans="1:5" ht="12.75" x14ac:dyDescent="0.2">
      <c r="A129" s="259" t="s">
        <v>944</v>
      </c>
      <c r="B129" s="1" t="s">
        <v>890</v>
      </c>
      <c r="C129" s="1" t="str">
        <f t="shared" si="3"/>
        <v>Belmont - San Mateo</v>
      </c>
      <c r="D129" s="512">
        <f t="shared" si="4"/>
        <v>3.5000000000000003E-2</v>
      </c>
      <c r="E129" s="261">
        <f t="shared" si="5"/>
        <v>1.1089999999999999E-2</v>
      </c>
    </row>
    <row r="130" spans="1:5" ht="12.75" x14ac:dyDescent="0.2">
      <c r="A130" s="259" t="s">
        <v>945</v>
      </c>
      <c r="B130" s="1" t="s">
        <v>946</v>
      </c>
      <c r="C130" s="1" t="str">
        <f t="shared" si="3"/>
        <v>Belvedere - Marin</v>
      </c>
      <c r="D130" s="512">
        <f t="shared" si="4"/>
        <v>3.7749999999999999E-2</v>
      </c>
      <c r="E130" s="261">
        <f t="shared" si="5"/>
        <v>1.1299999999999999E-2</v>
      </c>
    </row>
    <row r="131" spans="1:5" ht="12.75" x14ac:dyDescent="0.2">
      <c r="A131" s="259" t="s">
        <v>947</v>
      </c>
      <c r="B131" s="1" t="s">
        <v>856</v>
      </c>
      <c r="C131" s="1" t="str">
        <f t="shared" si="3"/>
        <v>Ben Lomond - Santa Cruz</v>
      </c>
      <c r="D131" s="512">
        <f t="shared" si="4"/>
        <v>6.2416666666666669E-2</v>
      </c>
      <c r="E131" s="261">
        <f t="shared" si="5"/>
        <v>1.106E-2</v>
      </c>
    </row>
    <row r="132" spans="1:5" ht="12.75" x14ac:dyDescent="0.2">
      <c r="A132" s="259" t="s">
        <v>948</v>
      </c>
      <c r="B132" s="1" t="s">
        <v>949</v>
      </c>
      <c r="C132" s="1" t="str">
        <f t="shared" si="3"/>
        <v>Benicia - Solano</v>
      </c>
      <c r="D132" s="512">
        <f t="shared" si="4"/>
        <v>5.1916666666666673E-2</v>
      </c>
      <c r="E132" s="261">
        <f t="shared" si="5"/>
        <v>1.18E-2</v>
      </c>
    </row>
    <row r="133" spans="1:5" ht="12.75" x14ac:dyDescent="0.2">
      <c r="A133" s="259" t="s">
        <v>950</v>
      </c>
      <c r="B133" s="1" t="s">
        <v>951</v>
      </c>
      <c r="C133" s="1" t="str">
        <f t="shared" si="3"/>
        <v>Benton - Mono</v>
      </c>
      <c r="D133" s="512">
        <f t="shared" si="4"/>
        <v>4.0166666666666663E-2</v>
      </c>
      <c r="E133" s="261">
        <f t="shared" si="5"/>
        <v>1.154E-2</v>
      </c>
    </row>
    <row r="134" spans="1:5" ht="12.75" x14ac:dyDescent="0.2">
      <c r="A134" s="259" t="s">
        <v>952</v>
      </c>
      <c r="B134" s="1" t="s">
        <v>764</v>
      </c>
      <c r="C134" s="1" t="str">
        <f t="shared" si="3"/>
        <v>Berkeley - Alameda</v>
      </c>
      <c r="D134" s="512">
        <f t="shared" si="4"/>
        <v>4.7E-2</v>
      </c>
      <c r="E134" s="261">
        <f t="shared" si="5"/>
        <v>1.2430000000000002E-2</v>
      </c>
    </row>
    <row r="135" spans="1:5" ht="12.75" x14ac:dyDescent="0.2">
      <c r="A135" s="259" t="s">
        <v>953</v>
      </c>
      <c r="B135" s="1" t="s">
        <v>756</v>
      </c>
      <c r="C135" s="1" t="str">
        <f t="shared" si="3"/>
        <v>Bermuda Dunes - Riverside</v>
      </c>
      <c r="D135" s="512">
        <f t="shared" si="4"/>
        <v>5.3749999999999999E-2</v>
      </c>
      <c r="E135" s="261">
        <f t="shared" si="5"/>
        <v>1.1859999999999999E-2</v>
      </c>
    </row>
    <row r="136" spans="1:5" ht="12.75" x14ac:dyDescent="0.2">
      <c r="A136" s="259" t="s">
        <v>954</v>
      </c>
      <c r="B136" s="1" t="s">
        <v>915</v>
      </c>
      <c r="C136" s="1" t="str">
        <f t="shared" ref="C136:C199" si="6">A136&amp;" - "&amp;B136</f>
        <v>Berry Creek - Butte</v>
      </c>
      <c r="D136" s="512">
        <f t="shared" si="4"/>
        <v>5.8999999999999983E-2</v>
      </c>
      <c r="E136" s="261">
        <f t="shared" si="5"/>
        <v>1.1169999999999999E-2</v>
      </c>
    </row>
    <row r="137" spans="1:5" ht="12.75" x14ac:dyDescent="0.2">
      <c r="A137" s="259" t="s">
        <v>955</v>
      </c>
      <c r="B137" s="1" t="s">
        <v>767</v>
      </c>
      <c r="C137" s="1" t="str">
        <f t="shared" si="6"/>
        <v>Bethel Island - Contra Costa</v>
      </c>
      <c r="D137" s="512">
        <f t="shared" ref="D137:D200" si="7">VLOOKUP(B137,unemployment_rates,2, FALSE)</f>
        <v>4.7250000000000007E-2</v>
      </c>
      <c r="E137" s="261">
        <f t="shared" ref="E137:E200" si="8">VLOOKUP(B137,Prop_Tax_Rates,2,FALSE)</f>
        <v>1.163E-2</v>
      </c>
    </row>
    <row r="138" spans="1:5" ht="12.75" x14ac:dyDescent="0.2">
      <c r="A138" s="259" t="s">
        <v>956</v>
      </c>
      <c r="B138" s="1" t="s">
        <v>911</v>
      </c>
      <c r="C138" s="1" t="str">
        <f t="shared" si="6"/>
        <v>Betteravia - Santa Barbara</v>
      </c>
      <c r="D138" s="512">
        <f t="shared" si="7"/>
        <v>4.5333333333333344E-2</v>
      </c>
      <c r="E138" s="261">
        <f t="shared" si="8"/>
        <v>1.0740000000000001E-2</v>
      </c>
    </row>
    <row r="139" spans="1:5" ht="12.75" x14ac:dyDescent="0.2">
      <c r="A139" s="259" t="s">
        <v>957</v>
      </c>
      <c r="B139" s="1" t="s">
        <v>732</v>
      </c>
      <c r="C139" s="1" t="str">
        <f t="shared" si="6"/>
        <v>Beverly Hills - Los Angeles</v>
      </c>
      <c r="D139" s="512">
        <f t="shared" si="7"/>
        <v>5.4833333333333331E-2</v>
      </c>
      <c r="E139" s="261">
        <f t="shared" si="8"/>
        <v>1.1599999999999999E-2</v>
      </c>
    </row>
    <row r="140" spans="1:5" ht="12.75" x14ac:dyDescent="0.2">
      <c r="A140" s="259" t="s">
        <v>958</v>
      </c>
      <c r="B140" s="1" t="s">
        <v>959</v>
      </c>
      <c r="C140" s="1" t="str">
        <f t="shared" si="6"/>
        <v>Bieber - Lassen</v>
      </c>
      <c r="D140" s="512">
        <f t="shared" si="7"/>
        <v>5.8083333333333327E-2</v>
      </c>
      <c r="E140" s="261">
        <f t="shared" si="8"/>
        <v>1.018E-2</v>
      </c>
    </row>
    <row r="141" spans="1:5" ht="12.75" x14ac:dyDescent="0.2">
      <c r="A141" s="259" t="s">
        <v>960</v>
      </c>
      <c r="B141" s="1" t="s">
        <v>961</v>
      </c>
      <c r="C141" s="1" t="str">
        <f t="shared" si="6"/>
        <v>Big Bar - Trinity</v>
      </c>
      <c r="D141" s="512">
        <f t="shared" si="7"/>
        <v>5.916666666666668E-2</v>
      </c>
      <c r="E141" s="261">
        <f t="shared" si="8"/>
        <v>1.043E-2</v>
      </c>
    </row>
    <row r="142" spans="1:5" ht="12.75" x14ac:dyDescent="0.2">
      <c r="A142" s="259" t="s">
        <v>962</v>
      </c>
      <c r="B142" s="1" t="s">
        <v>856</v>
      </c>
      <c r="C142" s="1" t="str">
        <f t="shared" si="6"/>
        <v>Big Basin - Santa Cruz</v>
      </c>
      <c r="D142" s="512">
        <f t="shared" si="7"/>
        <v>6.2416666666666669E-2</v>
      </c>
      <c r="E142" s="261">
        <f t="shared" si="8"/>
        <v>1.106E-2</v>
      </c>
    </row>
    <row r="143" spans="1:5" ht="12.75" x14ac:dyDescent="0.2">
      <c r="A143" s="259" t="s">
        <v>963</v>
      </c>
      <c r="B143" s="1" t="s">
        <v>738</v>
      </c>
      <c r="C143" s="1" t="str">
        <f t="shared" si="6"/>
        <v>Big Bear City - San Bernardino</v>
      </c>
      <c r="D143" s="512">
        <f t="shared" si="7"/>
        <v>5.1583333333333342E-2</v>
      </c>
      <c r="E143" s="261">
        <f t="shared" si="8"/>
        <v>1.1379999999999999E-2</v>
      </c>
    </row>
    <row r="144" spans="1:5" ht="12.75" x14ac:dyDescent="0.2">
      <c r="A144" s="259" t="s">
        <v>964</v>
      </c>
      <c r="B144" s="1" t="s">
        <v>738</v>
      </c>
      <c r="C144" s="1" t="str">
        <f t="shared" si="6"/>
        <v>Big Bear Lake - San Bernardino</v>
      </c>
      <c r="D144" s="512">
        <f t="shared" si="7"/>
        <v>5.1583333333333342E-2</v>
      </c>
      <c r="E144" s="261">
        <f t="shared" si="8"/>
        <v>1.1379999999999999E-2</v>
      </c>
    </row>
    <row r="145" spans="1:5" ht="12.75" x14ac:dyDescent="0.2">
      <c r="A145" s="259" t="s">
        <v>965</v>
      </c>
      <c r="B145" s="1" t="s">
        <v>832</v>
      </c>
      <c r="C145" s="1" t="str">
        <f t="shared" si="6"/>
        <v>Big Bend - Shasta</v>
      </c>
      <c r="D145" s="512">
        <f t="shared" si="7"/>
        <v>5.6416666666666657E-2</v>
      </c>
      <c r="E145" s="261">
        <f t="shared" si="8"/>
        <v>1.099E-2</v>
      </c>
    </row>
    <row r="146" spans="1:5" ht="12.75" x14ac:dyDescent="0.2">
      <c r="A146" s="259" t="s">
        <v>966</v>
      </c>
      <c r="B146" s="1" t="s">
        <v>895</v>
      </c>
      <c r="C146" s="1" t="str">
        <f t="shared" si="6"/>
        <v>Big Creek - Fresno</v>
      </c>
      <c r="D146" s="512">
        <f t="shared" si="7"/>
        <v>8.0416666666666664E-2</v>
      </c>
      <c r="E146" s="261">
        <f t="shared" si="8"/>
        <v>1.2110000000000001E-2</v>
      </c>
    </row>
    <row r="147" spans="1:5" ht="12.75" x14ac:dyDescent="0.2">
      <c r="A147" s="259" t="s">
        <v>967</v>
      </c>
      <c r="B147" s="1" t="s">
        <v>968</v>
      </c>
      <c r="C147" s="1" t="str">
        <f t="shared" si="6"/>
        <v>Big Oak Flat - Tuolumne</v>
      </c>
      <c r="D147" s="512">
        <f t="shared" si="7"/>
        <v>5.4333333333333338E-2</v>
      </c>
      <c r="E147" s="261">
        <f t="shared" si="8"/>
        <v>1.0780000000000001E-2</v>
      </c>
    </row>
    <row r="148" spans="1:5" ht="12.75" x14ac:dyDescent="0.2">
      <c r="A148" s="259" t="s">
        <v>969</v>
      </c>
      <c r="B148" s="1" t="s">
        <v>822</v>
      </c>
      <c r="C148" s="1" t="str">
        <f t="shared" si="6"/>
        <v>Big Pine - Inyo</v>
      </c>
      <c r="D148" s="512">
        <f t="shared" si="7"/>
        <v>3.9833333333333339E-2</v>
      </c>
      <c r="E148" s="261">
        <f t="shared" si="8"/>
        <v>1.065E-2</v>
      </c>
    </row>
    <row r="149" spans="1:5" ht="12.75" x14ac:dyDescent="0.2">
      <c r="A149" s="259" t="s">
        <v>970</v>
      </c>
      <c r="B149" s="1" t="s">
        <v>738</v>
      </c>
      <c r="C149" s="1" t="str">
        <f t="shared" si="6"/>
        <v>Big River - San Bernardino</v>
      </c>
      <c r="D149" s="512">
        <f t="shared" si="7"/>
        <v>5.1583333333333342E-2</v>
      </c>
      <c r="E149" s="261">
        <f t="shared" si="8"/>
        <v>1.1379999999999999E-2</v>
      </c>
    </row>
    <row r="150" spans="1:5" ht="12.75" x14ac:dyDescent="0.2">
      <c r="A150" s="259" t="s">
        <v>971</v>
      </c>
      <c r="B150" s="1" t="s">
        <v>876</v>
      </c>
      <c r="C150" s="1" t="str">
        <f t="shared" si="6"/>
        <v>Big Sur - Monterey</v>
      </c>
      <c r="D150" s="512">
        <f t="shared" si="7"/>
        <v>7.425000000000001E-2</v>
      </c>
      <c r="E150" s="261">
        <f t="shared" si="8"/>
        <v>1.098E-2</v>
      </c>
    </row>
    <row r="151" spans="1:5" ht="12.75" x14ac:dyDescent="0.2">
      <c r="A151" s="259" t="s">
        <v>972</v>
      </c>
      <c r="B151" s="1" t="s">
        <v>915</v>
      </c>
      <c r="C151" s="1" t="str">
        <f t="shared" si="6"/>
        <v>Biggs - Butte</v>
      </c>
      <c r="D151" s="512">
        <f t="shared" si="7"/>
        <v>5.8999999999999983E-2</v>
      </c>
      <c r="E151" s="261">
        <f t="shared" si="8"/>
        <v>1.1169999999999999E-2</v>
      </c>
    </row>
    <row r="152" spans="1:5" ht="12.75" x14ac:dyDescent="0.2">
      <c r="A152" s="259" t="s">
        <v>973</v>
      </c>
      <c r="B152" s="1" t="s">
        <v>762</v>
      </c>
      <c r="C152" s="1" t="str">
        <f t="shared" si="6"/>
        <v>Bijou - El Dorado</v>
      </c>
      <c r="D152" s="512">
        <f t="shared" si="7"/>
        <v>4.466666666666666E-2</v>
      </c>
      <c r="E152" s="261">
        <f t="shared" si="8"/>
        <v>1.0660000000000001E-2</v>
      </c>
    </row>
    <row r="153" spans="1:5" ht="12.75" x14ac:dyDescent="0.2">
      <c r="A153" s="259" t="s">
        <v>974</v>
      </c>
      <c r="B153" s="1" t="s">
        <v>895</v>
      </c>
      <c r="C153" s="1" t="str">
        <f t="shared" si="6"/>
        <v>Biola - Fresno</v>
      </c>
      <c r="D153" s="512">
        <f t="shared" si="7"/>
        <v>8.0416666666666664E-2</v>
      </c>
      <c r="E153" s="261">
        <f t="shared" si="8"/>
        <v>1.2110000000000001E-2</v>
      </c>
    </row>
    <row r="154" spans="1:5" ht="12.75" x14ac:dyDescent="0.2">
      <c r="A154" s="259" t="s">
        <v>975</v>
      </c>
      <c r="B154" s="1" t="s">
        <v>732</v>
      </c>
      <c r="C154" s="1" t="str">
        <f t="shared" si="6"/>
        <v>Biola College - Los Angeles</v>
      </c>
      <c r="D154" s="512">
        <f t="shared" si="7"/>
        <v>5.4833333333333331E-2</v>
      </c>
      <c r="E154" s="261">
        <f t="shared" si="8"/>
        <v>1.1599999999999999E-2</v>
      </c>
    </row>
    <row r="155" spans="1:5" ht="12.75" x14ac:dyDescent="0.2">
      <c r="A155" s="259" t="s">
        <v>976</v>
      </c>
      <c r="B155" s="1" t="s">
        <v>949</v>
      </c>
      <c r="C155" s="1" t="str">
        <f t="shared" si="6"/>
        <v>Birds Landing - Solano</v>
      </c>
      <c r="D155" s="512">
        <f t="shared" si="7"/>
        <v>5.1916666666666673E-2</v>
      </c>
      <c r="E155" s="261">
        <f t="shared" si="8"/>
        <v>1.18E-2</v>
      </c>
    </row>
    <row r="156" spans="1:5" ht="12.75" x14ac:dyDescent="0.2">
      <c r="A156" s="259" t="s">
        <v>977</v>
      </c>
      <c r="B156" s="1" t="s">
        <v>822</v>
      </c>
      <c r="C156" s="1" t="str">
        <f t="shared" si="6"/>
        <v>Bishop - Inyo</v>
      </c>
      <c r="D156" s="512">
        <f t="shared" si="7"/>
        <v>3.9833333333333339E-2</v>
      </c>
      <c r="E156" s="261">
        <f t="shared" si="8"/>
        <v>1.065E-2</v>
      </c>
    </row>
    <row r="157" spans="1:5" ht="12.75" x14ac:dyDescent="0.2">
      <c r="A157" s="259" t="s">
        <v>978</v>
      </c>
      <c r="B157" s="1" t="s">
        <v>767</v>
      </c>
      <c r="C157" s="1" t="str">
        <f t="shared" si="6"/>
        <v>Black Hawk - Contra Costa</v>
      </c>
      <c r="D157" s="512">
        <f t="shared" si="7"/>
        <v>4.7250000000000007E-2</v>
      </c>
      <c r="E157" s="261">
        <f t="shared" si="8"/>
        <v>1.163E-2</v>
      </c>
    </row>
    <row r="158" spans="1:5" ht="12.75" x14ac:dyDescent="0.2">
      <c r="A158" s="259" t="s">
        <v>979</v>
      </c>
      <c r="B158" s="1" t="s">
        <v>791</v>
      </c>
      <c r="C158" s="1" t="str">
        <f t="shared" si="6"/>
        <v>Blairsden - Plumas</v>
      </c>
      <c r="D158" s="512">
        <f t="shared" si="7"/>
        <v>7.7250000000000013E-2</v>
      </c>
      <c r="E158" s="261">
        <f t="shared" si="8"/>
        <v>1.099E-2</v>
      </c>
    </row>
    <row r="159" spans="1:5" ht="12.75" x14ac:dyDescent="0.2">
      <c r="A159" s="259" t="s">
        <v>980</v>
      </c>
      <c r="B159" s="1" t="s">
        <v>777</v>
      </c>
      <c r="C159" s="1" t="str">
        <f t="shared" si="6"/>
        <v>Blocksburg - Humboldt</v>
      </c>
      <c r="D159" s="512">
        <f t="shared" si="7"/>
        <v>5.1583333333333321E-2</v>
      </c>
      <c r="E159" s="261">
        <f t="shared" si="8"/>
        <v>1.115E-2</v>
      </c>
    </row>
    <row r="160" spans="1:5" ht="12.75" x14ac:dyDescent="0.2">
      <c r="A160" s="259" t="s">
        <v>981</v>
      </c>
      <c r="B160" s="1" t="s">
        <v>738</v>
      </c>
      <c r="C160" s="1" t="str">
        <f t="shared" si="6"/>
        <v>Bloomington - San Bernardino</v>
      </c>
      <c r="D160" s="512">
        <f t="shared" si="7"/>
        <v>5.1583333333333342E-2</v>
      </c>
      <c r="E160" s="261">
        <f t="shared" si="8"/>
        <v>1.1379999999999999E-2</v>
      </c>
    </row>
    <row r="161" spans="1:5" ht="12.75" x14ac:dyDescent="0.2">
      <c r="A161" s="259" t="s">
        <v>982</v>
      </c>
      <c r="B161" s="1" t="s">
        <v>788</v>
      </c>
      <c r="C161" s="1" t="str">
        <f t="shared" si="6"/>
        <v>Blossom Hill - Santa Clara</v>
      </c>
      <c r="D161" s="512">
        <f t="shared" si="7"/>
        <v>4.0750000000000001E-2</v>
      </c>
      <c r="E161" s="261">
        <f t="shared" si="8"/>
        <v>1.2110000000000001E-2</v>
      </c>
    </row>
    <row r="162" spans="1:5" ht="12.75" x14ac:dyDescent="0.2">
      <c r="A162" s="259" t="s">
        <v>983</v>
      </c>
      <c r="B162" s="1" t="s">
        <v>788</v>
      </c>
      <c r="C162" s="1" t="str">
        <f t="shared" si="6"/>
        <v>Blossom Valley - Santa Clara</v>
      </c>
      <c r="D162" s="512">
        <f t="shared" si="7"/>
        <v>4.0750000000000001E-2</v>
      </c>
      <c r="E162" s="261">
        <f t="shared" si="8"/>
        <v>1.2110000000000001E-2</v>
      </c>
    </row>
    <row r="163" spans="1:5" ht="12.75" x14ac:dyDescent="0.2">
      <c r="A163" s="259" t="s">
        <v>984</v>
      </c>
      <c r="B163" s="1" t="s">
        <v>738</v>
      </c>
      <c r="C163" s="1" t="str">
        <f t="shared" si="6"/>
        <v>Blue Jay - San Bernardino</v>
      </c>
      <c r="D163" s="512">
        <f t="shared" si="7"/>
        <v>5.1583333333333342E-2</v>
      </c>
      <c r="E163" s="261">
        <f t="shared" si="8"/>
        <v>1.1379999999999999E-2</v>
      </c>
    </row>
    <row r="164" spans="1:5" ht="12.75" x14ac:dyDescent="0.2">
      <c r="A164" s="259" t="s">
        <v>985</v>
      </c>
      <c r="B164" s="1" t="s">
        <v>777</v>
      </c>
      <c r="C164" s="1" t="str">
        <f t="shared" si="6"/>
        <v>Blue Lake - Humboldt</v>
      </c>
      <c r="D164" s="512">
        <f t="shared" si="7"/>
        <v>5.1583333333333321E-2</v>
      </c>
      <c r="E164" s="261">
        <f t="shared" si="8"/>
        <v>1.115E-2</v>
      </c>
    </row>
    <row r="165" spans="1:5" ht="12.75" x14ac:dyDescent="0.2">
      <c r="A165" s="259" t="s">
        <v>986</v>
      </c>
      <c r="B165" s="1" t="s">
        <v>756</v>
      </c>
      <c r="C165" s="1" t="str">
        <f t="shared" si="6"/>
        <v>Blythe - Riverside</v>
      </c>
      <c r="D165" s="512">
        <f t="shared" si="7"/>
        <v>5.3749999999999999E-2</v>
      </c>
      <c r="E165" s="261">
        <f t="shared" si="8"/>
        <v>1.1859999999999999E-2</v>
      </c>
    </row>
    <row r="166" spans="1:5" ht="12.75" x14ac:dyDescent="0.2">
      <c r="A166" s="259" t="s">
        <v>987</v>
      </c>
      <c r="B166" s="1" t="s">
        <v>748</v>
      </c>
      <c r="C166" s="1" t="str">
        <f t="shared" si="6"/>
        <v>Bodega - Sonoma</v>
      </c>
      <c r="D166" s="512">
        <f t="shared" si="7"/>
        <v>4.0583333333333325E-2</v>
      </c>
      <c r="E166" s="261">
        <f t="shared" si="8"/>
        <v>1.133E-2</v>
      </c>
    </row>
    <row r="167" spans="1:5" ht="12.75" x14ac:dyDescent="0.2">
      <c r="A167" s="259" t="s">
        <v>988</v>
      </c>
      <c r="B167" s="1" t="s">
        <v>748</v>
      </c>
      <c r="C167" s="1" t="str">
        <f t="shared" si="6"/>
        <v>Bodega Bay - Sonoma</v>
      </c>
      <c r="D167" s="512">
        <f t="shared" si="7"/>
        <v>4.0583333333333325E-2</v>
      </c>
      <c r="E167" s="261">
        <f t="shared" si="8"/>
        <v>1.133E-2</v>
      </c>
    </row>
    <row r="168" spans="1:5" ht="12.75" x14ac:dyDescent="0.2">
      <c r="A168" s="259" t="s">
        <v>989</v>
      </c>
      <c r="B168" s="1" t="s">
        <v>884</v>
      </c>
      <c r="C168" s="1" t="str">
        <f t="shared" si="6"/>
        <v>Bodfish - Kern</v>
      </c>
      <c r="D168" s="512">
        <f t="shared" si="7"/>
        <v>8.9333333333333334E-2</v>
      </c>
      <c r="E168" s="261">
        <f t="shared" si="8"/>
        <v>1.238E-2</v>
      </c>
    </row>
    <row r="169" spans="1:5" ht="12.75" x14ac:dyDescent="0.2">
      <c r="A169" s="259" t="s">
        <v>990</v>
      </c>
      <c r="B169" s="1" t="s">
        <v>946</v>
      </c>
      <c r="C169" s="1" t="str">
        <f t="shared" si="6"/>
        <v>Bolinas - Marin</v>
      </c>
      <c r="D169" s="512">
        <f t="shared" si="7"/>
        <v>3.7749999999999999E-2</v>
      </c>
      <c r="E169" s="261">
        <f t="shared" si="8"/>
        <v>1.1299999999999999E-2</v>
      </c>
    </row>
    <row r="170" spans="1:5" ht="12.75" x14ac:dyDescent="0.2">
      <c r="A170" s="259" t="s">
        <v>991</v>
      </c>
      <c r="B170" s="1" t="s">
        <v>782</v>
      </c>
      <c r="C170" s="1" t="str">
        <f t="shared" si="6"/>
        <v>Bolsa - Orange</v>
      </c>
      <c r="D170" s="512">
        <f t="shared" si="7"/>
        <v>3.9749999999999994E-2</v>
      </c>
      <c r="E170" s="261">
        <f t="shared" si="8"/>
        <v>1.0660000000000001E-2</v>
      </c>
    </row>
    <row r="171" spans="1:5" ht="12.75" x14ac:dyDescent="0.2">
      <c r="A171" s="259" t="s">
        <v>992</v>
      </c>
      <c r="B171" s="1" t="s">
        <v>919</v>
      </c>
      <c r="C171" s="1" t="str">
        <f t="shared" si="6"/>
        <v>Bombay Beach - Imperial</v>
      </c>
      <c r="D171" s="512">
        <f t="shared" si="7"/>
        <v>0.17949999999999999</v>
      </c>
      <c r="E171" s="261">
        <f t="shared" si="8"/>
        <v>1.206E-2</v>
      </c>
    </row>
    <row r="172" spans="1:5" ht="12.75" x14ac:dyDescent="0.2">
      <c r="A172" s="259" t="s">
        <v>993</v>
      </c>
      <c r="B172" s="1" t="s">
        <v>751</v>
      </c>
      <c r="C172" s="1" t="str">
        <f t="shared" si="6"/>
        <v>Bonita - San Diego</v>
      </c>
      <c r="D172" s="512">
        <f t="shared" si="7"/>
        <v>4.4750000000000005E-2</v>
      </c>
      <c r="E172" s="261">
        <f t="shared" si="8"/>
        <v>1.167E-2</v>
      </c>
    </row>
    <row r="173" spans="1:5" ht="12.75" x14ac:dyDescent="0.2">
      <c r="A173" s="259" t="s">
        <v>994</v>
      </c>
      <c r="B173" s="1" t="s">
        <v>856</v>
      </c>
      <c r="C173" s="1" t="str">
        <f t="shared" si="6"/>
        <v>Bonny Doon - Santa Cruz</v>
      </c>
      <c r="D173" s="512">
        <f t="shared" si="7"/>
        <v>6.2416666666666669E-2</v>
      </c>
      <c r="E173" s="261">
        <f t="shared" si="8"/>
        <v>1.106E-2</v>
      </c>
    </row>
    <row r="174" spans="1:5" ht="12.75" x14ac:dyDescent="0.2">
      <c r="A174" s="259" t="s">
        <v>995</v>
      </c>
      <c r="B174" s="1" t="s">
        <v>751</v>
      </c>
      <c r="C174" s="1" t="str">
        <f t="shared" si="6"/>
        <v>Bonsall - San Diego</v>
      </c>
      <c r="D174" s="512">
        <f t="shared" si="7"/>
        <v>4.4750000000000005E-2</v>
      </c>
      <c r="E174" s="261">
        <f t="shared" si="8"/>
        <v>1.167E-2</v>
      </c>
    </row>
    <row r="175" spans="1:5" ht="12.75" x14ac:dyDescent="0.2">
      <c r="A175" s="259" t="s">
        <v>996</v>
      </c>
      <c r="B175" s="1" t="s">
        <v>774</v>
      </c>
      <c r="C175" s="1" t="str">
        <f t="shared" si="6"/>
        <v>Boonville - Mendocino</v>
      </c>
      <c r="D175" s="512">
        <f t="shared" si="7"/>
        <v>5.1916666666666667E-2</v>
      </c>
      <c r="E175" s="261">
        <f t="shared" si="8"/>
        <v>1.1650000000000001E-2</v>
      </c>
    </row>
    <row r="176" spans="1:5" ht="12.75" x14ac:dyDescent="0.2">
      <c r="A176" s="259" t="s">
        <v>997</v>
      </c>
      <c r="B176" s="1" t="s">
        <v>884</v>
      </c>
      <c r="C176" s="1" t="str">
        <f t="shared" si="6"/>
        <v>Boron - Kern</v>
      </c>
      <c r="D176" s="512">
        <f t="shared" si="7"/>
        <v>8.9333333333333334E-2</v>
      </c>
      <c r="E176" s="261">
        <f t="shared" si="8"/>
        <v>1.238E-2</v>
      </c>
    </row>
    <row r="177" spans="1:5" ht="12.75" x14ac:dyDescent="0.2">
      <c r="A177" s="259" t="s">
        <v>998</v>
      </c>
      <c r="B177" s="1" t="s">
        <v>751</v>
      </c>
      <c r="C177" s="1" t="str">
        <f t="shared" si="6"/>
        <v>Borrego Springs - San Diego</v>
      </c>
      <c r="D177" s="512">
        <f t="shared" si="7"/>
        <v>4.4750000000000005E-2</v>
      </c>
      <c r="E177" s="261">
        <f t="shared" si="8"/>
        <v>1.167E-2</v>
      </c>
    </row>
    <row r="178" spans="1:5" ht="12.75" x14ac:dyDescent="0.2">
      <c r="A178" s="259" t="s">
        <v>999</v>
      </c>
      <c r="B178" s="1" t="s">
        <v>751</v>
      </c>
      <c r="C178" s="1" t="str">
        <f t="shared" si="6"/>
        <v>Bostonia - San Diego</v>
      </c>
      <c r="D178" s="512">
        <f t="shared" si="7"/>
        <v>4.4750000000000005E-2</v>
      </c>
      <c r="E178" s="261">
        <f t="shared" si="8"/>
        <v>1.167E-2</v>
      </c>
    </row>
    <row r="179" spans="1:5" ht="12.75" x14ac:dyDescent="0.2">
      <c r="A179" s="259" t="s">
        <v>1000</v>
      </c>
      <c r="B179" s="1" t="s">
        <v>856</v>
      </c>
      <c r="C179" s="1" t="str">
        <f t="shared" si="6"/>
        <v>Boulder Creek - Santa Cruz</v>
      </c>
      <c r="D179" s="512">
        <f t="shared" si="7"/>
        <v>6.2416666666666669E-2</v>
      </c>
      <c r="E179" s="261">
        <f t="shared" si="8"/>
        <v>1.106E-2</v>
      </c>
    </row>
    <row r="180" spans="1:5" ht="12.75" x14ac:dyDescent="0.2">
      <c r="A180" s="259" t="s">
        <v>1001</v>
      </c>
      <c r="B180" s="1" t="s">
        <v>751</v>
      </c>
      <c r="C180" s="1" t="str">
        <f t="shared" si="6"/>
        <v>Boulevard - San Diego</v>
      </c>
      <c r="D180" s="512">
        <f t="shared" si="7"/>
        <v>4.4750000000000005E-2</v>
      </c>
      <c r="E180" s="261">
        <f t="shared" si="8"/>
        <v>1.167E-2</v>
      </c>
    </row>
    <row r="181" spans="1:5" ht="12.75" x14ac:dyDescent="0.2">
      <c r="A181" s="259" t="s">
        <v>1002</v>
      </c>
      <c r="B181" s="1" t="s">
        <v>732</v>
      </c>
      <c r="C181" s="1" t="str">
        <f t="shared" si="6"/>
        <v>Bouquet Canyon - Los Angeles</v>
      </c>
      <c r="D181" s="512">
        <f t="shared" si="7"/>
        <v>5.4833333333333331E-2</v>
      </c>
      <c r="E181" s="261">
        <f t="shared" si="8"/>
        <v>1.1599999999999999E-2</v>
      </c>
    </row>
    <row r="182" spans="1:5" ht="12.75" x14ac:dyDescent="0.2">
      <c r="A182" s="259" t="s">
        <v>1003</v>
      </c>
      <c r="B182" s="1" t="s">
        <v>803</v>
      </c>
      <c r="C182" s="1" t="str">
        <f t="shared" si="6"/>
        <v>Bowman - Placer</v>
      </c>
      <c r="D182" s="512">
        <f t="shared" si="7"/>
        <v>4.1833333333333347E-2</v>
      </c>
      <c r="E182" s="261">
        <f t="shared" si="8"/>
        <v>1.0880000000000001E-2</v>
      </c>
    </row>
    <row r="183" spans="1:5" ht="12.75" x14ac:dyDescent="0.2">
      <c r="A183" s="259" t="s">
        <v>1004</v>
      </c>
      <c r="B183" s="1" t="s">
        <v>748</v>
      </c>
      <c r="C183" s="1" t="str">
        <f t="shared" si="6"/>
        <v>Boyes Hot Springs - Sonoma</v>
      </c>
      <c r="D183" s="512">
        <f t="shared" si="7"/>
        <v>4.0583333333333325E-2</v>
      </c>
      <c r="E183" s="261">
        <f t="shared" si="8"/>
        <v>1.133E-2</v>
      </c>
    </row>
    <row r="184" spans="1:5" ht="12.75" x14ac:dyDescent="0.2">
      <c r="A184" s="259" t="s">
        <v>1005</v>
      </c>
      <c r="B184" s="1" t="s">
        <v>732</v>
      </c>
      <c r="C184" s="1" t="str">
        <f t="shared" si="6"/>
        <v>Bradbury - Los Angeles</v>
      </c>
      <c r="D184" s="512">
        <f t="shared" si="7"/>
        <v>5.4833333333333331E-2</v>
      </c>
      <c r="E184" s="261">
        <f t="shared" si="8"/>
        <v>1.1599999999999999E-2</v>
      </c>
    </row>
    <row r="185" spans="1:5" ht="12.75" x14ac:dyDescent="0.2">
      <c r="A185" s="259" t="s">
        <v>1006</v>
      </c>
      <c r="B185" s="1" t="s">
        <v>764</v>
      </c>
      <c r="C185" s="1" t="str">
        <f t="shared" si="6"/>
        <v>Bradford - Alameda</v>
      </c>
      <c r="D185" s="512">
        <f t="shared" si="7"/>
        <v>4.7E-2</v>
      </c>
      <c r="E185" s="261">
        <f t="shared" si="8"/>
        <v>1.2430000000000002E-2</v>
      </c>
    </row>
    <row r="186" spans="1:5" ht="12.75" x14ac:dyDescent="0.2">
      <c r="A186" s="259" t="s">
        <v>1007</v>
      </c>
      <c r="B186" s="1" t="s">
        <v>876</v>
      </c>
      <c r="C186" s="1" t="str">
        <f t="shared" si="6"/>
        <v>Bradley - Monterey</v>
      </c>
      <c r="D186" s="512">
        <f t="shared" si="7"/>
        <v>7.425000000000001E-2</v>
      </c>
      <c r="E186" s="261">
        <f t="shared" si="8"/>
        <v>1.098E-2</v>
      </c>
    </row>
    <row r="187" spans="1:5" ht="12.75" x14ac:dyDescent="0.2">
      <c r="A187" s="259" t="s">
        <v>1008</v>
      </c>
      <c r="B187" s="1" t="s">
        <v>774</v>
      </c>
      <c r="C187" s="1" t="str">
        <f t="shared" si="6"/>
        <v>Branscomb - Mendocino</v>
      </c>
      <c r="D187" s="512">
        <f t="shared" si="7"/>
        <v>5.1916666666666667E-2</v>
      </c>
      <c r="E187" s="261">
        <f t="shared" si="8"/>
        <v>1.1650000000000001E-2</v>
      </c>
    </row>
    <row r="188" spans="1:5" ht="12.75" x14ac:dyDescent="0.2">
      <c r="A188" s="259" t="s">
        <v>1009</v>
      </c>
      <c r="B188" s="1" t="s">
        <v>919</v>
      </c>
      <c r="C188" s="1" t="str">
        <f t="shared" si="6"/>
        <v>Brawley - Imperial</v>
      </c>
      <c r="D188" s="512">
        <f t="shared" si="7"/>
        <v>0.17949999999999999</v>
      </c>
      <c r="E188" s="261">
        <f t="shared" si="8"/>
        <v>1.206E-2</v>
      </c>
    </row>
    <row r="189" spans="1:5" ht="12.75" x14ac:dyDescent="0.2">
      <c r="A189" s="259" t="s">
        <v>1010</v>
      </c>
      <c r="B189" s="1" t="s">
        <v>782</v>
      </c>
      <c r="C189" s="1" t="str">
        <f t="shared" si="6"/>
        <v>Brea - Orange</v>
      </c>
      <c r="D189" s="512">
        <f t="shared" si="7"/>
        <v>3.9749999999999994E-2</v>
      </c>
      <c r="E189" s="261">
        <f t="shared" si="8"/>
        <v>1.0660000000000001E-2</v>
      </c>
    </row>
    <row r="190" spans="1:5" ht="12.75" x14ac:dyDescent="0.2">
      <c r="A190" s="259" t="s">
        <v>1011</v>
      </c>
      <c r="B190" s="1" t="s">
        <v>732</v>
      </c>
      <c r="C190" s="1" t="str">
        <f t="shared" si="6"/>
        <v>Brents Junction - Los Angeles</v>
      </c>
      <c r="D190" s="512">
        <f t="shared" si="7"/>
        <v>5.4833333333333331E-2</v>
      </c>
      <c r="E190" s="261">
        <f t="shared" si="8"/>
        <v>1.1599999999999999E-2</v>
      </c>
    </row>
    <row r="191" spans="1:5" ht="12.75" x14ac:dyDescent="0.2">
      <c r="A191" s="259" t="s">
        <v>1012</v>
      </c>
      <c r="B191" s="1" t="s">
        <v>767</v>
      </c>
      <c r="C191" s="1" t="str">
        <f t="shared" si="6"/>
        <v>Brentwood - Contra Costa</v>
      </c>
      <c r="D191" s="512">
        <f t="shared" si="7"/>
        <v>4.7250000000000007E-2</v>
      </c>
      <c r="E191" s="261">
        <f t="shared" si="8"/>
        <v>1.163E-2</v>
      </c>
    </row>
    <row r="192" spans="1:5" ht="12.75" x14ac:dyDescent="0.2">
      <c r="A192" s="259" t="s">
        <v>1012</v>
      </c>
      <c r="B192" s="1" t="s">
        <v>732</v>
      </c>
      <c r="C192" s="1" t="str">
        <f t="shared" si="6"/>
        <v>Brentwood - Los Angeles</v>
      </c>
      <c r="D192" s="512">
        <f t="shared" si="7"/>
        <v>5.4833333333333331E-2</v>
      </c>
      <c r="E192" s="261">
        <f t="shared" si="8"/>
        <v>1.1599999999999999E-2</v>
      </c>
    </row>
    <row r="193" spans="1:5" ht="12.75" x14ac:dyDescent="0.2">
      <c r="A193" s="259" t="s">
        <v>1013</v>
      </c>
      <c r="B193" s="1" t="s">
        <v>777</v>
      </c>
      <c r="C193" s="1" t="str">
        <f t="shared" si="6"/>
        <v>Briceland - Humboldt</v>
      </c>
      <c r="D193" s="512">
        <f t="shared" si="7"/>
        <v>5.1583333333333321E-2</v>
      </c>
      <c r="E193" s="261">
        <f t="shared" si="8"/>
        <v>1.115E-2</v>
      </c>
    </row>
    <row r="194" spans="1:5" ht="12.75" x14ac:dyDescent="0.2">
      <c r="A194" s="259" t="s">
        <v>1014</v>
      </c>
      <c r="B194" s="1" t="s">
        <v>935</v>
      </c>
      <c r="C194" s="1" t="str">
        <f t="shared" si="6"/>
        <v>Bridgeport - Mariposa</v>
      </c>
      <c r="D194" s="512">
        <f t="shared" si="7"/>
        <v>5.2833333333333329E-2</v>
      </c>
      <c r="E194" s="261">
        <f t="shared" si="8"/>
        <v>1.0369999999999999E-2</v>
      </c>
    </row>
    <row r="195" spans="1:5" ht="12.75" x14ac:dyDescent="0.2">
      <c r="A195" s="259" t="s">
        <v>1014</v>
      </c>
      <c r="B195" s="1" t="s">
        <v>951</v>
      </c>
      <c r="C195" s="1" t="str">
        <f t="shared" si="6"/>
        <v>Bridgeport - Mono</v>
      </c>
      <c r="D195" s="512">
        <f t="shared" si="7"/>
        <v>4.0166666666666663E-2</v>
      </c>
      <c r="E195" s="261">
        <f t="shared" si="8"/>
        <v>1.154E-2</v>
      </c>
    </row>
    <row r="196" spans="1:5" ht="12.75" x14ac:dyDescent="0.2">
      <c r="A196" s="259" t="s">
        <v>1015</v>
      </c>
      <c r="B196" s="1" t="s">
        <v>777</v>
      </c>
      <c r="C196" s="1" t="str">
        <f t="shared" si="6"/>
        <v>Bridgeville - Humboldt</v>
      </c>
      <c r="D196" s="512">
        <f t="shared" si="7"/>
        <v>5.1583333333333321E-2</v>
      </c>
      <c r="E196" s="261">
        <f t="shared" si="8"/>
        <v>1.115E-2</v>
      </c>
    </row>
    <row r="197" spans="1:5" ht="12.75" x14ac:dyDescent="0.2">
      <c r="A197" s="259" t="s">
        <v>1016</v>
      </c>
      <c r="B197" s="1" t="s">
        <v>890</v>
      </c>
      <c r="C197" s="1" t="str">
        <f t="shared" si="6"/>
        <v>Brisbane - San Mateo</v>
      </c>
      <c r="D197" s="512">
        <f t="shared" si="7"/>
        <v>3.5000000000000003E-2</v>
      </c>
      <c r="E197" s="261">
        <f t="shared" si="8"/>
        <v>1.1089999999999999E-2</v>
      </c>
    </row>
    <row r="198" spans="1:5" ht="12.75" x14ac:dyDescent="0.2">
      <c r="A198" s="259" t="s">
        <v>1017</v>
      </c>
      <c r="B198" s="1" t="s">
        <v>1018</v>
      </c>
      <c r="C198" s="1" t="str">
        <f t="shared" si="6"/>
        <v>Broderick - Yolo</v>
      </c>
      <c r="D198" s="512">
        <f t="shared" si="7"/>
        <v>5.2666666666666667E-2</v>
      </c>
      <c r="E198" s="261">
        <f t="shared" si="8"/>
        <v>1.11E-2</v>
      </c>
    </row>
    <row r="199" spans="1:5" ht="12.75" x14ac:dyDescent="0.2">
      <c r="A199" s="259" t="s">
        <v>1019</v>
      </c>
      <c r="B199" s="1" t="s">
        <v>856</v>
      </c>
      <c r="C199" s="1" t="str">
        <f t="shared" si="6"/>
        <v>Brookdale - Santa Cruz</v>
      </c>
      <c r="D199" s="512">
        <f t="shared" si="7"/>
        <v>6.2416666666666669E-2</v>
      </c>
      <c r="E199" s="261">
        <f t="shared" si="8"/>
        <v>1.106E-2</v>
      </c>
    </row>
    <row r="200" spans="1:5" ht="12.75" x14ac:dyDescent="0.2">
      <c r="A200" s="259" t="s">
        <v>1020</v>
      </c>
      <c r="B200" s="1" t="s">
        <v>782</v>
      </c>
      <c r="C200" s="1" t="str">
        <f t="shared" ref="C200:C263" si="9">A200&amp;" - "&amp;B200</f>
        <v>Brookhurst Center - Orange</v>
      </c>
      <c r="D200" s="512">
        <f t="shared" si="7"/>
        <v>3.9749999999999994E-2</v>
      </c>
      <c r="E200" s="261">
        <f t="shared" si="8"/>
        <v>1.0660000000000001E-2</v>
      </c>
    </row>
    <row r="201" spans="1:5" ht="12.75" x14ac:dyDescent="0.2">
      <c r="A201" s="259" t="s">
        <v>1021</v>
      </c>
      <c r="B201" s="1" t="s">
        <v>1018</v>
      </c>
      <c r="C201" s="1" t="str">
        <f t="shared" si="9"/>
        <v>Brooks - Yolo</v>
      </c>
      <c r="D201" s="512">
        <f t="shared" ref="D201:D264" si="10">VLOOKUP(B201,unemployment_rates,2, FALSE)</f>
        <v>5.2666666666666667E-2</v>
      </c>
      <c r="E201" s="261">
        <f t="shared" ref="E201:E264" si="11">VLOOKUP(B201,Prop_Tax_Rates,2,FALSE)</f>
        <v>1.11E-2</v>
      </c>
    </row>
    <row r="202" spans="1:5" ht="12.75" x14ac:dyDescent="0.2">
      <c r="A202" s="259" t="s">
        <v>1022</v>
      </c>
      <c r="B202" s="1" t="s">
        <v>932</v>
      </c>
      <c r="C202" s="1" t="str">
        <f t="shared" si="9"/>
        <v>Browns Valley - Yuba</v>
      </c>
      <c r="D202" s="512">
        <f t="shared" si="10"/>
        <v>7.2416666666666657E-2</v>
      </c>
      <c r="E202" s="261">
        <f t="shared" si="11"/>
        <v>1.102E-2</v>
      </c>
    </row>
    <row r="203" spans="1:5" ht="12.75" x14ac:dyDescent="0.2">
      <c r="A203" s="259" t="s">
        <v>1023</v>
      </c>
      <c r="B203" s="1" t="s">
        <v>932</v>
      </c>
      <c r="C203" s="1" t="str">
        <f t="shared" si="9"/>
        <v>Brownsville - Yuba</v>
      </c>
      <c r="D203" s="512">
        <f t="shared" si="10"/>
        <v>7.2416666666666657E-2</v>
      </c>
      <c r="E203" s="261">
        <f t="shared" si="11"/>
        <v>1.102E-2</v>
      </c>
    </row>
    <row r="204" spans="1:5" ht="12.75" x14ac:dyDescent="0.2">
      <c r="A204" s="259" t="s">
        <v>1024</v>
      </c>
      <c r="B204" s="1" t="s">
        <v>738</v>
      </c>
      <c r="C204" s="1" t="str">
        <f t="shared" si="9"/>
        <v>Bryn Mawr - San Bernardino</v>
      </c>
      <c r="D204" s="512">
        <f t="shared" si="10"/>
        <v>5.1583333333333342E-2</v>
      </c>
      <c r="E204" s="261">
        <f t="shared" si="11"/>
        <v>1.1379999999999999E-2</v>
      </c>
    </row>
    <row r="205" spans="1:5" ht="12.75" x14ac:dyDescent="0.2">
      <c r="A205" s="259" t="s">
        <v>1025</v>
      </c>
      <c r="B205" s="1" t="s">
        <v>1018</v>
      </c>
      <c r="C205" s="1" t="str">
        <f t="shared" si="9"/>
        <v>Bryte - Yolo</v>
      </c>
      <c r="D205" s="512">
        <f t="shared" si="10"/>
        <v>5.2666666666666667E-2</v>
      </c>
      <c r="E205" s="261">
        <f t="shared" si="11"/>
        <v>1.11E-2</v>
      </c>
    </row>
    <row r="206" spans="1:5" ht="12.75" x14ac:dyDescent="0.2">
      <c r="A206" s="259" t="s">
        <v>1026</v>
      </c>
      <c r="B206" s="1" t="s">
        <v>911</v>
      </c>
      <c r="C206" s="1" t="str">
        <f t="shared" si="9"/>
        <v>Buellton - Santa Barbara</v>
      </c>
      <c r="D206" s="512">
        <f t="shared" si="10"/>
        <v>4.5333333333333344E-2</v>
      </c>
      <c r="E206" s="261">
        <f t="shared" si="11"/>
        <v>1.0740000000000001E-2</v>
      </c>
    </row>
    <row r="207" spans="1:5" ht="12.75" x14ac:dyDescent="0.2">
      <c r="A207" s="259" t="s">
        <v>1027</v>
      </c>
      <c r="B207" s="1" t="s">
        <v>782</v>
      </c>
      <c r="C207" s="1" t="str">
        <f t="shared" si="9"/>
        <v>Buena Park - Orange</v>
      </c>
      <c r="D207" s="512">
        <f t="shared" si="10"/>
        <v>3.9749999999999994E-2</v>
      </c>
      <c r="E207" s="261">
        <f t="shared" si="11"/>
        <v>1.0660000000000001E-2</v>
      </c>
    </row>
    <row r="208" spans="1:5" ht="12.75" x14ac:dyDescent="0.2">
      <c r="A208" s="259" t="s">
        <v>1028</v>
      </c>
      <c r="B208" s="1" t="s">
        <v>732</v>
      </c>
      <c r="C208" s="1" t="str">
        <f t="shared" si="9"/>
        <v>Burbank - Los Angeles</v>
      </c>
      <c r="D208" s="512">
        <f t="shared" si="10"/>
        <v>5.4833333333333331E-2</v>
      </c>
      <c r="E208" s="261">
        <f t="shared" si="11"/>
        <v>1.1599999999999999E-2</v>
      </c>
    </row>
    <row r="209" spans="1:5" ht="12.75" x14ac:dyDescent="0.2">
      <c r="A209" s="259" t="s">
        <v>1029</v>
      </c>
      <c r="B209" s="1" t="s">
        <v>890</v>
      </c>
      <c r="C209" s="1" t="str">
        <f t="shared" si="9"/>
        <v>Burlingame - San Mateo</v>
      </c>
      <c r="D209" s="512">
        <f t="shared" si="10"/>
        <v>3.5000000000000003E-2</v>
      </c>
      <c r="E209" s="261">
        <f t="shared" si="11"/>
        <v>1.1089999999999999E-2</v>
      </c>
    </row>
    <row r="210" spans="1:5" ht="12.75" x14ac:dyDescent="0.2">
      <c r="A210" s="259" t="s">
        <v>1030</v>
      </c>
      <c r="B210" s="1" t="s">
        <v>832</v>
      </c>
      <c r="C210" s="1" t="str">
        <f t="shared" si="9"/>
        <v>Burney - Shasta</v>
      </c>
      <c r="D210" s="512">
        <f t="shared" si="10"/>
        <v>5.6416666666666657E-2</v>
      </c>
      <c r="E210" s="261">
        <f t="shared" si="11"/>
        <v>1.099E-2</v>
      </c>
    </row>
    <row r="211" spans="1:5" ht="12.75" x14ac:dyDescent="0.2">
      <c r="A211" s="259" t="s">
        <v>1031</v>
      </c>
      <c r="B211" s="1" t="s">
        <v>961</v>
      </c>
      <c r="C211" s="1" t="str">
        <f t="shared" si="9"/>
        <v>Burnt Ranch - Trinity</v>
      </c>
      <c r="D211" s="512">
        <f t="shared" si="10"/>
        <v>5.916666666666668E-2</v>
      </c>
      <c r="E211" s="261">
        <f t="shared" si="11"/>
        <v>1.043E-2</v>
      </c>
    </row>
    <row r="212" spans="1:5" ht="12.75" x14ac:dyDescent="0.2">
      <c r="A212" s="259" t="s">
        <v>1032</v>
      </c>
      <c r="B212" s="1" t="s">
        <v>895</v>
      </c>
      <c r="C212" s="1" t="str">
        <f t="shared" si="9"/>
        <v>Burrel - Fresno</v>
      </c>
      <c r="D212" s="512">
        <f t="shared" si="10"/>
        <v>8.0416666666666664E-2</v>
      </c>
      <c r="E212" s="261">
        <f t="shared" si="11"/>
        <v>1.2110000000000001E-2</v>
      </c>
    </row>
    <row r="213" spans="1:5" ht="12.75" x14ac:dyDescent="0.2">
      <c r="A213" s="259" t="s">
        <v>1033</v>
      </c>
      <c r="B213" s="1" t="s">
        <v>810</v>
      </c>
      <c r="C213" s="1" t="str">
        <f t="shared" si="9"/>
        <v>Burson - Calaveras</v>
      </c>
      <c r="D213" s="512">
        <f t="shared" si="10"/>
        <v>4.7166666666666662E-2</v>
      </c>
      <c r="E213" s="261">
        <f t="shared" si="11"/>
        <v>1.0920000000000001E-2</v>
      </c>
    </row>
    <row r="214" spans="1:5" ht="12.75" x14ac:dyDescent="0.2">
      <c r="A214" s="259" t="s">
        <v>1034</v>
      </c>
      <c r="B214" s="1" t="s">
        <v>882</v>
      </c>
      <c r="C214" s="1" t="str">
        <f t="shared" si="9"/>
        <v>Butte City - Glenn</v>
      </c>
      <c r="D214" s="512">
        <f t="shared" si="10"/>
        <v>6.7749999999999991E-2</v>
      </c>
      <c r="E214" s="261">
        <f t="shared" si="11"/>
        <v>1.093E-2</v>
      </c>
    </row>
    <row r="215" spans="1:5" ht="12.75" x14ac:dyDescent="0.2">
      <c r="A215" s="259" t="s">
        <v>1035</v>
      </c>
      <c r="B215" s="1" t="s">
        <v>915</v>
      </c>
      <c r="C215" s="1" t="str">
        <f t="shared" si="9"/>
        <v>Butte Meadows - Butte</v>
      </c>
      <c r="D215" s="512">
        <f t="shared" si="10"/>
        <v>5.8999999999999983E-2</v>
      </c>
      <c r="E215" s="261">
        <f t="shared" si="11"/>
        <v>1.1169999999999999E-2</v>
      </c>
    </row>
    <row r="216" spans="1:5" ht="12.75" x14ac:dyDescent="0.2">
      <c r="A216" s="259" t="s">
        <v>1036</v>
      </c>
      <c r="B216" s="1" t="s">
        <v>884</v>
      </c>
      <c r="C216" s="1" t="str">
        <f t="shared" si="9"/>
        <v>Buttonwillow - Kern</v>
      </c>
      <c r="D216" s="512">
        <f t="shared" si="10"/>
        <v>8.9333333333333334E-2</v>
      </c>
      <c r="E216" s="261">
        <f t="shared" si="11"/>
        <v>1.238E-2</v>
      </c>
    </row>
    <row r="217" spans="1:5" ht="12.75" x14ac:dyDescent="0.2">
      <c r="A217" s="259" t="s">
        <v>1037</v>
      </c>
      <c r="B217" s="1" t="s">
        <v>767</v>
      </c>
      <c r="C217" s="1" t="str">
        <f t="shared" si="9"/>
        <v>Byron - Contra Costa</v>
      </c>
      <c r="D217" s="512">
        <f t="shared" si="10"/>
        <v>4.7250000000000007E-2</v>
      </c>
      <c r="E217" s="261">
        <f t="shared" si="11"/>
        <v>1.163E-2</v>
      </c>
    </row>
    <row r="218" spans="1:5" ht="12.75" x14ac:dyDescent="0.2">
      <c r="A218" s="259" t="s">
        <v>1038</v>
      </c>
      <c r="B218" s="1" t="s">
        <v>756</v>
      </c>
      <c r="C218" s="1" t="str">
        <f t="shared" si="9"/>
        <v>Cabazon - Riverside</v>
      </c>
      <c r="D218" s="512">
        <f t="shared" si="10"/>
        <v>5.3749999999999999E-2</v>
      </c>
      <c r="E218" s="261">
        <f t="shared" si="11"/>
        <v>1.1859999999999999E-2</v>
      </c>
    </row>
    <row r="219" spans="1:5" ht="12.75" x14ac:dyDescent="0.2">
      <c r="A219" s="259" t="s">
        <v>1039</v>
      </c>
      <c r="B219" s="1" t="s">
        <v>732</v>
      </c>
      <c r="C219" s="1" t="str">
        <f t="shared" si="9"/>
        <v>Cabrillo - Los Angeles</v>
      </c>
      <c r="D219" s="512">
        <f t="shared" si="10"/>
        <v>5.4833333333333331E-2</v>
      </c>
      <c r="E219" s="261">
        <f t="shared" si="11"/>
        <v>1.1599999999999999E-2</v>
      </c>
    </row>
    <row r="220" spans="1:5" ht="12.75" x14ac:dyDescent="0.2">
      <c r="A220" s="259" t="s">
        <v>1040</v>
      </c>
      <c r="B220" s="1" t="s">
        <v>738</v>
      </c>
      <c r="C220" s="1" t="str">
        <f t="shared" si="9"/>
        <v>Cadiz - San Bernardino</v>
      </c>
      <c r="D220" s="512">
        <f t="shared" si="10"/>
        <v>5.1583333333333342E-2</v>
      </c>
      <c r="E220" s="261">
        <f t="shared" si="11"/>
        <v>1.1379999999999999E-2</v>
      </c>
    </row>
    <row r="221" spans="1:5" ht="12.75" x14ac:dyDescent="0.2">
      <c r="A221" s="259" t="s">
        <v>1041</v>
      </c>
      <c r="B221" s="1" t="s">
        <v>732</v>
      </c>
      <c r="C221" s="1" t="str">
        <f t="shared" si="9"/>
        <v>Calabasas - Los Angeles</v>
      </c>
      <c r="D221" s="512">
        <f t="shared" si="10"/>
        <v>5.4833333333333331E-2</v>
      </c>
      <c r="E221" s="261">
        <f t="shared" si="11"/>
        <v>1.1599999999999999E-2</v>
      </c>
    </row>
    <row r="222" spans="1:5" ht="12.75" x14ac:dyDescent="0.2">
      <c r="A222" s="259" t="s">
        <v>1042</v>
      </c>
      <c r="B222" s="1" t="s">
        <v>732</v>
      </c>
      <c r="C222" s="1" t="str">
        <f t="shared" si="9"/>
        <v>Calabasas Highlands - Los Angeles</v>
      </c>
      <c r="D222" s="512">
        <f t="shared" si="10"/>
        <v>5.4833333333333331E-2</v>
      </c>
      <c r="E222" s="261">
        <f t="shared" si="11"/>
        <v>1.1599999999999999E-2</v>
      </c>
    </row>
    <row r="223" spans="1:5" ht="12.75" x14ac:dyDescent="0.2">
      <c r="A223" s="259" t="s">
        <v>1043</v>
      </c>
      <c r="B223" s="1" t="s">
        <v>732</v>
      </c>
      <c r="C223" s="1" t="str">
        <f t="shared" si="9"/>
        <v>Calabasas Park - Los Angeles</v>
      </c>
      <c r="D223" s="512">
        <f t="shared" si="10"/>
        <v>5.4833333333333331E-2</v>
      </c>
      <c r="E223" s="261">
        <f t="shared" si="11"/>
        <v>1.1599999999999999E-2</v>
      </c>
    </row>
    <row r="224" spans="1:5" ht="12.75" x14ac:dyDescent="0.2">
      <c r="A224" s="259" t="s">
        <v>1044</v>
      </c>
      <c r="B224" s="1" t="s">
        <v>919</v>
      </c>
      <c r="C224" s="1" t="str">
        <f t="shared" si="9"/>
        <v>Calexico - Imperial</v>
      </c>
      <c r="D224" s="512">
        <f t="shared" si="10"/>
        <v>0.17949999999999999</v>
      </c>
      <c r="E224" s="261">
        <f t="shared" si="11"/>
        <v>1.206E-2</v>
      </c>
    </row>
    <row r="225" spans="1:5" ht="12.75" x14ac:dyDescent="0.2">
      <c r="A225" s="259" t="s">
        <v>1045</v>
      </c>
      <c r="B225" s="1" t="s">
        <v>884</v>
      </c>
      <c r="C225" s="1" t="str">
        <f t="shared" si="9"/>
        <v>Caliente - Kern</v>
      </c>
      <c r="D225" s="512">
        <f t="shared" si="10"/>
        <v>8.9333333333333334E-2</v>
      </c>
      <c r="E225" s="261">
        <f t="shared" si="11"/>
        <v>1.238E-2</v>
      </c>
    </row>
    <row r="226" spans="1:5" ht="12.75" x14ac:dyDescent="0.2">
      <c r="A226" s="259" t="s">
        <v>1046</v>
      </c>
      <c r="B226" s="1" t="s">
        <v>884</v>
      </c>
      <c r="C226" s="1" t="str">
        <f t="shared" si="9"/>
        <v>California City - Kern</v>
      </c>
      <c r="D226" s="512">
        <f t="shared" si="10"/>
        <v>8.9333333333333334E-2</v>
      </c>
      <c r="E226" s="261">
        <f t="shared" si="11"/>
        <v>1.238E-2</v>
      </c>
    </row>
    <row r="227" spans="1:5" ht="12.75" x14ac:dyDescent="0.2">
      <c r="A227" s="259" t="s">
        <v>1047</v>
      </c>
      <c r="B227" s="1" t="s">
        <v>798</v>
      </c>
      <c r="C227" s="1" t="str">
        <f t="shared" si="9"/>
        <v>California Hot Springs - Tulare</v>
      </c>
      <c r="D227" s="512">
        <f t="shared" si="10"/>
        <v>0.10691666666666669</v>
      </c>
      <c r="E227" s="261">
        <f t="shared" si="11"/>
        <v>1.0869999999999999E-2</v>
      </c>
    </row>
    <row r="228" spans="1:5" ht="12.75" x14ac:dyDescent="0.2">
      <c r="A228" s="259" t="s">
        <v>1048</v>
      </c>
      <c r="B228" s="1" t="s">
        <v>735</v>
      </c>
      <c r="C228" s="1" t="str">
        <f t="shared" si="9"/>
        <v>California Valley - San Luis Obispo</v>
      </c>
      <c r="D228" s="512">
        <f t="shared" si="10"/>
        <v>3.8833333333333331E-2</v>
      </c>
      <c r="E228" s="261">
        <f t="shared" si="11"/>
        <v>1.085E-2</v>
      </c>
    </row>
    <row r="229" spans="1:5" ht="12.75" x14ac:dyDescent="0.2">
      <c r="A229" s="259" t="s">
        <v>1049</v>
      </c>
      <c r="B229" s="1" t="s">
        <v>756</v>
      </c>
      <c r="C229" s="1" t="str">
        <f t="shared" si="9"/>
        <v>Calimesa - Riverside</v>
      </c>
      <c r="D229" s="512">
        <f t="shared" si="10"/>
        <v>5.3749999999999999E-2</v>
      </c>
      <c r="E229" s="261">
        <f t="shared" si="11"/>
        <v>1.1859999999999999E-2</v>
      </c>
    </row>
    <row r="230" spans="1:5" ht="12.75" x14ac:dyDescent="0.2">
      <c r="A230" s="259" t="s">
        <v>1050</v>
      </c>
      <c r="B230" s="1" t="s">
        <v>919</v>
      </c>
      <c r="C230" s="1" t="str">
        <f t="shared" si="9"/>
        <v>Calipatria - Imperial</v>
      </c>
      <c r="D230" s="512">
        <f t="shared" si="10"/>
        <v>0.17949999999999999</v>
      </c>
      <c r="E230" s="261">
        <f t="shared" si="11"/>
        <v>1.206E-2</v>
      </c>
    </row>
    <row r="231" spans="1:5" ht="12.75" x14ac:dyDescent="0.2">
      <c r="A231" s="259" t="s">
        <v>1051</v>
      </c>
      <c r="B231" s="1" t="s">
        <v>827</v>
      </c>
      <c r="C231" s="1" t="str">
        <f t="shared" si="9"/>
        <v>Calistoga - Napa</v>
      </c>
      <c r="D231" s="512">
        <f t="shared" si="10"/>
        <v>0.04</v>
      </c>
      <c r="E231" s="261">
        <f t="shared" si="11"/>
        <v>1.102E-2</v>
      </c>
    </row>
    <row r="232" spans="1:5" ht="12.75" x14ac:dyDescent="0.2">
      <c r="A232" s="259" t="s">
        <v>1052</v>
      </c>
      <c r="B232" s="1" t="s">
        <v>1053</v>
      </c>
      <c r="C232" s="1" t="str">
        <f t="shared" si="9"/>
        <v>Callahan - Siskiyou</v>
      </c>
      <c r="D232" s="512">
        <f t="shared" si="10"/>
        <v>6.883333333333333E-2</v>
      </c>
      <c r="E232" s="261">
        <f t="shared" si="11"/>
        <v>1.0460000000000001E-2</v>
      </c>
    </row>
    <row r="233" spans="1:5" ht="12.75" x14ac:dyDescent="0.2">
      <c r="A233" s="259" t="s">
        <v>1054</v>
      </c>
      <c r="B233" s="1" t="s">
        <v>774</v>
      </c>
      <c r="C233" s="1" t="str">
        <f t="shared" si="9"/>
        <v>Calpella - Mendocino</v>
      </c>
      <c r="D233" s="512">
        <f t="shared" si="10"/>
        <v>5.1916666666666667E-2</v>
      </c>
      <c r="E233" s="261">
        <f t="shared" si="11"/>
        <v>1.1650000000000001E-2</v>
      </c>
    </row>
    <row r="234" spans="1:5" ht="12.75" x14ac:dyDescent="0.2">
      <c r="A234" s="259" t="s">
        <v>1055</v>
      </c>
      <c r="B234" s="1" t="s">
        <v>785</v>
      </c>
      <c r="C234" s="1" t="str">
        <f t="shared" si="9"/>
        <v>Calpine - Sierra</v>
      </c>
      <c r="D234" s="512">
        <f t="shared" si="10"/>
        <v>5.2250000000000005E-2</v>
      </c>
      <c r="E234" s="261">
        <f t="shared" si="11"/>
        <v>0.01</v>
      </c>
    </row>
    <row r="235" spans="1:5" ht="12.75" x14ac:dyDescent="0.2">
      <c r="A235" s="259" t="s">
        <v>1056</v>
      </c>
      <c r="B235" s="1" t="s">
        <v>895</v>
      </c>
      <c r="C235" s="1" t="str">
        <f t="shared" si="9"/>
        <v>Calwa - Fresno</v>
      </c>
      <c r="D235" s="512">
        <f t="shared" si="10"/>
        <v>8.0416666666666664E-2</v>
      </c>
      <c r="E235" s="261">
        <f t="shared" si="11"/>
        <v>1.2110000000000001E-2</v>
      </c>
    </row>
    <row r="236" spans="1:5" ht="12.75" x14ac:dyDescent="0.2">
      <c r="A236" s="259" t="s">
        <v>1057</v>
      </c>
      <c r="B236" s="1" t="s">
        <v>1058</v>
      </c>
      <c r="C236" s="1" t="str">
        <f t="shared" si="9"/>
        <v>Camarillo - Ventura</v>
      </c>
      <c r="D236" s="512">
        <f t="shared" si="10"/>
        <v>4.7250000000000007E-2</v>
      </c>
      <c r="E236" s="261">
        <f t="shared" si="11"/>
        <v>1.098E-2</v>
      </c>
    </row>
    <row r="237" spans="1:5" ht="12.75" x14ac:dyDescent="0.2">
      <c r="A237" s="259" t="s">
        <v>1059</v>
      </c>
      <c r="B237" s="1" t="s">
        <v>735</v>
      </c>
      <c r="C237" s="1" t="str">
        <f t="shared" si="9"/>
        <v>Cambria - San Luis Obispo</v>
      </c>
      <c r="D237" s="512">
        <f t="shared" si="10"/>
        <v>3.8833333333333331E-2</v>
      </c>
      <c r="E237" s="261">
        <f t="shared" si="11"/>
        <v>1.085E-2</v>
      </c>
    </row>
    <row r="238" spans="1:5" ht="12.75" x14ac:dyDescent="0.2">
      <c r="A238" s="259" t="s">
        <v>1060</v>
      </c>
      <c r="B238" s="1" t="s">
        <v>788</v>
      </c>
      <c r="C238" s="1" t="str">
        <f t="shared" si="9"/>
        <v>Cambrian Park - Santa Clara</v>
      </c>
      <c r="D238" s="512">
        <f t="shared" si="10"/>
        <v>4.0750000000000001E-2</v>
      </c>
      <c r="E238" s="261">
        <f t="shared" si="11"/>
        <v>1.2110000000000001E-2</v>
      </c>
    </row>
    <row r="239" spans="1:5" ht="12.75" x14ac:dyDescent="0.2">
      <c r="A239" s="259" t="s">
        <v>1061</v>
      </c>
      <c r="B239" s="1" t="s">
        <v>762</v>
      </c>
      <c r="C239" s="1" t="str">
        <f t="shared" si="9"/>
        <v>Cameron Park - El Dorado</v>
      </c>
      <c r="D239" s="512">
        <f t="shared" si="10"/>
        <v>4.466666666666666E-2</v>
      </c>
      <c r="E239" s="261">
        <f t="shared" si="11"/>
        <v>1.0660000000000001E-2</v>
      </c>
    </row>
    <row r="240" spans="1:5" ht="12.75" x14ac:dyDescent="0.2">
      <c r="A240" s="259" t="s">
        <v>1062</v>
      </c>
      <c r="B240" s="1" t="s">
        <v>762</v>
      </c>
      <c r="C240" s="1" t="str">
        <f t="shared" si="9"/>
        <v>Camino - El Dorado</v>
      </c>
      <c r="D240" s="512">
        <f t="shared" si="10"/>
        <v>4.466666666666666E-2</v>
      </c>
      <c r="E240" s="261">
        <f t="shared" si="11"/>
        <v>1.0660000000000001E-2</v>
      </c>
    </row>
    <row r="241" spans="1:5" ht="12.75" x14ac:dyDescent="0.2">
      <c r="A241" s="259" t="s">
        <v>1063</v>
      </c>
      <c r="B241" s="1" t="s">
        <v>932</v>
      </c>
      <c r="C241" s="1" t="str">
        <f t="shared" si="9"/>
        <v>Camp Beale - Yuba</v>
      </c>
      <c r="D241" s="512">
        <f t="shared" si="10"/>
        <v>7.2416666666666657E-2</v>
      </c>
      <c r="E241" s="261">
        <f t="shared" si="11"/>
        <v>1.102E-2</v>
      </c>
    </row>
    <row r="242" spans="1:5" ht="12.75" x14ac:dyDescent="0.2">
      <c r="A242" s="259" t="s">
        <v>1064</v>
      </c>
      <c r="B242" s="1" t="s">
        <v>810</v>
      </c>
      <c r="C242" s="1" t="str">
        <f t="shared" si="9"/>
        <v>Camp Connell - Calaveras</v>
      </c>
      <c r="D242" s="512">
        <f t="shared" si="10"/>
        <v>4.7166666666666662E-2</v>
      </c>
      <c r="E242" s="261">
        <f t="shared" si="11"/>
        <v>1.0920000000000001E-2</v>
      </c>
    </row>
    <row r="243" spans="1:5" ht="12.75" x14ac:dyDescent="0.2">
      <c r="A243" s="259" t="s">
        <v>1065</v>
      </c>
      <c r="B243" s="1" t="s">
        <v>935</v>
      </c>
      <c r="C243" s="1" t="str">
        <f t="shared" si="9"/>
        <v>Camp Curry - Mariposa</v>
      </c>
      <c r="D243" s="512">
        <f t="shared" si="10"/>
        <v>5.2833333333333329E-2</v>
      </c>
      <c r="E243" s="261">
        <f t="shared" si="11"/>
        <v>1.0369999999999999E-2</v>
      </c>
    </row>
    <row r="244" spans="1:5" ht="12.75" x14ac:dyDescent="0.2">
      <c r="A244" s="259" t="s">
        <v>1066</v>
      </c>
      <c r="B244" s="1" t="s">
        <v>798</v>
      </c>
      <c r="C244" s="1" t="str">
        <f t="shared" si="9"/>
        <v>Camp Kaweah - Tulare</v>
      </c>
      <c r="D244" s="512">
        <f t="shared" si="10"/>
        <v>0.10691666666666669</v>
      </c>
      <c r="E244" s="261">
        <f t="shared" si="11"/>
        <v>1.0869999999999999E-2</v>
      </c>
    </row>
    <row r="245" spans="1:5" ht="12.75" x14ac:dyDescent="0.2">
      <c r="A245" s="259" t="s">
        <v>1067</v>
      </c>
      <c r="B245" s="1" t="s">
        <v>748</v>
      </c>
      <c r="C245" s="1" t="str">
        <f t="shared" si="9"/>
        <v>Camp Meeker - Sonoma</v>
      </c>
      <c r="D245" s="512">
        <f t="shared" si="10"/>
        <v>4.0583333333333325E-2</v>
      </c>
      <c r="E245" s="261">
        <f t="shared" si="11"/>
        <v>1.133E-2</v>
      </c>
    </row>
    <row r="246" spans="1:5" ht="12.75" x14ac:dyDescent="0.2">
      <c r="A246" s="259" t="s">
        <v>1068</v>
      </c>
      <c r="B246" s="1" t="s">
        <v>798</v>
      </c>
      <c r="C246" s="1" t="str">
        <f t="shared" si="9"/>
        <v>Camp Nelson - Tulare</v>
      </c>
      <c r="D246" s="512">
        <f t="shared" si="10"/>
        <v>0.10691666666666669</v>
      </c>
      <c r="E246" s="261">
        <f t="shared" si="11"/>
        <v>1.0869999999999999E-2</v>
      </c>
    </row>
    <row r="247" spans="1:5" ht="12.75" x14ac:dyDescent="0.2">
      <c r="A247" s="259" t="s">
        <v>1069</v>
      </c>
      <c r="B247" s="1" t="s">
        <v>751</v>
      </c>
      <c r="C247" s="1" t="str">
        <f t="shared" si="9"/>
        <v>Camp Pendleton - San Diego</v>
      </c>
      <c r="D247" s="512">
        <f t="shared" si="10"/>
        <v>4.4750000000000005E-2</v>
      </c>
      <c r="E247" s="261">
        <f t="shared" si="11"/>
        <v>1.167E-2</v>
      </c>
    </row>
    <row r="248" spans="1:5" ht="12.75" x14ac:dyDescent="0.2">
      <c r="A248" s="259" t="s">
        <v>1070</v>
      </c>
      <c r="B248" s="1" t="s">
        <v>876</v>
      </c>
      <c r="C248" s="1" t="str">
        <f t="shared" si="9"/>
        <v>Camp Roberts - Monterey</v>
      </c>
      <c r="D248" s="512">
        <f t="shared" si="10"/>
        <v>7.425000000000001E-2</v>
      </c>
      <c r="E248" s="261">
        <f t="shared" si="11"/>
        <v>1.098E-2</v>
      </c>
    </row>
    <row r="249" spans="1:5" ht="12.75" x14ac:dyDescent="0.2">
      <c r="A249" s="259" t="s">
        <v>1071</v>
      </c>
      <c r="B249" s="1" t="s">
        <v>788</v>
      </c>
      <c r="C249" s="1" t="str">
        <f t="shared" si="9"/>
        <v>Campbell - Santa Clara</v>
      </c>
      <c r="D249" s="512">
        <f t="shared" si="10"/>
        <v>4.0750000000000001E-2</v>
      </c>
      <c r="E249" s="261">
        <f t="shared" si="11"/>
        <v>1.2110000000000001E-2</v>
      </c>
    </row>
    <row r="250" spans="1:5" ht="12.75" x14ac:dyDescent="0.2">
      <c r="A250" s="259" t="s">
        <v>1072</v>
      </c>
      <c r="B250" s="1" t="s">
        <v>751</v>
      </c>
      <c r="C250" s="1" t="str">
        <f t="shared" si="9"/>
        <v>Campo - San Diego</v>
      </c>
      <c r="D250" s="512">
        <f t="shared" si="10"/>
        <v>4.4750000000000005E-2</v>
      </c>
      <c r="E250" s="261">
        <f t="shared" si="11"/>
        <v>1.167E-2</v>
      </c>
    </row>
    <row r="251" spans="1:5" ht="12.75" x14ac:dyDescent="0.2">
      <c r="A251" s="259" t="s">
        <v>1073</v>
      </c>
      <c r="B251" s="1" t="s">
        <v>810</v>
      </c>
      <c r="C251" s="1" t="str">
        <f t="shared" si="9"/>
        <v>Campo Seco - Calaveras</v>
      </c>
      <c r="D251" s="512">
        <f t="shared" si="10"/>
        <v>4.7166666666666662E-2</v>
      </c>
      <c r="E251" s="261">
        <f t="shared" si="11"/>
        <v>1.0920000000000001E-2</v>
      </c>
    </row>
    <row r="252" spans="1:5" ht="12.75" x14ac:dyDescent="0.2">
      <c r="A252" s="259" t="s">
        <v>1074</v>
      </c>
      <c r="B252" s="1" t="s">
        <v>932</v>
      </c>
      <c r="C252" s="1" t="str">
        <f t="shared" si="9"/>
        <v>Camptonville - Yuba</v>
      </c>
      <c r="D252" s="512">
        <f t="shared" si="10"/>
        <v>7.2416666666666657E-2</v>
      </c>
      <c r="E252" s="261">
        <f t="shared" si="11"/>
        <v>1.102E-2</v>
      </c>
    </row>
    <row r="253" spans="1:5" ht="12.75" x14ac:dyDescent="0.2">
      <c r="A253" s="259" t="s">
        <v>1075</v>
      </c>
      <c r="B253" s="1" t="s">
        <v>741</v>
      </c>
      <c r="C253" s="1" t="str">
        <f t="shared" si="9"/>
        <v>Canby - Modoc</v>
      </c>
      <c r="D253" s="512">
        <f t="shared" si="10"/>
        <v>6.8499999999999991E-2</v>
      </c>
      <c r="E253" s="261">
        <f t="shared" si="11"/>
        <v>0.01</v>
      </c>
    </row>
    <row r="254" spans="1:5" ht="12.75" x14ac:dyDescent="0.2">
      <c r="A254" s="259" t="s">
        <v>1076</v>
      </c>
      <c r="B254" s="1" t="s">
        <v>732</v>
      </c>
      <c r="C254" s="1" t="str">
        <f t="shared" si="9"/>
        <v>Canoga Annex - Los Angeles</v>
      </c>
      <c r="D254" s="512">
        <f t="shared" si="10"/>
        <v>5.4833333333333331E-2</v>
      </c>
      <c r="E254" s="261">
        <f t="shared" si="11"/>
        <v>1.1599999999999999E-2</v>
      </c>
    </row>
    <row r="255" spans="1:5" ht="12.75" x14ac:dyDescent="0.2">
      <c r="A255" s="259" t="s">
        <v>1077</v>
      </c>
      <c r="B255" s="1" t="s">
        <v>732</v>
      </c>
      <c r="C255" s="1" t="str">
        <f t="shared" si="9"/>
        <v>Canoga Park - Los Angeles</v>
      </c>
      <c r="D255" s="512">
        <f t="shared" si="10"/>
        <v>5.4833333333333331E-2</v>
      </c>
      <c r="E255" s="261">
        <f t="shared" si="11"/>
        <v>1.1599999999999999E-2</v>
      </c>
    </row>
    <row r="256" spans="1:5" ht="12.75" x14ac:dyDescent="0.2">
      <c r="A256" s="259" t="s">
        <v>1078</v>
      </c>
      <c r="B256" s="1" t="s">
        <v>884</v>
      </c>
      <c r="C256" s="1" t="str">
        <f t="shared" si="9"/>
        <v>Cantil - Kern</v>
      </c>
      <c r="D256" s="512">
        <f t="shared" si="10"/>
        <v>8.9333333333333334E-2</v>
      </c>
      <c r="E256" s="261">
        <f t="shared" si="11"/>
        <v>1.238E-2</v>
      </c>
    </row>
    <row r="257" spans="1:5" ht="12.75" x14ac:dyDescent="0.2">
      <c r="A257" s="259" t="s">
        <v>1079</v>
      </c>
      <c r="B257" s="1" t="s">
        <v>895</v>
      </c>
      <c r="C257" s="1" t="str">
        <f t="shared" si="9"/>
        <v>Cantua Creek - Fresno</v>
      </c>
      <c r="D257" s="512">
        <f t="shared" si="10"/>
        <v>8.0416666666666664E-2</v>
      </c>
      <c r="E257" s="261">
        <f t="shared" si="11"/>
        <v>1.2110000000000001E-2</v>
      </c>
    </row>
    <row r="258" spans="1:5" ht="12.75" x14ac:dyDescent="0.2">
      <c r="A258" s="259" t="s">
        <v>1080</v>
      </c>
      <c r="B258" s="1" t="s">
        <v>767</v>
      </c>
      <c r="C258" s="1" t="str">
        <f t="shared" si="9"/>
        <v>Canyon - Contra Costa</v>
      </c>
      <c r="D258" s="512">
        <f t="shared" si="10"/>
        <v>4.7250000000000007E-2</v>
      </c>
      <c r="E258" s="261">
        <f t="shared" si="11"/>
        <v>1.163E-2</v>
      </c>
    </row>
    <row r="259" spans="1:5" ht="12.75" x14ac:dyDescent="0.2">
      <c r="A259" s="259" t="s">
        <v>1081</v>
      </c>
      <c r="B259" s="1" t="s">
        <v>732</v>
      </c>
      <c r="C259" s="1" t="str">
        <f t="shared" si="9"/>
        <v>Canyon Country - Los Angeles</v>
      </c>
      <c r="D259" s="512">
        <f t="shared" si="10"/>
        <v>5.4833333333333331E-2</v>
      </c>
      <c r="E259" s="261">
        <f t="shared" si="11"/>
        <v>1.1599999999999999E-2</v>
      </c>
    </row>
    <row r="260" spans="1:5" ht="12.75" x14ac:dyDescent="0.2">
      <c r="A260" s="259" t="s">
        <v>1082</v>
      </c>
      <c r="B260" s="1" t="s">
        <v>756</v>
      </c>
      <c r="C260" s="1" t="str">
        <f t="shared" si="9"/>
        <v>Canyon Lake - Riverside</v>
      </c>
      <c r="D260" s="512">
        <f t="shared" si="10"/>
        <v>5.3749999999999999E-2</v>
      </c>
      <c r="E260" s="261">
        <f t="shared" si="11"/>
        <v>1.1859999999999999E-2</v>
      </c>
    </row>
    <row r="261" spans="1:5" ht="12.75" x14ac:dyDescent="0.2">
      <c r="A261" s="259" t="s">
        <v>1083</v>
      </c>
      <c r="B261" s="1" t="s">
        <v>791</v>
      </c>
      <c r="C261" s="1" t="str">
        <f t="shared" si="9"/>
        <v>Canyondam - Plumas</v>
      </c>
      <c r="D261" s="512">
        <f t="shared" si="10"/>
        <v>7.7250000000000013E-2</v>
      </c>
      <c r="E261" s="261">
        <f t="shared" si="11"/>
        <v>1.099E-2</v>
      </c>
    </row>
    <row r="262" spans="1:5" ht="12.75" x14ac:dyDescent="0.2">
      <c r="A262" s="259" t="s">
        <v>1084</v>
      </c>
      <c r="B262" s="1" t="s">
        <v>1018</v>
      </c>
      <c r="C262" s="1" t="str">
        <f t="shared" si="9"/>
        <v>Capay - Yolo</v>
      </c>
      <c r="D262" s="512">
        <f t="shared" si="10"/>
        <v>5.2666666666666667E-2</v>
      </c>
      <c r="E262" s="261">
        <f t="shared" si="11"/>
        <v>1.11E-2</v>
      </c>
    </row>
    <row r="263" spans="1:5" ht="12.75" x14ac:dyDescent="0.2">
      <c r="A263" s="259" t="s">
        <v>1085</v>
      </c>
      <c r="B263" s="1" t="s">
        <v>782</v>
      </c>
      <c r="C263" s="1" t="str">
        <f t="shared" si="9"/>
        <v>Capistrano Beach - Orange</v>
      </c>
      <c r="D263" s="512">
        <f t="shared" si="10"/>
        <v>3.9749999999999994E-2</v>
      </c>
      <c r="E263" s="261">
        <f t="shared" si="11"/>
        <v>1.0660000000000001E-2</v>
      </c>
    </row>
    <row r="264" spans="1:5" ht="12.75" x14ac:dyDescent="0.2">
      <c r="A264" s="259" t="s">
        <v>1086</v>
      </c>
      <c r="B264" s="1" t="s">
        <v>856</v>
      </c>
      <c r="C264" s="1" t="str">
        <f t="shared" ref="C264:C327" si="12">A264&amp;" - "&amp;B264</f>
        <v>Capitola - Santa Cruz</v>
      </c>
      <c r="D264" s="512">
        <f t="shared" si="10"/>
        <v>6.2416666666666669E-2</v>
      </c>
      <c r="E264" s="261">
        <f t="shared" si="11"/>
        <v>1.106E-2</v>
      </c>
    </row>
    <row r="265" spans="1:5" ht="12.75" x14ac:dyDescent="0.2">
      <c r="A265" s="259" t="s">
        <v>1087</v>
      </c>
      <c r="B265" s="1" t="s">
        <v>751</v>
      </c>
      <c r="C265" s="1" t="str">
        <f t="shared" si="12"/>
        <v>Cardiff By The Sea  - San Diego</v>
      </c>
      <c r="D265" s="512">
        <f t="shared" ref="D265:D328" si="13">VLOOKUP(B265,unemployment_rates,2, FALSE)</f>
        <v>4.4750000000000005E-2</v>
      </c>
      <c r="E265" s="261">
        <f t="shared" ref="E265:E328" si="14">VLOOKUP(B265,Prop_Tax_Rates,2,FALSE)</f>
        <v>1.167E-2</v>
      </c>
    </row>
    <row r="266" spans="1:5" ht="12.75" x14ac:dyDescent="0.2">
      <c r="A266" s="259" t="s">
        <v>1088</v>
      </c>
      <c r="B266" s="1" t="s">
        <v>895</v>
      </c>
      <c r="C266" s="1" t="str">
        <f t="shared" si="12"/>
        <v>Cardwell - Fresno</v>
      </c>
      <c r="D266" s="512">
        <f t="shared" si="13"/>
        <v>8.0416666666666664E-2</v>
      </c>
      <c r="E266" s="261">
        <f t="shared" si="14"/>
        <v>1.2110000000000001E-2</v>
      </c>
    </row>
    <row r="267" spans="1:5" ht="12.75" x14ac:dyDescent="0.2">
      <c r="A267" s="259" t="s">
        <v>1089</v>
      </c>
      <c r="B267" s="1" t="s">
        <v>777</v>
      </c>
      <c r="C267" s="1" t="str">
        <f t="shared" si="12"/>
        <v>Carlotta - Humboldt</v>
      </c>
      <c r="D267" s="512">
        <f t="shared" si="13"/>
        <v>5.1583333333333321E-2</v>
      </c>
      <c r="E267" s="261">
        <f t="shared" si="14"/>
        <v>1.115E-2</v>
      </c>
    </row>
    <row r="268" spans="1:5" ht="12.75" x14ac:dyDescent="0.2">
      <c r="A268" s="259" t="s">
        <v>1090</v>
      </c>
      <c r="B268" s="1" t="s">
        <v>751</v>
      </c>
      <c r="C268" s="1" t="str">
        <f t="shared" si="12"/>
        <v>Carlsbad - San Diego</v>
      </c>
      <c r="D268" s="512">
        <f t="shared" si="13"/>
        <v>4.4750000000000005E-2</v>
      </c>
      <c r="E268" s="261">
        <f t="shared" si="14"/>
        <v>1.167E-2</v>
      </c>
    </row>
    <row r="269" spans="1:5" ht="12.75" x14ac:dyDescent="0.2">
      <c r="A269" s="259" t="s">
        <v>1091</v>
      </c>
      <c r="B269" s="1" t="s">
        <v>876</v>
      </c>
      <c r="C269" s="1" t="str">
        <f t="shared" si="12"/>
        <v>Carmel - Monterey</v>
      </c>
      <c r="D269" s="512">
        <f t="shared" si="13"/>
        <v>7.425000000000001E-2</v>
      </c>
      <c r="E269" s="261">
        <f t="shared" si="14"/>
        <v>1.098E-2</v>
      </c>
    </row>
    <row r="270" spans="1:5" ht="12.75" x14ac:dyDescent="0.2">
      <c r="A270" s="259" t="s">
        <v>1092</v>
      </c>
      <c r="B270" s="1" t="s">
        <v>876</v>
      </c>
      <c r="C270" s="1" t="str">
        <f t="shared" si="12"/>
        <v>Carmel Rancho - Monterey</v>
      </c>
      <c r="D270" s="512">
        <f t="shared" si="13"/>
        <v>7.425000000000001E-2</v>
      </c>
      <c r="E270" s="261">
        <f t="shared" si="14"/>
        <v>1.098E-2</v>
      </c>
    </row>
    <row r="271" spans="1:5" ht="12.75" x14ac:dyDescent="0.2">
      <c r="A271" s="259" t="s">
        <v>1093</v>
      </c>
      <c r="B271" s="1" t="s">
        <v>876</v>
      </c>
      <c r="C271" s="1" t="str">
        <f t="shared" si="12"/>
        <v>Carmel Valley - Monterey</v>
      </c>
      <c r="D271" s="512">
        <f t="shared" si="13"/>
        <v>7.425000000000001E-2</v>
      </c>
      <c r="E271" s="261">
        <f t="shared" si="14"/>
        <v>1.098E-2</v>
      </c>
    </row>
    <row r="272" spans="1:5" ht="12.75" x14ac:dyDescent="0.2">
      <c r="A272" s="259" t="s">
        <v>1094</v>
      </c>
      <c r="B272" s="1" t="s">
        <v>843</v>
      </c>
      <c r="C272" s="1" t="str">
        <f t="shared" si="12"/>
        <v>Carmichael - Sacramento</v>
      </c>
      <c r="D272" s="512">
        <f t="shared" si="13"/>
        <v>4.8833333333333326E-2</v>
      </c>
      <c r="E272" s="261">
        <f t="shared" si="14"/>
        <v>1.1519999999999999E-2</v>
      </c>
    </row>
    <row r="273" spans="1:5" ht="12.75" x14ac:dyDescent="0.2">
      <c r="A273" s="259" t="s">
        <v>1095</v>
      </c>
      <c r="B273" s="1" t="s">
        <v>803</v>
      </c>
      <c r="C273" s="1" t="str">
        <f t="shared" si="12"/>
        <v>Carnelian Bay - Placer</v>
      </c>
      <c r="D273" s="512">
        <f t="shared" si="13"/>
        <v>4.1833333333333347E-2</v>
      </c>
      <c r="E273" s="261">
        <f t="shared" si="14"/>
        <v>1.0880000000000001E-2</v>
      </c>
    </row>
    <row r="274" spans="1:5" ht="12.75" x14ac:dyDescent="0.2">
      <c r="A274" s="259" t="s">
        <v>1096</v>
      </c>
      <c r="B274" s="1" t="s">
        <v>911</v>
      </c>
      <c r="C274" s="1" t="str">
        <f t="shared" si="12"/>
        <v>Carpinteria - Santa Barbara</v>
      </c>
      <c r="D274" s="512">
        <f t="shared" si="13"/>
        <v>4.5333333333333344E-2</v>
      </c>
      <c r="E274" s="261">
        <f t="shared" si="14"/>
        <v>1.0740000000000001E-2</v>
      </c>
    </row>
    <row r="275" spans="1:5" ht="12.75" x14ac:dyDescent="0.2">
      <c r="A275" s="259" t="s">
        <v>1097</v>
      </c>
      <c r="B275" s="1" t="s">
        <v>732</v>
      </c>
      <c r="C275" s="1" t="str">
        <f t="shared" si="12"/>
        <v>Carson - Los Angeles</v>
      </c>
      <c r="D275" s="512">
        <f t="shared" si="13"/>
        <v>5.4833333333333331E-2</v>
      </c>
      <c r="E275" s="261">
        <f t="shared" si="14"/>
        <v>1.1599999999999999E-2</v>
      </c>
    </row>
    <row r="276" spans="1:5" ht="12.75" x14ac:dyDescent="0.2">
      <c r="A276" s="259" t="s">
        <v>1098</v>
      </c>
      <c r="B276" s="1" t="s">
        <v>822</v>
      </c>
      <c r="C276" s="1" t="str">
        <f t="shared" si="12"/>
        <v>Cartago - Inyo</v>
      </c>
      <c r="D276" s="512">
        <f t="shared" si="13"/>
        <v>3.9833333333333339E-2</v>
      </c>
      <c r="E276" s="261">
        <f t="shared" si="14"/>
        <v>1.065E-2</v>
      </c>
    </row>
    <row r="277" spans="1:5" ht="12.75" x14ac:dyDescent="0.2">
      <c r="A277" s="259" t="s">
        <v>1099</v>
      </c>
      <c r="B277" s="1" t="s">
        <v>895</v>
      </c>
      <c r="C277" s="1" t="str">
        <f t="shared" si="12"/>
        <v>Caruthers - Fresno</v>
      </c>
      <c r="D277" s="512">
        <f t="shared" si="13"/>
        <v>8.0416666666666664E-2</v>
      </c>
      <c r="E277" s="261">
        <f t="shared" si="14"/>
        <v>1.2110000000000001E-2</v>
      </c>
    </row>
    <row r="278" spans="1:5" ht="12.75" x14ac:dyDescent="0.2">
      <c r="A278" s="259" t="s">
        <v>1100</v>
      </c>
      <c r="B278" s="1" t="s">
        <v>1058</v>
      </c>
      <c r="C278" s="1" t="str">
        <f t="shared" si="12"/>
        <v>Casitas Springs - Ventura</v>
      </c>
      <c r="D278" s="512">
        <f t="shared" si="13"/>
        <v>4.7250000000000007E-2</v>
      </c>
      <c r="E278" s="261">
        <f t="shared" si="14"/>
        <v>1.098E-2</v>
      </c>
    </row>
    <row r="279" spans="1:5" ht="12.75" x14ac:dyDescent="0.2">
      <c r="A279" s="259" t="s">
        <v>1101</v>
      </c>
      <c r="B279" s="1" t="s">
        <v>911</v>
      </c>
      <c r="C279" s="1" t="str">
        <f t="shared" si="12"/>
        <v>Casmalia - Santa Barbara</v>
      </c>
      <c r="D279" s="512">
        <f t="shared" si="13"/>
        <v>4.5333333333333344E-2</v>
      </c>
      <c r="E279" s="261">
        <f t="shared" si="14"/>
        <v>1.0740000000000001E-2</v>
      </c>
    </row>
    <row r="280" spans="1:5" ht="12.75" x14ac:dyDescent="0.2">
      <c r="A280" s="259" t="s">
        <v>1102</v>
      </c>
      <c r="B280" s="1" t="s">
        <v>774</v>
      </c>
      <c r="C280" s="1" t="str">
        <f t="shared" si="12"/>
        <v>Caspar - Mendocino</v>
      </c>
      <c r="D280" s="512">
        <f t="shared" si="13"/>
        <v>5.1916666666666667E-2</v>
      </c>
      <c r="E280" s="261">
        <f t="shared" si="14"/>
        <v>1.1650000000000001E-2</v>
      </c>
    </row>
    <row r="281" spans="1:5" ht="12.75" x14ac:dyDescent="0.2">
      <c r="A281" s="259" t="s">
        <v>1103</v>
      </c>
      <c r="B281" s="1" t="s">
        <v>832</v>
      </c>
      <c r="C281" s="1" t="str">
        <f t="shared" si="12"/>
        <v>Cassel - Shasta</v>
      </c>
      <c r="D281" s="512">
        <f t="shared" si="13"/>
        <v>5.6416666666666657E-2</v>
      </c>
      <c r="E281" s="261">
        <f t="shared" si="14"/>
        <v>1.099E-2</v>
      </c>
    </row>
    <row r="282" spans="1:5" ht="12.75" x14ac:dyDescent="0.2">
      <c r="A282" s="259" t="s">
        <v>1104</v>
      </c>
      <c r="B282" s="1" t="s">
        <v>732</v>
      </c>
      <c r="C282" s="1" t="str">
        <f t="shared" si="12"/>
        <v>Castaic - Los Angeles</v>
      </c>
      <c r="D282" s="512">
        <f t="shared" si="13"/>
        <v>5.4833333333333331E-2</v>
      </c>
      <c r="E282" s="261">
        <f t="shared" si="14"/>
        <v>1.1599999999999999E-2</v>
      </c>
    </row>
    <row r="283" spans="1:5" ht="12.75" x14ac:dyDescent="0.2">
      <c r="A283" s="259" t="s">
        <v>1105</v>
      </c>
      <c r="B283" s="1" t="s">
        <v>832</v>
      </c>
      <c r="C283" s="1" t="str">
        <f t="shared" si="12"/>
        <v>Castella - Shasta</v>
      </c>
      <c r="D283" s="512">
        <f t="shared" si="13"/>
        <v>5.6416666666666657E-2</v>
      </c>
      <c r="E283" s="261">
        <f t="shared" si="14"/>
        <v>1.099E-2</v>
      </c>
    </row>
    <row r="284" spans="1:5" ht="12.75" x14ac:dyDescent="0.2">
      <c r="A284" s="259" t="s">
        <v>1106</v>
      </c>
      <c r="B284" s="1" t="s">
        <v>892</v>
      </c>
      <c r="C284" s="1" t="str">
        <f t="shared" si="12"/>
        <v>Castle A.F.B. - Merced</v>
      </c>
      <c r="D284" s="512">
        <f t="shared" si="13"/>
        <v>9.6416666666666678E-2</v>
      </c>
      <c r="E284" s="261">
        <f t="shared" si="14"/>
        <v>1.0829999999999999E-2</v>
      </c>
    </row>
    <row r="285" spans="1:5" ht="12.75" x14ac:dyDescent="0.2">
      <c r="A285" s="259" t="s">
        <v>1107</v>
      </c>
      <c r="B285" s="1" t="s">
        <v>764</v>
      </c>
      <c r="C285" s="1" t="str">
        <f t="shared" si="12"/>
        <v>Castro Valley - Alameda</v>
      </c>
      <c r="D285" s="512">
        <f t="shared" si="13"/>
        <v>4.7E-2</v>
      </c>
      <c r="E285" s="261">
        <f t="shared" si="14"/>
        <v>1.2430000000000002E-2</v>
      </c>
    </row>
    <row r="286" spans="1:5" ht="12.75" x14ac:dyDescent="0.2">
      <c r="A286" s="259" t="s">
        <v>1108</v>
      </c>
      <c r="B286" s="1" t="s">
        <v>876</v>
      </c>
      <c r="C286" s="1" t="str">
        <f t="shared" si="12"/>
        <v>Castroville - Monterey</v>
      </c>
      <c r="D286" s="512">
        <f t="shared" si="13"/>
        <v>7.425000000000001E-2</v>
      </c>
      <c r="E286" s="261">
        <f t="shared" si="14"/>
        <v>1.098E-2</v>
      </c>
    </row>
    <row r="287" spans="1:5" ht="12.75" x14ac:dyDescent="0.2">
      <c r="A287" s="259" t="s">
        <v>1109</v>
      </c>
      <c r="B287" s="1" t="s">
        <v>756</v>
      </c>
      <c r="C287" s="1" t="str">
        <f t="shared" si="12"/>
        <v>Cathedral City - Riverside</v>
      </c>
      <c r="D287" s="512">
        <f t="shared" si="13"/>
        <v>5.3749999999999999E-2</v>
      </c>
      <c r="E287" s="261">
        <f t="shared" si="14"/>
        <v>1.1859999999999999E-2</v>
      </c>
    </row>
    <row r="288" spans="1:5" ht="12.75" x14ac:dyDescent="0.2">
      <c r="A288" s="259" t="s">
        <v>1110</v>
      </c>
      <c r="B288" s="1" t="s">
        <v>935</v>
      </c>
      <c r="C288" s="1" t="str">
        <f t="shared" si="12"/>
        <v>Catheys Valley - Mariposa</v>
      </c>
      <c r="D288" s="512">
        <f t="shared" si="13"/>
        <v>5.2833333333333329E-2</v>
      </c>
      <c r="E288" s="261">
        <f t="shared" si="14"/>
        <v>1.0369999999999999E-2</v>
      </c>
    </row>
    <row r="289" spans="1:5" ht="12.75" x14ac:dyDescent="0.2">
      <c r="A289" s="259" t="s">
        <v>1111</v>
      </c>
      <c r="B289" s="1" t="s">
        <v>735</v>
      </c>
      <c r="C289" s="1" t="str">
        <f t="shared" si="12"/>
        <v>Cayucos - San Luis Obispo</v>
      </c>
      <c r="D289" s="512">
        <f t="shared" si="13"/>
        <v>3.8833333333333331E-2</v>
      </c>
      <c r="E289" s="261">
        <f t="shared" si="14"/>
        <v>1.085E-2</v>
      </c>
    </row>
    <row r="290" spans="1:5" ht="12.75" x14ac:dyDescent="0.2">
      <c r="A290" s="259" t="s">
        <v>1112</v>
      </c>
      <c r="B290" s="1" t="s">
        <v>748</v>
      </c>
      <c r="C290" s="1" t="str">
        <f t="shared" si="12"/>
        <v>Cazadero - Sonoma</v>
      </c>
      <c r="D290" s="512">
        <f t="shared" si="13"/>
        <v>4.0583333333333325E-2</v>
      </c>
      <c r="E290" s="261">
        <f t="shared" si="14"/>
        <v>1.133E-2</v>
      </c>
    </row>
    <row r="291" spans="1:5" ht="12.75" x14ac:dyDescent="0.2">
      <c r="A291" s="259" t="s">
        <v>1113</v>
      </c>
      <c r="B291" s="1" t="s">
        <v>1053</v>
      </c>
      <c r="C291" s="1" t="str">
        <f t="shared" si="12"/>
        <v>Cecilville - Siskiyou</v>
      </c>
      <c r="D291" s="512">
        <f t="shared" si="13"/>
        <v>6.883333333333333E-2</v>
      </c>
      <c r="E291" s="261">
        <f t="shared" si="14"/>
        <v>1.0460000000000001E-2</v>
      </c>
    </row>
    <row r="292" spans="1:5" ht="12.75" x14ac:dyDescent="0.2">
      <c r="A292" s="259" t="s">
        <v>1114</v>
      </c>
      <c r="B292" s="1" t="s">
        <v>732</v>
      </c>
      <c r="C292" s="1" t="str">
        <f t="shared" si="12"/>
        <v>Cedar - Los Angeles</v>
      </c>
      <c r="D292" s="512">
        <f t="shared" si="13"/>
        <v>5.4833333333333331E-2</v>
      </c>
      <c r="E292" s="261">
        <f t="shared" si="14"/>
        <v>1.1599999999999999E-2</v>
      </c>
    </row>
    <row r="293" spans="1:5" ht="12.75" x14ac:dyDescent="0.2">
      <c r="A293" s="259" t="s">
        <v>1115</v>
      </c>
      <c r="B293" s="1" t="s">
        <v>895</v>
      </c>
      <c r="C293" s="1" t="str">
        <f t="shared" si="12"/>
        <v>Cedar Crest - Fresno</v>
      </c>
      <c r="D293" s="512">
        <f t="shared" si="13"/>
        <v>8.0416666666666664E-2</v>
      </c>
      <c r="E293" s="261">
        <f t="shared" si="14"/>
        <v>1.2110000000000001E-2</v>
      </c>
    </row>
    <row r="294" spans="1:5" ht="12.75" x14ac:dyDescent="0.2">
      <c r="A294" s="259" t="s">
        <v>1116</v>
      </c>
      <c r="B294" s="1" t="s">
        <v>738</v>
      </c>
      <c r="C294" s="1" t="str">
        <f t="shared" si="12"/>
        <v>Cedar Glen - San Bernardino</v>
      </c>
      <c r="D294" s="512">
        <f t="shared" si="13"/>
        <v>5.1583333333333342E-2</v>
      </c>
      <c r="E294" s="261">
        <f t="shared" si="14"/>
        <v>1.1379999999999999E-2</v>
      </c>
    </row>
    <row r="295" spans="1:5" ht="12.75" x14ac:dyDescent="0.2">
      <c r="A295" s="259" t="s">
        <v>1117</v>
      </c>
      <c r="B295" s="1" t="s">
        <v>1118</v>
      </c>
      <c r="C295" s="1" t="str">
        <f t="shared" si="12"/>
        <v>Cedar Ridge - Nevada</v>
      </c>
      <c r="D295" s="512">
        <f t="shared" si="13"/>
        <v>4.3166666666666673E-2</v>
      </c>
      <c r="E295" s="261">
        <f t="shared" si="14"/>
        <v>1.0620000000000001E-2</v>
      </c>
    </row>
    <row r="296" spans="1:5" ht="12.75" x14ac:dyDescent="0.2">
      <c r="A296" s="259" t="s">
        <v>1119</v>
      </c>
      <c r="B296" s="1" t="s">
        <v>738</v>
      </c>
      <c r="C296" s="1" t="str">
        <f t="shared" si="12"/>
        <v>Cedarpines Park - San Bernardino</v>
      </c>
      <c r="D296" s="512">
        <f t="shared" si="13"/>
        <v>5.1583333333333342E-2</v>
      </c>
      <c r="E296" s="261">
        <f t="shared" si="14"/>
        <v>1.1379999999999999E-2</v>
      </c>
    </row>
    <row r="297" spans="1:5" ht="12.75" x14ac:dyDescent="0.2">
      <c r="A297" s="259" t="s">
        <v>1120</v>
      </c>
      <c r="B297" s="1" t="s">
        <v>741</v>
      </c>
      <c r="C297" s="1" t="str">
        <f t="shared" si="12"/>
        <v>Cedarville - Modoc</v>
      </c>
      <c r="D297" s="512">
        <f t="shared" si="13"/>
        <v>6.8499999999999991E-2</v>
      </c>
      <c r="E297" s="261">
        <f t="shared" si="14"/>
        <v>0.01</v>
      </c>
    </row>
    <row r="298" spans="1:5" ht="12.75" x14ac:dyDescent="0.2">
      <c r="A298" s="259" t="s">
        <v>1121</v>
      </c>
      <c r="B298" s="1" t="s">
        <v>832</v>
      </c>
      <c r="C298" s="1" t="str">
        <f t="shared" si="12"/>
        <v>Central Valley - Shasta</v>
      </c>
      <c r="D298" s="512">
        <f t="shared" si="13"/>
        <v>5.6416666666666657E-2</v>
      </c>
      <c r="E298" s="261">
        <f t="shared" si="14"/>
        <v>1.099E-2</v>
      </c>
    </row>
    <row r="299" spans="1:5" ht="12.75" x14ac:dyDescent="0.2">
      <c r="A299" s="259" t="s">
        <v>1122</v>
      </c>
      <c r="B299" s="1" t="s">
        <v>732</v>
      </c>
      <c r="C299" s="1" t="str">
        <f t="shared" si="12"/>
        <v>Century City - Los Angeles</v>
      </c>
      <c r="D299" s="512">
        <f t="shared" si="13"/>
        <v>5.4833333333333331E-2</v>
      </c>
      <c r="E299" s="261">
        <f t="shared" si="14"/>
        <v>1.1599999999999999E-2</v>
      </c>
    </row>
    <row r="300" spans="1:5" ht="12.75" x14ac:dyDescent="0.2">
      <c r="A300" s="259" t="s">
        <v>1123</v>
      </c>
      <c r="B300" s="1" t="s">
        <v>1124</v>
      </c>
      <c r="C300" s="1" t="str">
        <f t="shared" si="12"/>
        <v>Ceres - Stanislaus</v>
      </c>
      <c r="D300" s="512">
        <f t="shared" si="13"/>
        <v>6.9833333333333331E-2</v>
      </c>
      <c r="E300" s="261">
        <f t="shared" si="14"/>
        <v>1.1080000000000001E-2</v>
      </c>
    </row>
    <row r="301" spans="1:5" ht="12.75" x14ac:dyDescent="0.2">
      <c r="A301" s="259" t="s">
        <v>1125</v>
      </c>
      <c r="B301" s="1" t="s">
        <v>732</v>
      </c>
      <c r="C301" s="1" t="str">
        <f t="shared" si="12"/>
        <v>Cerritos - Los Angeles</v>
      </c>
      <c r="D301" s="512">
        <f t="shared" si="13"/>
        <v>5.4833333333333331E-2</v>
      </c>
      <c r="E301" s="261">
        <f t="shared" si="14"/>
        <v>1.1599999999999999E-2</v>
      </c>
    </row>
    <row r="302" spans="1:5" ht="12.75" x14ac:dyDescent="0.2">
      <c r="A302" s="259" t="s">
        <v>1126</v>
      </c>
      <c r="B302" s="1" t="s">
        <v>932</v>
      </c>
      <c r="C302" s="1" t="str">
        <f t="shared" si="12"/>
        <v>Challenge - Yuba</v>
      </c>
      <c r="D302" s="512">
        <f t="shared" si="13"/>
        <v>7.2416666666666657E-2</v>
      </c>
      <c r="E302" s="261">
        <f t="shared" si="14"/>
        <v>1.102E-2</v>
      </c>
    </row>
    <row r="303" spans="1:5" ht="12.75" x14ac:dyDescent="0.2">
      <c r="A303" s="259" t="s">
        <v>1127</v>
      </c>
      <c r="B303" s="1" t="s">
        <v>803</v>
      </c>
      <c r="C303" s="1" t="str">
        <f t="shared" si="12"/>
        <v>Chambers Lodge - Placer</v>
      </c>
      <c r="D303" s="512">
        <f t="shared" si="13"/>
        <v>4.1833333333333347E-2</v>
      </c>
      <c r="E303" s="261">
        <f t="shared" si="14"/>
        <v>1.0880000000000001E-2</v>
      </c>
    </row>
    <row r="304" spans="1:5" ht="12.75" x14ac:dyDescent="0.2">
      <c r="A304" s="259" t="s">
        <v>1128</v>
      </c>
      <c r="B304" s="1" t="s">
        <v>732</v>
      </c>
      <c r="C304" s="1" t="str">
        <f t="shared" si="12"/>
        <v>Charter Oak - Los Angeles</v>
      </c>
      <c r="D304" s="512">
        <f t="shared" si="13"/>
        <v>5.4833333333333331E-2</v>
      </c>
      <c r="E304" s="261">
        <f t="shared" si="14"/>
        <v>1.1599999999999999E-2</v>
      </c>
    </row>
    <row r="305" spans="1:5" ht="12.75" x14ac:dyDescent="0.2">
      <c r="A305" s="259" t="s">
        <v>1129</v>
      </c>
      <c r="B305" s="1" t="s">
        <v>732</v>
      </c>
      <c r="C305" s="1" t="str">
        <f t="shared" si="12"/>
        <v>Chatsworth - Los Angeles</v>
      </c>
      <c r="D305" s="512">
        <f t="shared" si="13"/>
        <v>5.4833333333333331E-2</v>
      </c>
      <c r="E305" s="261">
        <f t="shared" si="14"/>
        <v>1.1599999999999999E-2</v>
      </c>
    </row>
    <row r="306" spans="1:5" ht="12.75" x14ac:dyDescent="0.2">
      <c r="A306" s="259" t="s">
        <v>1130</v>
      </c>
      <c r="B306" s="1" t="s">
        <v>756</v>
      </c>
      <c r="C306" s="1" t="str">
        <f t="shared" si="12"/>
        <v>Cherry Valley - Riverside</v>
      </c>
      <c r="D306" s="512">
        <f t="shared" si="13"/>
        <v>5.3749999999999999E-2</v>
      </c>
      <c r="E306" s="261">
        <f t="shared" si="14"/>
        <v>1.1859999999999999E-2</v>
      </c>
    </row>
    <row r="307" spans="1:5" ht="12.75" x14ac:dyDescent="0.2">
      <c r="A307" s="259" t="s">
        <v>1131</v>
      </c>
      <c r="B307" s="1" t="s">
        <v>791</v>
      </c>
      <c r="C307" s="1" t="str">
        <f t="shared" si="12"/>
        <v>Chester - Plumas</v>
      </c>
      <c r="D307" s="512">
        <f t="shared" si="13"/>
        <v>7.7250000000000013E-2</v>
      </c>
      <c r="E307" s="261">
        <f t="shared" si="14"/>
        <v>1.099E-2</v>
      </c>
    </row>
    <row r="308" spans="1:5" ht="12.75" x14ac:dyDescent="0.2">
      <c r="A308" s="259" t="s">
        <v>1132</v>
      </c>
      <c r="B308" s="1" t="s">
        <v>1118</v>
      </c>
      <c r="C308" s="1" t="str">
        <f t="shared" si="12"/>
        <v>Chicago Park - Nevada</v>
      </c>
      <c r="D308" s="512">
        <f t="shared" si="13"/>
        <v>4.3166666666666673E-2</v>
      </c>
      <c r="E308" s="261">
        <f t="shared" si="14"/>
        <v>1.0620000000000001E-2</v>
      </c>
    </row>
    <row r="309" spans="1:5" ht="12.75" x14ac:dyDescent="0.2">
      <c r="A309" s="259" t="s">
        <v>1133</v>
      </c>
      <c r="B309" s="1" t="s">
        <v>915</v>
      </c>
      <c r="C309" s="1" t="str">
        <f t="shared" si="12"/>
        <v>Chico - Butte</v>
      </c>
      <c r="D309" s="512">
        <f t="shared" si="13"/>
        <v>5.8999999999999983E-2</v>
      </c>
      <c r="E309" s="261">
        <f t="shared" si="14"/>
        <v>1.1169999999999999E-2</v>
      </c>
    </row>
    <row r="310" spans="1:5" ht="12.75" x14ac:dyDescent="0.2">
      <c r="A310" s="259" t="s">
        <v>1134</v>
      </c>
      <c r="B310" s="1" t="s">
        <v>791</v>
      </c>
      <c r="C310" s="1" t="str">
        <f t="shared" si="12"/>
        <v>Chilcoot - Plumas</v>
      </c>
      <c r="D310" s="512">
        <f t="shared" si="13"/>
        <v>7.7250000000000013E-2</v>
      </c>
      <c r="E310" s="261">
        <f t="shared" si="14"/>
        <v>1.099E-2</v>
      </c>
    </row>
    <row r="311" spans="1:5" ht="12.75" x14ac:dyDescent="0.2">
      <c r="A311" s="259" t="s">
        <v>1135</v>
      </c>
      <c r="B311" s="1" t="s">
        <v>884</v>
      </c>
      <c r="C311" s="1" t="str">
        <f t="shared" si="12"/>
        <v>China Lake NWC - Kern</v>
      </c>
      <c r="D311" s="512">
        <f t="shared" si="13"/>
        <v>8.9333333333333334E-2</v>
      </c>
      <c r="E311" s="261">
        <f t="shared" si="14"/>
        <v>1.238E-2</v>
      </c>
    </row>
    <row r="312" spans="1:5" ht="12.75" x14ac:dyDescent="0.2">
      <c r="A312" s="259" t="s">
        <v>1136</v>
      </c>
      <c r="B312" s="1" t="s">
        <v>968</v>
      </c>
      <c r="C312" s="1" t="str">
        <f t="shared" si="12"/>
        <v>Chinese Camp - Tuolumne</v>
      </c>
      <c r="D312" s="512">
        <f t="shared" si="13"/>
        <v>5.4333333333333338E-2</v>
      </c>
      <c r="E312" s="261">
        <f t="shared" si="14"/>
        <v>1.0780000000000001E-2</v>
      </c>
    </row>
    <row r="313" spans="1:5" ht="12.75" x14ac:dyDescent="0.2">
      <c r="A313" s="259" t="s">
        <v>1137</v>
      </c>
      <c r="B313" s="1" t="s">
        <v>738</v>
      </c>
      <c r="C313" s="1" t="str">
        <f t="shared" si="12"/>
        <v>Chino - San Bernardino</v>
      </c>
      <c r="D313" s="512">
        <f t="shared" si="13"/>
        <v>5.1583333333333342E-2</v>
      </c>
      <c r="E313" s="261">
        <f t="shared" si="14"/>
        <v>1.1379999999999999E-2</v>
      </c>
    </row>
    <row r="314" spans="1:5" ht="12.75" x14ac:dyDescent="0.2">
      <c r="A314" s="259" t="s">
        <v>1138</v>
      </c>
      <c r="B314" s="1" t="s">
        <v>738</v>
      </c>
      <c r="C314" s="1" t="str">
        <f t="shared" si="12"/>
        <v>Chino Hills - San Bernardino</v>
      </c>
      <c r="D314" s="512">
        <f t="shared" si="13"/>
        <v>5.1583333333333342E-2</v>
      </c>
      <c r="E314" s="261">
        <f t="shared" si="14"/>
        <v>1.1379999999999999E-2</v>
      </c>
    </row>
    <row r="315" spans="1:5" ht="12.75" x14ac:dyDescent="0.2">
      <c r="A315" s="259" t="s">
        <v>1139</v>
      </c>
      <c r="B315" s="1" t="s">
        <v>756</v>
      </c>
      <c r="C315" s="1" t="str">
        <f t="shared" si="12"/>
        <v>Chiriaco Summit - Riverside</v>
      </c>
      <c r="D315" s="512">
        <f t="shared" si="13"/>
        <v>5.3749999999999999E-2</v>
      </c>
      <c r="E315" s="261">
        <f t="shared" si="14"/>
        <v>1.1859999999999999E-2</v>
      </c>
    </row>
    <row r="316" spans="1:5" ht="12.75" x14ac:dyDescent="0.2">
      <c r="A316" s="259" t="s">
        <v>1140</v>
      </c>
      <c r="B316" s="1" t="s">
        <v>735</v>
      </c>
      <c r="C316" s="1" t="str">
        <f t="shared" si="12"/>
        <v>Cholame - San Luis Obispo</v>
      </c>
      <c r="D316" s="512">
        <f t="shared" si="13"/>
        <v>3.8833333333333331E-2</v>
      </c>
      <c r="E316" s="261">
        <f t="shared" si="14"/>
        <v>1.085E-2</v>
      </c>
    </row>
    <row r="317" spans="1:5" ht="12.75" x14ac:dyDescent="0.2">
      <c r="A317" s="259" t="s">
        <v>1141</v>
      </c>
      <c r="B317" s="1" t="s">
        <v>759</v>
      </c>
      <c r="C317" s="1" t="str">
        <f t="shared" si="12"/>
        <v>Chowchilla - Madera</v>
      </c>
      <c r="D317" s="512">
        <f t="shared" si="13"/>
        <v>7.8166666666666662E-2</v>
      </c>
      <c r="E317" s="261">
        <f t="shared" si="14"/>
        <v>1.098E-2</v>
      </c>
    </row>
    <row r="318" spans="1:5" ht="12.75" x14ac:dyDescent="0.2">
      <c r="A318" s="259" t="s">
        <v>1142</v>
      </c>
      <c r="B318" s="1" t="s">
        <v>876</v>
      </c>
      <c r="C318" s="1" t="str">
        <f t="shared" si="12"/>
        <v>Chualar - Monterey</v>
      </c>
      <c r="D318" s="512">
        <f t="shared" si="13"/>
        <v>7.425000000000001E-2</v>
      </c>
      <c r="E318" s="261">
        <f t="shared" si="14"/>
        <v>1.098E-2</v>
      </c>
    </row>
    <row r="319" spans="1:5" ht="12.75" x14ac:dyDescent="0.2">
      <c r="A319" s="259" t="s">
        <v>1143</v>
      </c>
      <c r="B319" s="1" t="s">
        <v>751</v>
      </c>
      <c r="C319" s="1" t="str">
        <f t="shared" si="12"/>
        <v>Chula Vista - San Diego</v>
      </c>
      <c r="D319" s="512">
        <f t="shared" si="13"/>
        <v>4.4750000000000005E-2</v>
      </c>
      <c r="E319" s="261">
        <f t="shared" si="14"/>
        <v>1.167E-2</v>
      </c>
    </row>
    <row r="320" spans="1:5" ht="12.75" x14ac:dyDescent="0.2">
      <c r="A320" s="259" t="s">
        <v>1144</v>
      </c>
      <c r="B320" s="1" t="s">
        <v>738</v>
      </c>
      <c r="C320" s="1" t="str">
        <f t="shared" si="12"/>
        <v>Cima - San Bernardino</v>
      </c>
      <c r="D320" s="512">
        <f t="shared" si="13"/>
        <v>5.1583333333333342E-2</v>
      </c>
      <c r="E320" s="261">
        <f t="shared" si="14"/>
        <v>1.1379999999999999E-2</v>
      </c>
    </row>
    <row r="321" spans="1:5" ht="12.75" x14ac:dyDescent="0.2">
      <c r="A321" s="259" t="s">
        <v>1145</v>
      </c>
      <c r="B321" s="1" t="s">
        <v>843</v>
      </c>
      <c r="C321" s="1" t="str">
        <f t="shared" si="12"/>
        <v>Citrus Heights - Sacramento</v>
      </c>
      <c r="D321" s="512">
        <f t="shared" si="13"/>
        <v>4.8833333333333326E-2</v>
      </c>
      <c r="E321" s="261">
        <f t="shared" si="14"/>
        <v>1.1519999999999999E-2</v>
      </c>
    </row>
    <row r="322" spans="1:5" ht="12.75" x14ac:dyDescent="0.2">
      <c r="A322" s="259" t="s">
        <v>1146</v>
      </c>
      <c r="B322" s="1" t="s">
        <v>732</v>
      </c>
      <c r="C322" s="1" t="str">
        <f t="shared" si="12"/>
        <v>City of Commerce - Los Angeles</v>
      </c>
      <c r="D322" s="512">
        <f t="shared" si="13"/>
        <v>5.4833333333333331E-2</v>
      </c>
      <c r="E322" s="261">
        <f t="shared" si="14"/>
        <v>1.1599999999999999E-2</v>
      </c>
    </row>
    <row r="323" spans="1:5" ht="12.75" x14ac:dyDescent="0.2">
      <c r="A323" s="259" t="s">
        <v>1147</v>
      </c>
      <c r="B323" s="1" t="s">
        <v>732</v>
      </c>
      <c r="C323" s="1" t="str">
        <f t="shared" si="12"/>
        <v>City of Industry - Los Angeles</v>
      </c>
      <c r="D323" s="512">
        <f t="shared" si="13"/>
        <v>5.4833333333333331E-2</v>
      </c>
      <c r="E323" s="261">
        <f t="shared" si="14"/>
        <v>1.1599999999999999E-2</v>
      </c>
    </row>
    <row r="324" spans="1:5" ht="12.75" x14ac:dyDescent="0.2">
      <c r="A324" s="259" t="s">
        <v>1148</v>
      </c>
      <c r="B324" s="1" t="s">
        <v>732</v>
      </c>
      <c r="C324" s="1" t="str">
        <f t="shared" si="12"/>
        <v>City Terrace - Los Angeles</v>
      </c>
      <c r="D324" s="512">
        <f t="shared" si="13"/>
        <v>5.4833333333333331E-2</v>
      </c>
      <c r="E324" s="261">
        <f t="shared" si="14"/>
        <v>1.1599999999999999E-2</v>
      </c>
    </row>
    <row r="325" spans="1:5" ht="12.75" x14ac:dyDescent="0.2">
      <c r="A325" s="259" t="s">
        <v>1149</v>
      </c>
      <c r="B325" s="1" t="s">
        <v>732</v>
      </c>
      <c r="C325" s="1" t="str">
        <f t="shared" si="12"/>
        <v>Claremont - Los Angeles</v>
      </c>
      <c r="D325" s="512">
        <f t="shared" si="13"/>
        <v>5.4833333333333331E-2</v>
      </c>
      <c r="E325" s="261">
        <f t="shared" si="14"/>
        <v>1.1599999999999999E-2</v>
      </c>
    </row>
    <row r="326" spans="1:5" ht="12.75" x14ac:dyDescent="0.2">
      <c r="A326" s="259" t="s">
        <v>1150</v>
      </c>
      <c r="B326" s="1" t="s">
        <v>1018</v>
      </c>
      <c r="C326" s="1" t="str">
        <f t="shared" si="12"/>
        <v>Clarksburg - Yolo</v>
      </c>
      <c r="D326" s="512">
        <f t="shared" si="13"/>
        <v>5.2666666666666667E-2</v>
      </c>
      <c r="E326" s="261">
        <f t="shared" si="14"/>
        <v>1.11E-2</v>
      </c>
    </row>
    <row r="327" spans="1:5" ht="12.75" x14ac:dyDescent="0.2">
      <c r="A327" s="259" t="s">
        <v>1151</v>
      </c>
      <c r="B327" s="1" t="s">
        <v>767</v>
      </c>
      <c r="C327" s="1" t="str">
        <f t="shared" si="12"/>
        <v>Clayton - Contra Costa</v>
      </c>
      <c r="D327" s="512">
        <f t="shared" si="13"/>
        <v>4.7250000000000007E-2</v>
      </c>
      <c r="E327" s="261">
        <f t="shared" si="14"/>
        <v>1.163E-2</v>
      </c>
    </row>
    <row r="328" spans="1:5" ht="12.75" x14ac:dyDescent="0.2">
      <c r="A328" s="259" t="s">
        <v>1152</v>
      </c>
      <c r="B328" s="1" t="s">
        <v>1053</v>
      </c>
      <c r="C328" s="1" t="str">
        <f t="shared" ref="C328:C391" si="15">A328&amp;" - "&amp;B328</f>
        <v>Clear Creek - Siskiyou</v>
      </c>
      <c r="D328" s="512">
        <f t="shared" si="13"/>
        <v>6.883333333333333E-2</v>
      </c>
      <c r="E328" s="261">
        <f t="shared" si="14"/>
        <v>1.0460000000000001E-2</v>
      </c>
    </row>
    <row r="329" spans="1:5" ht="12.75" x14ac:dyDescent="0.2">
      <c r="A329" s="259" t="s">
        <v>1153</v>
      </c>
      <c r="B329" s="1" t="s">
        <v>1154</v>
      </c>
      <c r="C329" s="1" t="str">
        <f t="shared" si="15"/>
        <v>Clearlake - Lake</v>
      </c>
      <c r="D329" s="512">
        <f t="shared" ref="D329:D392" si="16">VLOOKUP(B329,unemployment_rates,2, FALSE)</f>
        <v>6.1750000000000006E-2</v>
      </c>
      <c r="E329" s="261">
        <f t="shared" ref="E329:E392" si="17">VLOOKUP(B329,Prop_Tax_Rates,2,FALSE)</f>
        <v>1.1160000000000002E-2</v>
      </c>
    </row>
    <row r="330" spans="1:5" ht="12.75" x14ac:dyDescent="0.2">
      <c r="A330" s="259" t="s">
        <v>1155</v>
      </c>
      <c r="B330" s="1" t="s">
        <v>1154</v>
      </c>
      <c r="C330" s="1" t="str">
        <f t="shared" si="15"/>
        <v>Clearlake Highlands - Lake</v>
      </c>
      <c r="D330" s="512">
        <f t="shared" si="16"/>
        <v>6.1750000000000006E-2</v>
      </c>
      <c r="E330" s="261">
        <f t="shared" si="17"/>
        <v>1.1160000000000002E-2</v>
      </c>
    </row>
    <row r="331" spans="1:5" ht="12.75" x14ac:dyDescent="0.2">
      <c r="A331" s="259" t="s">
        <v>1156</v>
      </c>
      <c r="B331" s="1" t="s">
        <v>1154</v>
      </c>
      <c r="C331" s="1" t="str">
        <f t="shared" si="15"/>
        <v>Clearlake Oaks - Lake</v>
      </c>
      <c r="D331" s="512">
        <f t="shared" si="16"/>
        <v>6.1750000000000006E-2</v>
      </c>
      <c r="E331" s="261">
        <f t="shared" si="17"/>
        <v>1.1160000000000002E-2</v>
      </c>
    </row>
    <row r="332" spans="1:5" ht="12.75" x14ac:dyDescent="0.2">
      <c r="A332" s="259" t="s">
        <v>1157</v>
      </c>
      <c r="B332" s="1" t="s">
        <v>1154</v>
      </c>
      <c r="C332" s="1" t="str">
        <f t="shared" si="15"/>
        <v>Clearlake Park - Lake</v>
      </c>
      <c r="D332" s="512">
        <f t="shared" si="16"/>
        <v>6.1750000000000006E-2</v>
      </c>
      <c r="E332" s="261">
        <f t="shared" si="17"/>
        <v>1.1160000000000002E-2</v>
      </c>
    </row>
    <row r="333" spans="1:5" ht="12.75" x14ac:dyDescent="0.2">
      <c r="A333" s="259" t="s">
        <v>1158</v>
      </c>
      <c r="B333" s="1" t="s">
        <v>729</v>
      </c>
      <c r="C333" s="1" t="str">
        <f t="shared" si="15"/>
        <v>Clements - San Joaquin</v>
      </c>
      <c r="D333" s="512">
        <f t="shared" si="16"/>
        <v>6.699999999999999E-2</v>
      </c>
      <c r="E333" s="261">
        <f t="shared" si="17"/>
        <v>1.1299999999999999E-2</v>
      </c>
    </row>
    <row r="334" spans="1:5" ht="12.75" x14ac:dyDescent="0.2">
      <c r="A334" s="259" t="s">
        <v>1159</v>
      </c>
      <c r="B334" s="1" t="s">
        <v>895</v>
      </c>
      <c r="C334" s="1" t="str">
        <f t="shared" si="15"/>
        <v>Clinter - Fresno</v>
      </c>
      <c r="D334" s="512">
        <f t="shared" si="16"/>
        <v>8.0416666666666664E-2</v>
      </c>
      <c r="E334" s="261">
        <f t="shared" si="17"/>
        <v>1.2110000000000001E-2</v>
      </c>
    </row>
    <row r="335" spans="1:5" ht="12.75" x14ac:dyDescent="0.2">
      <c r="A335" s="259" t="s">
        <v>1160</v>
      </c>
      <c r="B335" s="1" t="s">
        <v>791</v>
      </c>
      <c r="C335" s="1" t="str">
        <f t="shared" si="15"/>
        <v>Clio - Plumas</v>
      </c>
      <c r="D335" s="512">
        <f t="shared" si="16"/>
        <v>7.7250000000000013E-2</v>
      </c>
      <c r="E335" s="261">
        <f t="shared" si="17"/>
        <v>1.099E-2</v>
      </c>
    </row>
    <row r="336" spans="1:5" ht="12.75" x14ac:dyDescent="0.2">
      <c r="A336" s="259" t="s">
        <v>1161</v>
      </c>
      <c r="B336" s="1" t="s">
        <v>915</v>
      </c>
      <c r="C336" s="1" t="str">
        <f t="shared" si="15"/>
        <v>Clipper Mills - Butte</v>
      </c>
      <c r="D336" s="512">
        <f t="shared" si="16"/>
        <v>5.8999999999999983E-2</v>
      </c>
      <c r="E336" s="261">
        <f t="shared" si="17"/>
        <v>1.1169999999999999E-2</v>
      </c>
    </row>
    <row r="337" spans="1:5" ht="12.75" x14ac:dyDescent="0.2">
      <c r="A337" s="259" t="s">
        <v>1162</v>
      </c>
      <c r="B337" s="1" t="s">
        <v>748</v>
      </c>
      <c r="C337" s="1" t="str">
        <f t="shared" si="15"/>
        <v>Cloverdale - Sonoma</v>
      </c>
      <c r="D337" s="512">
        <f t="shared" si="16"/>
        <v>4.0583333333333325E-2</v>
      </c>
      <c r="E337" s="261">
        <f t="shared" si="17"/>
        <v>1.133E-2</v>
      </c>
    </row>
    <row r="338" spans="1:5" ht="12.75" x14ac:dyDescent="0.2">
      <c r="A338" s="259" t="s">
        <v>1163</v>
      </c>
      <c r="B338" s="1" t="s">
        <v>895</v>
      </c>
      <c r="C338" s="1" t="str">
        <f t="shared" si="15"/>
        <v>Clovis - Fresno</v>
      </c>
      <c r="D338" s="512">
        <f t="shared" si="16"/>
        <v>8.0416666666666664E-2</v>
      </c>
      <c r="E338" s="261">
        <f t="shared" si="17"/>
        <v>1.2110000000000001E-2</v>
      </c>
    </row>
    <row r="339" spans="1:5" ht="12.75" x14ac:dyDescent="0.2">
      <c r="A339" s="259" t="s">
        <v>1164</v>
      </c>
      <c r="B339" s="1" t="s">
        <v>756</v>
      </c>
      <c r="C339" s="1" t="str">
        <f t="shared" si="15"/>
        <v>Coachella - Riverside</v>
      </c>
      <c r="D339" s="512">
        <f t="shared" si="16"/>
        <v>5.3749999999999999E-2</v>
      </c>
      <c r="E339" s="261">
        <f t="shared" si="17"/>
        <v>1.1859999999999999E-2</v>
      </c>
    </row>
    <row r="340" spans="1:5" ht="12.75" x14ac:dyDescent="0.2">
      <c r="A340" s="259" t="s">
        <v>1165</v>
      </c>
      <c r="B340" s="1" t="s">
        <v>895</v>
      </c>
      <c r="C340" s="1" t="str">
        <f t="shared" si="15"/>
        <v>Coalinga - Fresno</v>
      </c>
      <c r="D340" s="512">
        <f t="shared" si="16"/>
        <v>8.0416666666666664E-2</v>
      </c>
      <c r="E340" s="261">
        <f t="shared" si="17"/>
        <v>1.2110000000000001E-2</v>
      </c>
    </row>
    <row r="341" spans="1:5" ht="12.75" x14ac:dyDescent="0.2">
      <c r="A341" s="259" t="s">
        <v>1166</v>
      </c>
      <c r="B341" s="1" t="s">
        <v>759</v>
      </c>
      <c r="C341" s="1" t="str">
        <f t="shared" si="15"/>
        <v>Coarsegold - Madera</v>
      </c>
      <c r="D341" s="512">
        <f t="shared" si="16"/>
        <v>7.8166666666666662E-2</v>
      </c>
      <c r="E341" s="261">
        <f t="shared" si="17"/>
        <v>1.098E-2</v>
      </c>
    </row>
    <row r="342" spans="1:5" ht="12.75" x14ac:dyDescent="0.2">
      <c r="A342" s="259" t="s">
        <v>1167</v>
      </c>
      <c r="B342" s="1" t="s">
        <v>1154</v>
      </c>
      <c r="C342" s="1" t="str">
        <f t="shared" si="15"/>
        <v>Cobb - Lake</v>
      </c>
      <c r="D342" s="512">
        <f t="shared" si="16"/>
        <v>6.1750000000000006E-2</v>
      </c>
      <c r="E342" s="261">
        <f t="shared" si="17"/>
        <v>1.1160000000000002E-2</v>
      </c>
    </row>
    <row r="343" spans="1:5" ht="12.75" x14ac:dyDescent="0.2">
      <c r="A343" s="259" t="s">
        <v>1168</v>
      </c>
      <c r="B343" s="1" t="s">
        <v>915</v>
      </c>
      <c r="C343" s="1" t="str">
        <f t="shared" si="15"/>
        <v>Cohasset - Butte</v>
      </c>
      <c r="D343" s="512">
        <f t="shared" si="16"/>
        <v>5.8999999999999983E-2</v>
      </c>
      <c r="E343" s="261">
        <f t="shared" si="17"/>
        <v>1.1169999999999999E-2</v>
      </c>
    </row>
    <row r="344" spans="1:5" ht="12.75" x14ac:dyDescent="0.2">
      <c r="A344" s="259" t="s">
        <v>1169</v>
      </c>
      <c r="B344" s="1" t="s">
        <v>732</v>
      </c>
      <c r="C344" s="1" t="str">
        <f t="shared" si="15"/>
        <v>Cole - Los Angeles</v>
      </c>
      <c r="D344" s="512">
        <f t="shared" si="16"/>
        <v>5.4833333333333331E-2</v>
      </c>
      <c r="E344" s="261">
        <f t="shared" si="17"/>
        <v>1.1599999999999999E-2</v>
      </c>
    </row>
    <row r="345" spans="1:5" ht="12.75" x14ac:dyDescent="0.2">
      <c r="A345" s="259" t="s">
        <v>1170</v>
      </c>
      <c r="B345" s="1" t="s">
        <v>951</v>
      </c>
      <c r="C345" s="1" t="str">
        <f t="shared" si="15"/>
        <v>Coleville - Mono</v>
      </c>
      <c r="D345" s="512">
        <f t="shared" si="16"/>
        <v>4.0166666666666663E-2</v>
      </c>
      <c r="E345" s="261">
        <f t="shared" si="17"/>
        <v>1.154E-2</v>
      </c>
    </row>
    <row r="346" spans="1:5" ht="12.75" x14ac:dyDescent="0.2">
      <c r="A346" s="259" t="s">
        <v>1171</v>
      </c>
      <c r="B346" s="1" t="s">
        <v>803</v>
      </c>
      <c r="C346" s="1" t="str">
        <f t="shared" si="15"/>
        <v>Colfax - Placer</v>
      </c>
      <c r="D346" s="512">
        <f t="shared" si="16"/>
        <v>4.1833333333333347E-2</v>
      </c>
      <c r="E346" s="261">
        <f t="shared" si="17"/>
        <v>1.0880000000000001E-2</v>
      </c>
    </row>
    <row r="347" spans="1:5" ht="12.75" x14ac:dyDescent="0.2">
      <c r="A347" s="259" t="s">
        <v>1172</v>
      </c>
      <c r="B347" s="1" t="s">
        <v>859</v>
      </c>
      <c r="C347" s="1" t="str">
        <f t="shared" si="15"/>
        <v>College City - Colusa</v>
      </c>
      <c r="D347" s="512">
        <f t="shared" si="16"/>
        <v>0.13600000000000001</v>
      </c>
      <c r="E347" s="261">
        <f t="shared" si="17"/>
        <v>1.098E-2</v>
      </c>
    </row>
    <row r="348" spans="1:5" ht="12.75" x14ac:dyDescent="0.2">
      <c r="A348" s="259" t="s">
        <v>1173</v>
      </c>
      <c r="B348" s="1" t="s">
        <v>751</v>
      </c>
      <c r="C348" s="1" t="str">
        <f t="shared" si="15"/>
        <v>College Grove Center - San Diego</v>
      </c>
      <c r="D348" s="512">
        <f t="shared" si="16"/>
        <v>4.4750000000000005E-2</v>
      </c>
      <c r="E348" s="261">
        <f t="shared" si="17"/>
        <v>1.167E-2</v>
      </c>
    </row>
    <row r="349" spans="1:5" ht="12.75" x14ac:dyDescent="0.2">
      <c r="A349" s="259" t="s">
        <v>1174</v>
      </c>
      <c r="B349" s="1" t="s">
        <v>890</v>
      </c>
      <c r="C349" s="1" t="str">
        <f t="shared" si="15"/>
        <v>Colma - San Mateo</v>
      </c>
      <c r="D349" s="512">
        <f t="shared" si="16"/>
        <v>3.5000000000000003E-2</v>
      </c>
      <c r="E349" s="261">
        <f t="shared" si="17"/>
        <v>1.1089999999999999E-2</v>
      </c>
    </row>
    <row r="350" spans="1:5" ht="12.75" x14ac:dyDescent="0.2">
      <c r="A350" s="259" t="s">
        <v>1175</v>
      </c>
      <c r="B350" s="1" t="s">
        <v>762</v>
      </c>
      <c r="C350" s="1" t="str">
        <f t="shared" si="15"/>
        <v>Coloma - El Dorado</v>
      </c>
      <c r="D350" s="512">
        <f t="shared" si="16"/>
        <v>4.466666666666666E-2</v>
      </c>
      <c r="E350" s="261">
        <f t="shared" si="17"/>
        <v>1.0660000000000001E-2</v>
      </c>
    </row>
    <row r="351" spans="1:5" ht="12.75" x14ac:dyDescent="0.2">
      <c r="A351" s="259" t="s">
        <v>1176</v>
      </c>
      <c r="B351" s="1" t="s">
        <v>935</v>
      </c>
      <c r="C351" s="1" t="str">
        <f t="shared" si="15"/>
        <v>Colorado - Mariposa</v>
      </c>
      <c r="D351" s="512">
        <f t="shared" si="16"/>
        <v>5.2833333333333329E-2</v>
      </c>
      <c r="E351" s="261">
        <f t="shared" si="17"/>
        <v>1.0369999999999999E-2</v>
      </c>
    </row>
    <row r="352" spans="1:5" ht="12.75" x14ac:dyDescent="0.2">
      <c r="A352" s="259" t="s">
        <v>1177</v>
      </c>
      <c r="B352" s="1" t="s">
        <v>738</v>
      </c>
      <c r="C352" s="1" t="str">
        <f t="shared" si="15"/>
        <v>Colton - San Bernardino</v>
      </c>
      <c r="D352" s="512">
        <f t="shared" si="16"/>
        <v>5.1583333333333342E-2</v>
      </c>
      <c r="E352" s="261">
        <f t="shared" si="17"/>
        <v>1.1379999999999999E-2</v>
      </c>
    </row>
    <row r="353" spans="1:5" ht="12.75" x14ac:dyDescent="0.2">
      <c r="A353" s="259" t="s">
        <v>1178</v>
      </c>
      <c r="B353" s="1" t="s">
        <v>968</v>
      </c>
      <c r="C353" s="1" t="str">
        <f t="shared" si="15"/>
        <v>Columbia - Tuolumne</v>
      </c>
      <c r="D353" s="512">
        <f t="shared" si="16"/>
        <v>5.4333333333333338E-2</v>
      </c>
      <c r="E353" s="261">
        <f t="shared" si="17"/>
        <v>1.0780000000000001E-2</v>
      </c>
    </row>
    <row r="354" spans="1:5" ht="12.75" x14ac:dyDescent="0.2">
      <c r="A354" s="259" t="s">
        <v>859</v>
      </c>
      <c r="B354" s="1" t="s">
        <v>859</v>
      </c>
      <c r="C354" s="1" t="str">
        <f t="shared" si="15"/>
        <v>Colusa - Colusa</v>
      </c>
      <c r="D354" s="512">
        <f t="shared" si="16"/>
        <v>0.13600000000000001</v>
      </c>
      <c r="E354" s="261">
        <f t="shared" si="17"/>
        <v>1.098E-2</v>
      </c>
    </row>
    <row r="355" spans="1:5" ht="12.75" x14ac:dyDescent="0.2">
      <c r="A355" s="259" t="s">
        <v>1179</v>
      </c>
      <c r="B355" s="1" t="s">
        <v>732</v>
      </c>
      <c r="C355" s="1" t="str">
        <f t="shared" si="15"/>
        <v>Commerce - Los Angeles</v>
      </c>
      <c r="D355" s="512">
        <f t="shared" si="16"/>
        <v>5.4833333333333331E-2</v>
      </c>
      <c r="E355" s="261">
        <f t="shared" si="17"/>
        <v>1.1599999999999999E-2</v>
      </c>
    </row>
    <row r="356" spans="1:5" ht="12.75" x14ac:dyDescent="0.2">
      <c r="A356" s="259" t="s">
        <v>1180</v>
      </c>
      <c r="B356" s="1" t="s">
        <v>774</v>
      </c>
      <c r="C356" s="1" t="str">
        <f t="shared" si="15"/>
        <v>Comptche - Mendocino</v>
      </c>
      <c r="D356" s="512">
        <f t="shared" si="16"/>
        <v>5.1916666666666667E-2</v>
      </c>
      <c r="E356" s="261">
        <f t="shared" si="17"/>
        <v>1.1650000000000001E-2</v>
      </c>
    </row>
    <row r="357" spans="1:5" ht="12.75" x14ac:dyDescent="0.2">
      <c r="A357" s="259" t="s">
        <v>1181</v>
      </c>
      <c r="B357" s="1" t="s">
        <v>732</v>
      </c>
      <c r="C357" s="1" t="str">
        <f t="shared" si="15"/>
        <v>Compton - Los Angeles</v>
      </c>
      <c r="D357" s="512">
        <f t="shared" si="16"/>
        <v>5.4833333333333331E-2</v>
      </c>
      <c r="E357" s="261">
        <f t="shared" si="17"/>
        <v>1.1599999999999999E-2</v>
      </c>
    </row>
    <row r="358" spans="1:5" ht="12.75" x14ac:dyDescent="0.2">
      <c r="A358" s="259" t="s">
        <v>1182</v>
      </c>
      <c r="B358" s="1" t="s">
        <v>767</v>
      </c>
      <c r="C358" s="1" t="str">
        <f t="shared" si="15"/>
        <v>Concord - Contra Costa</v>
      </c>
      <c r="D358" s="512">
        <f t="shared" si="16"/>
        <v>4.7250000000000007E-2</v>
      </c>
      <c r="E358" s="261">
        <f t="shared" si="17"/>
        <v>1.163E-2</v>
      </c>
    </row>
    <row r="359" spans="1:5" ht="12.75" x14ac:dyDescent="0.2">
      <c r="A359" s="259" t="s">
        <v>1183</v>
      </c>
      <c r="B359" s="1" t="s">
        <v>762</v>
      </c>
      <c r="C359" s="1" t="str">
        <f t="shared" si="15"/>
        <v>Cool - El Dorado</v>
      </c>
      <c r="D359" s="512">
        <f t="shared" si="16"/>
        <v>4.466666666666666E-2</v>
      </c>
      <c r="E359" s="261">
        <f t="shared" si="17"/>
        <v>1.0660000000000001E-2</v>
      </c>
    </row>
    <row r="360" spans="1:5" ht="12.75" x14ac:dyDescent="0.2">
      <c r="A360" s="259" t="s">
        <v>1184</v>
      </c>
      <c r="B360" s="1" t="s">
        <v>810</v>
      </c>
      <c r="C360" s="1" t="str">
        <f t="shared" si="15"/>
        <v>Copperopolis - Calaveras</v>
      </c>
      <c r="D360" s="512">
        <f t="shared" si="16"/>
        <v>4.7166666666666662E-2</v>
      </c>
      <c r="E360" s="261">
        <f t="shared" si="17"/>
        <v>1.0920000000000001E-2</v>
      </c>
    </row>
    <row r="361" spans="1:5" ht="12.75" x14ac:dyDescent="0.2">
      <c r="A361" s="259" t="s">
        <v>1185</v>
      </c>
      <c r="B361" s="1" t="s">
        <v>872</v>
      </c>
      <c r="C361" s="1" t="str">
        <f t="shared" si="15"/>
        <v>Corcoran - Kings</v>
      </c>
      <c r="D361" s="512">
        <f t="shared" si="16"/>
        <v>8.7083333333333346E-2</v>
      </c>
      <c r="E361" s="261">
        <f t="shared" si="17"/>
        <v>1.0820000000000001E-2</v>
      </c>
    </row>
    <row r="362" spans="1:5" ht="12.75" x14ac:dyDescent="0.2">
      <c r="A362" s="259" t="s">
        <v>1186</v>
      </c>
      <c r="B362" s="1" t="s">
        <v>732</v>
      </c>
      <c r="C362" s="1" t="str">
        <f t="shared" si="15"/>
        <v>Cornell - Los Angeles</v>
      </c>
      <c r="D362" s="512">
        <f t="shared" si="16"/>
        <v>5.4833333333333331E-2</v>
      </c>
      <c r="E362" s="261">
        <f t="shared" si="17"/>
        <v>1.1599999999999999E-2</v>
      </c>
    </row>
    <row r="363" spans="1:5" ht="12.75" x14ac:dyDescent="0.2">
      <c r="A363" s="259" t="s">
        <v>1187</v>
      </c>
      <c r="B363" s="1" t="s">
        <v>1188</v>
      </c>
      <c r="C363" s="1" t="str">
        <f t="shared" si="15"/>
        <v>Corning - Tehama</v>
      </c>
      <c r="D363" s="512">
        <f t="shared" si="16"/>
        <v>6.3083333333333325E-2</v>
      </c>
      <c r="E363" s="261">
        <f t="shared" si="17"/>
        <v>1.057E-2</v>
      </c>
    </row>
    <row r="364" spans="1:5" ht="12.75" x14ac:dyDescent="0.2">
      <c r="A364" s="259" t="s">
        <v>1189</v>
      </c>
      <c r="B364" s="1" t="s">
        <v>756</v>
      </c>
      <c r="C364" s="1" t="str">
        <f t="shared" si="15"/>
        <v>Corona - Riverside</v>
      </c>
      <c r="D364" s="512">
        <f t="shared" si="16"/>
        <v>5.3749999999999999E-2</v>
      </c>
      <c r="E364" s="261">
        <f t="shared" si="17"/>
        <v>1.1859999999999999E-2</v>
      </c>
    </row>
    <row r="365" spans="1:5" ht="12.75" x14ac:dyDescent="0.2">
      <c r="A365" s="259" t="s">
        <v>1190</v>
      </c>
      <c r="B365" s="1" t="s">
        <v>782</v>
      </c>
      <c r="C365" s="1" t="str">
        <f t="shared" si="15"/>
        <v>Corona Del Mar - Orange</v>
      </c>
      <c r="D365" s="512">
        <f t="shared" si="16"/>
        <v>3.9749999999999994E-2</v>
      </c>
      <c r="E365" s="261">
        <f t="shared" si="17"/>
        <v>1.0660000000000001E-2</v>
      </c>
    </row>
    <row r="366" spans="1:5" ht="12.75" x14ac:dyDescent="0.2">
      <c r="A366" s="259" t="s">
        <v>1191</v>
      </c>
      <c r="B366" s="1" t="s">
        <v>751</v>
      </c>
      <c r="C366" s="1" t="str">
        <f t="shared" si="15"/>
        <v>Coronado - San Diego</v>
      </c>
      <c r="D366" s="512">
        <f t="shared" si="16"/>
        <v>4.4750000000000005E-2</v>
      </c>
      <c r="E366" s="261">
        <f t="shared" si="17"/>
        <v>1.167E-2</v>
      </c>
    </row>
    <row r="367" spans="1:5" ht="12.75" x14ac:dyDescent="0.2">
      <c r="A367" s="259" t="s">
        <v>1192</v>
      </c>
      <c r="B367" s="1" t="s">
        <v>856</v>
      </c>
      <c r="C367" s="1" t="str">
        <f t="shared" si="15"/>
        <v>Corralitos - Santa Cruz</v>
      </c>
      <c r="D367" s="512">
        <f t="shared" si="16"/>
        <v>6.2416666666666669E-2</v>
      </c>
      <c r="E367" s="261">
        <f t="shared" si="17"/>
        <v>1.106E-2</v>
      </c>
    </row>
    <row r="368" spans="1:5" ht="12.75" x14ac:dyDescent="0.2">
      <c r="A368" s="259" t="s">
        <v>1193</v>
      </c>
      <c r="B368" s="1" t="s">
        <v>946</v>
      </c>
      <c r="C368" s="1" t="str">
        <f t="shared" si="15"/>
        <v>Corte Madera - Marin</v>
      </c>
      <c r="D368" s="512">
        <f t="shared" si="16"/>
        <v>3.7749999999999999E-2</v>
      </c>
      <c r="E368" s="261">
        <f t="shared" si="17"/>
        <v>1.1299999999999999E-2</v>
      </c>
    </row>
    <row r="369" spans="1:5" ht="12.75" x14ac:dyDescent="0.2">
      <c r="A369" s="259" t="s">
        <v>1194</v>
      </c>
      <c r="B369" s="1" t="s">
        <v>822</v>
      </c>
      <c r="C369" s="1" t="str">
        <f t="shared" si="15"/>
        <v>Coso Junction - Inyo</v>
      </c>
      <c r="D369" s="512">
        <f t="shared" si="16"/>
        <v>3.9833333333333339E-2</v>
      </c>
      <c r="E369" s="261">
        <f t="shared" si="17"/>
        <v>1.065E-2</v>
      </c>
    </row>
    <row r="370" spans="1:5" ht="12.75" x14ac:dyDescent="0.2">
      <c r="A370" s="259" t="s">
        <v>1195</v>
      </c>
      <c r="B370" s="1" t="s">
        <v>782</v>
      </c>
      <c r="C370" s="1" t="str">
        <f t="shared" si="15"/>
        <v>Costa Mesa - Orange</v>
      </c>
      <c r="D370" s="512">
        <f t="shared" si="16"/>
        <v>3.9749999999999994E-2</v>
      </c>
      <c r="E370" s="261">
        <f t="shared" si="17"/>
        <v>1.0660000000000001E-2</v>
      </c>
    </row>
    <row r="371" spans="1:5" ht="12.75" x14ac:dyDescent="0.2">
      <c r="A371" s="259" t="s">
        <v>1196</v>
      </c>
      <c r="B371" s="1" t="s">
        <v>748</v>
      </c>
      <c r="C371" s="1" t="str">
        <f t="shared" si="15"/>
        <v>Cotati - Sonoma</v>
      </c>
      <c r="D371" s="512">
        <f t="shared" si="16"/>
        <v>4.0583333333333325E-2</v>
      </c>
      <c r="E371" s="261">
        <f t="shared" si="17"/>
        <v>1.133E-2</v>
      </c>
    </row>
    <row r="372" spans="1:5" ht="12.75" x14ac:dyDescent="0.2">
      <c r="A372" s="259" t="s">
        <v>1197</v>
      </c>
      <c r="B372" s="1" t="s">
        <v>832</v>
      </c>
      <c r="C372" s="1" t="str">
        <f t="shared" si="15"/>
        <v>Cottonwood - Shasta</v>
      </c>
      <c r="D372" s="512">
        <f t="shared" si="16"/>
        <v>5.6416666666666657E-2</v>
      </c>
      <c r="E372" s="261">
        <f t="shared" si="17"/>
        <v>1.099E-2</v>
      </c>
    </row>
    <row r="373" spans="1:5" ht="12.75" x14ac:dyDescent="0.2">
      <c r="A373" s="259" t="s">
        <v>1198</v>
      </c>
      <c r="B373" s="1" t="s">
        <v>935</v>
      </c>
      <c r="C373" s="1" t="str">
        <f t="shared" si="15"/>
        <v>Coulterville - Mariposa</v>
      </c>
      <c r="D373" s="512">
        <f t="shared" si="16"/>
        <v>5.2833333333333329E-2</v>
      </c>
      <c r="E373" s="261">
        <f t="shared" si="17"/>
        <v>1.0369999999999999E-2</v>
      </c>
    </row>
    <row r="374" spans="1:5" ht="12.75" x14ac:dyDescent="0.2">
      <c r="A374" s="259" t="s">
        <v>1199</v>
      </c>
      <c r="B374" s="1" t="s">
        <v>843</v>
      </c>
      <c r="C374" s="1" t="str">
        <f t="shared" si="15"/>
        <v>Courtland - Sacramento</v>
      </c>
      <c r="D374" s="512">
        <f t="shared" si="16"/>
        <v>4.8833333333333326E-2</v>
      </c>
      <c r="E374" s="261">
        <f t="shared" si="17"/>
        <v>1.1519999999999999E-2</v>
      </c>
    </row>
    <row r="375" spans="1:5" ht="12.75" x14ac:dyDescent="0.2">
      <c r="A375" s="259" t="s">
        <v>1200</v>
      </c>
      <c r="B375" s="1" t="s">
        <v>774</v>
      </c>
      <c r="C375" s="1" t="str">
        <f t="shared" si="15"/>
        <v>Covelo - Mendocino</v>
      </c>
      <c r="D375" s="512">
        <f t="shared" si="16"/>
        <v>5.1916666666666667E-2</v>
      </c>
      <c r="E375" s="261">
        <f t="shared" si="17"/>
        <v>1.1650000000000001E-2</v>
      </c>
    </row>
    <row r="376" spans="1:5" ht="12.75" x14ac:dyDescent="0.2">
      <c r="A376" s="259" t="s">
        <v>1201</v>
      </c>
      <c r="B376" s="1" t="s">
        <v>732</v>
      </c>
      <c r="C376" s="1" t="str">
        <f t="shared" si="15"/>
        <v>Covina - Los Angeles</v>
      </c>
      <c r="D376" s="512">
        <f t="shared" si="16"/>
        <v>5.4833333333333331E-2</v>
      </c>
      <c r="E376" s="261">
        <f t="shared" si="17"/>
        <v>1.1599999999999999E-2</v>
      </c>
    </row>
    <row r="377" spans="1:5" ht="12.75" x14ac:dyDescent="0.2">
      <c r="A377" s="259" t="s">
        <v>1202</v>
      </c>
      <c r="B377" s="1" t="s">
        <v>782</v>
      </c>
      <c r="C377" s="1" t="str">
        <f t="shared" si="15"/>
        <v>Cowan Heights - Orange</v>
      </c>
      <c r="D377" s="512">
        <f t="shared" si="16"/>
        <v>3.9749999999999994E-2</v>
      </c>
      <c r="E377" s="261">
        <f t="shared" si="17"/>
        <v>1.0660000000000001E-2</v>
      </c>
    </row>
    <row r="378" spans="1:5" ht="12.75" x14ac:dyDescent="0.2">
      <c r="A378" s="259" t="s">
        <v>1203</v>
      </c>
      <c r="B378" s="1" t="s">
        <v>788</v>
      </c>
      <c r="C378" s="1" t="str">
        <f t="shared" si="15"/>
        <v>Coyote - Santa Clara</v>
      </c>
      <c r="D378" s="512">
        <f t="shared" si="16"/>
        <v>4.0750000000000001E-2</v>
      </c>
      <c r="E378" s="261">
        <f t="shared" si="17"/>
        <v>1.2110000000000001E-2</v>
      </c>
    </row>
    <row r="379" spans="1:5" ht="12.75" x14ac:dyDescent="0.2">
      <c r="A379" s="259" t="s">
        <v>1204</v>
      </c>
      <c r="B379" s="1" t="s">
        <v>777</v>
      </c>
      <c r="C379" s="1" t="str">
        <f t="shared" si="15"/>
        <v>Crannell - Humboldt</v>
      </c>
      <c r="D379" s="512">
        <f t="shared" si="16"/>
        <v>5.1583333333333321E-2</v>
      </c>
      <c r="E379" s="261">
        <f t="shared" si="17"/>
        <v>1.115E-2</v>
      </c>
    </row>
    <row r="380" spans="1:5" ht="12.75" x14ac:dyDescent="0.2">
      <c r="A380" s="259" t="s">
        <v>1205</v>
      </c>
      <c r="B380" s="1" t="s">
        <v>732</v>
      </c>
      <c r="C380" s="1" t="str">
        <f t="shared" si="15"/>
        <v>Crenshaw - Los Angeles</v>
      </c>
      <c r="D380" s="512">
        <f t="shared" si="16"/>
        <v>5.4833333333333331E-2</v>
      </c>
      <c r="E380" s="261">
        <f t="shared" si="17"/>
        <v>1.1599999999999999E-2</v>
      </c>
    </row>
    <row r="381" spans="1:5" ht="12.75" x14ac:dyDescent="0.2">
      <c r="A381" s="259" t="s">
        <v>1206</v>
      </c>
      <c r="B381" s="1" t="s">
        <v>1207</v>
      </c>
      <c r="C381" s="1" t="str">
        <f t="shared" si="15"/>
        <v>Crescent City - Del Norte</v>
      </c>
      <c r="D381" s="512">
        <f t="shared" si="16"/>
        <v>6.0749999999999992E-2</v>
      </c>
      <c r="E381" s="261">
        <f t="shared" si="17"/>
        <v>1.035E-2</v>
      </c>
    </row>
    <row r="382" spans="1:5" ht="12.75" x14ac:dyDescent="0.2">
      <c r="A382" s="259" t="s">
        <v>1208</v>
      </c>
      <c r="B382" s="1" t="s">
        <v>791</v>
      </c>
      <c r="C382" s="1" t="str">
        <f t="shared" si="15"/>
        <v>Crescent Mills - Plumas</v>
      </c>
      <c r="D382" s="512">
        <f t="shared" si="16"/>
        <v>7.7250000000000013E-2</v>
      </c>
      <c r="E382" s="261">
        <f t="shared" si="17"/>
        <v>1.099E-2</v>
      </c>
    </row>
    <row r="383" spans="1:5" ht="12.75" x14ac:dyDescent="0.2">
      <c r="A383" s="259" t="s">
        <v>1209</v>
      </c>
      <c r="B383" s="1" t="s">
        <v>892</v>
      </c>
      <c r="C383" s="1" t="str">
        <f t="shared" si="15"/>
        <v>Cressey - Merced</v>
      </c>
      <c r="D383" s="512">
        <f t="shared" si="16"/>
        <v>9.6416666666666678E-2</v>
      </c>
      <c r="E383" s="261">
        <f t="shared" si="17"/>
        <v>1.0829999999999999E-2</v>
      </c>
    </row>
    <row r="384" spans="1:5" ht="12.75" x14ac:dyDescent="0.2">
      <c r="A384" s="259" t="s">
        <v>1210</v>
      </c>
      <c r="B384" s="1" t="s">
        <v>738</v>
      </c>
      <c r="C384" s="1" t="str">
        <f t="shared" si="15"/>
        <v>Crest Park - San Bernardino</v>
      </c>
      <c r="D384" s="512">
        <f t="shared" si="16"/>
        <v>5.1583333333333342E-2</v>
      </c>
      <c r="E384" s="261">
        <f t="shared" si="17"/>
        <v>1.1379999999999999E-2</v>
      </c>
    </row>
    <row r="385" spans="1:5" ht="12.75" x14ac:dyDescent="0.2">
      <c r="A385" s="259" t="s">
        <v>1211</v>
      </c>
      <c r="B385" s="1" t="s">
        <v>764</v>
      </c>
      <c r="C385" s="1" t="str">
        <f t="shared" si="15"/>
        <v>Cresta Blanca - Alameda</v>
      </c>
      <c r="D385" s="512">
        <f t="shared" si="16"/>
        <v>4.7E-2</v>
      </c>
      <c r="E385" s="261">
        <f t="shared" si="17"/>
        <v>1.2430000000000002E-2</v>
      </c>
    </row>
    <row r="386" spans="1:5" ht="12.75" x14ac:dyDescent="0.2">
      <c r="A386" s="259" t="s">
        <v>1212</v>
      </c>
      <c r="B386" s="1" t="s">
        <v>738</v>
      </c>
      <c r="C386" s="1" t="str">
        <f t="shared" si="15"/>
        <v>Crestline - San Bernardino</v>
      </c>
      <c r="D386" s="512">
        <f t="shared" si="16"/>
        <v>5.1583333333333342E-2</v>
      </c>
      <c r="E386" s="261">
        <f t="shared" si="17"/>
        <v>1.1379999999999999E-2</v>
      </c>
    </row>
    <row r="387" spans="1:5" ht="12.75" x14ac:dyDescent="0.2">
      <c r="A387" s="259" t="s">
        <v>1213</v>
      </c>
      <c r="B387" s="1" t="s">
        <v>735</v>
      </c>
      <c r="C387" s="1" t="str">
        <f t="shared" si="15"/>
        <v>Creston - San Luis Obispo</v>
      </c>
      <c r="D387" s="512">
        <f t="shared" si="16"/>
        <v>3.8833333333333331E-2</v>
      </c>
      <c r="E387" s="261">
        <f t="shared" si="17"/>
        <v>1.085E-2</v>
      </c>
    </row>
    <row r="388" spans="1:5" ht="12.75" x14ac:dyDescent="0.2">
      <c r="A388" s="259" t="s">
        <v>1214</v>
      </c>
      <c r="B388" s="1" t="s">
        <v>767</v>
      </c>
      <c r="C388" s="1" t="str">
        <f t="shared" si="15"/>
        <v>Crockett - Contra Costa</v>
      </c>
      <c r="D388" s="512">
        <f t="shared" si="16"/>
        <v>4.7250000000000007E-2</v>
      </c>
      <c r="E388" s="261">
        <f t="shared" si="17"/>
        <v>1.163E-2</v>
      </c>
    </row>
    <row r="389" spans="1:5" ht="12.75" x14ac:dyDescent="0.2">
      <c r="A389" s="259" t="s">
        <v>1215</v>
      </c>
      <c r="B389" s="1" t="s">
        <v>791</v>
      </c>
      <c r="C389" s="1" t="str">
        <f t="shared" si="15"/>
        <v>Cromberg - Plumas</v>
      </c>
      <c r="D389" s="512">
        <f t="shared" si="16"/>
        <v>7.7250000000000013E-2</v>
      </c>
      <c r="E389" s="261">
        <f t="shared" si="17"/>
        <v>1.099E-2</v>
      </c>
    </row>
    <row r="390" spans="1:5" ht="12.75" x14ac:dyDescent="0.2">
      <c r="A390" s="259" t="s">
        <v>1216</v>
      </c>
      <c r="B390" s="1" t="s">
        <v>738</v>
      </c>
      <c r="C390" s="1" t="str">
        <f t="shared" si="15"/>
        <v>Cross Roads - San Bernardino</v>
      </c>
      <c r="D390" s="512">
        <f t="shared" si="16"/>
        <v>5.1583333333333342E-2</v>
      </c>
      <c r="E390" s="261">
        <f t="shared" si="17"/>
        <v>1.1379999999999999E-2</v>
      </c>
    </row>
    <row r="391" spans="1:5" ht="12.75" x14ac:dyDescent="0.2">
      <c r="A391" s="259" t="s">
        <v>1217</v>
      </c>
      <c r="B391" s="1" t="s">
        <v>951</v>
      </c>
      <c r="C391" s="1" t="str">
        <f t="shared" si="15"/>
        <v>Crowley Lake - Mono</v>
      </c>
      <c r="D391" s="512">
        <f t="shared" si="16"/>
        <v>4.0166666666666663E-2</v>
      </c>
      <c r="E391" s="261">
        <f t="shared" si="17"/>
        <v>1.154E-2</v>
      </c>
    </row>
    <row r="392" spans="1:5" ht="12.75" x14ac:dyDescent="0.2">
      <c r="A392" s="259" t="s">
        <v>1218</v>
      </c>
      <c r="B392" s="1" t="s">
        <v>1124</v>
      </c>
      <c r="C392" s="1" t="str">
        <f t="shared" ref="C392:C455" si="18">A392&amp;" - "&amp;B392</f>
        <v>Crows Landing - Stanislaus</v>
      </c>
      <c r="D392" s="512">
        <f t="shared" si="16"/>
        <v>6.9833333333333331E-2</v>
      </c>
      <c r="E392" s="261">
        <f t="shared" si="17"/>
        <v>1.1080000000000001E-2</v>
      </c>
    </row>
    <row r="393" spans="1:5" ht="12.75" x14ac:dyDescent="0.2">
      <c r="A393" s="259" t="s">
        <v>1219</v>
      </c>
      <c r="B393" s="1" t="s">
        <v>738</v>
      </c>
      <c r="C393" s="1" t="str">
        <f t="shared" si="18"/>
        <v>Cucamonga - San Bernardino</v>
      </c>
      <c r="D393" s="512">
        <f t="shared" ref="D393:D456" si="19">VLOOKUP(B393,unemployment_rates,2, FALSE)</f>
        <v>5.1583333333333342E-2</v>
      </c>
      <c r="E393" s="261">
        <f t="shared" ref="E393:E456" si="20">VLOOKUP(B393,Prop_Tax_Rates,2,FALSE)</f>
        <v>1.1379999999999999E-2</v>
      </c>
    </row>
    <row r="394" spans="1:5" ht="12.75" x14ac:dyDescent="0.2">
      <c r="A394" s="259" t="s">
        <v>1220</v>
      </c>
      <c r="B394" s="1" t="s">
        <v>732</v>
      </c>
      <c r="C394" s="1" t="str">
        <f t="shared" si="18"/>
        <v>Cudahy - Los Angeles</v>
      </c>
      <c r="D394" s="512">
        <f t="shared" si="19"/>
        <v>5.4833333333333331E-2</v>
      </c>
      <c r="E394" s="261">
        <f t="shared" si="20"/>
        <v>1.1599999999999999E-2</v>
      </c>
    </row>
    <row r="395" spans="1:5" ht="12.75" x14ac:dyDescent="0.2">
      <c r="A395" s="259" t="s">
        <v>1221</v>
      </c>
      <c r="B395" s="1" t="s">
        <v>732</v>
      </c>
      <c r="C395" s="1" t="str">
        <f t="shared" si="18"/>
        <v>Culver City - Los Angeles</v>
      </c>
      <c r="D395" s="512">
        <f t="shared" si="19"/>
        <v>5.4833333333333331E-2</v>
      </c>
      <c r="E395" s="261">
        <f t="shared" si="20"/>
        <v>1.1599999999999999E-2</v>
      </c>
    </row>
    <row r="396" spans="1:5" ht="12.75" x14ac:dyDescent="0.2">
      <c r="A396" s="259" t="s">
        <v>1222</v>
      </c>
      <c r="B396" s="1" t="s">
        <v>774</v>
      </c>
      <c r="C396" s="1" t="str">
        <f t="shared" si="18"/>
        <v>Cummings - Mendocino</v>
      </c>
      <c r="D396" s="512">
        <f t="shared" si="19"/>
        <v>5.1916666666666667E-2</v>
      </c>
      <c r="E396" s="261">
        <f t="shared" si="20"/>
        <v>1.1650000000000001E-2</v>
      </c>
    </row>
    <row r="397" spans="1:5" ht="12.75" x14ac:dyDescent="0.2">
      <c r="A397" s="259" t="s">
        <v>1223</v>
      </c>
      <c r="B397" s="1" t="s">
        <v>788</v>
      </c>
      <c r="C397" s="1" t="str">
        <f t="shared" si="18"/>
        <v>Cupertino - Santa Clara</v>
      </c>
      <c r="D397" s="512">
        <f t="shared" si="19"/>
        <v>4.0750000000000001E-2</v>
      </c>
      <c r="E397" s="261">
        <f t="shared" si="20"/>
        <v>1.2110000000000001E-2</v>
      </c>
    </row>
    <row r="398" spans="1:5" ht="12.75" x14ac:dyDescent="0.2">
      <c r="A398" s="259" t="s">
        <v>1224</v>
      </c>
      <c r="B398" s="1" t="s">
        <v>935</v>
      </c>
      <c r="C398" s="1" t="str">
        <f t="shared" si="18"/>
        <v>Curry Village - Mariposa</v>
      </c>
      <c r="D398" s="512">
        <f t="shared" si="19"/>
        <v>5.2833333333333329E-2</v>
      </c>
      <c r="E398" s="261">
        <f t="shared" si="20"/>
        <v>1.0369999999999999E-2</v>
      </c>
    </row>
    <row r="399" spans="1:5" ht="12.75" x14ac:dyDescent="0.2">
      <c r="A399" s="259" t="s">
        <v>1225</v>
      </c>
      <c r="B399" s="1" t="s">
        <v>798</v>
      </c>
      <c r="C399" s="1" t="str">
        <f t="shared" si="18"/>
        <v>Cutler - Tulare</v>
      </c>
      <c r="D399" s="512">
        <f t="shared" si="19"/>
        <v>0.10691666666666669</v>
      </c>
      <c r="E399" s="261">
        <f t="shared" si="20"/>
        <v>1.0869999999999999E-2</v>
      </c>
    </row>
    <row r="400" spans="1:5" ht="12.75" x14ac:dyDescent="0.2">
      <c r="A400" s="259" t="s">
        <v>1226</v>
      </c>
      <c r="B400" s="1" t="s">
        <v>777</v>
      </c>
      <c r="C400" s="1" t="str">
        <f t="shared" si="18"/>
        <v>Cutten - Humboldt</v>
      </c>
      <c r="D400" s="512">
        <f t="shared" si="19"/>
        <v>5.1583333333333321E-2</v>
      </c>
      <c r="E400" s="261">
        <f t="shared" si="20"/>
        <v>1.115E-2</v>
      </c>
    </row>
    <row r="401" spans="1:5" ht="12.75" x14ac:dyDescent="0.2">
      <c r="A401" s="259" t="s">
        <v>1227</v>
      </c>
      <c r="B401" s="1" t="s">
        <v>911</v>
      </c>
      <c r="C401" s="1" t="str">
        <f t="shared" si="18"/>
        <v>Cuyama - Santa Barbara</v>
      </c>
      <c r="D401" s="512">
        <f t="shared" si="19"/>
        <v>4.5333333333333344E-2</v>
      </c>
      <c r="E401" s="261">
        <f t="shared" si="20"/>
        <v>1.0740000000000001E-2</v>
      </c>
    </row>
    <row r="402" spans="1:5" ht="12.75" x14ac:dyDescent="0.2">
      <c r="A402" s="259" t="s">
        <v>1228</v>
      </c>
      <c r="B402" s="1" t="s">
        <v>1229</v>
      </c>
      <c r="C402" s="1" t="str">
        <f t="shared" si="18"/>
        <v xml:space="preserve">Cypress - Orange </v>
      </c>
      <c r="D402" s="512" t="e">
        <f t="shared" si="19"/>
        <v>#N/A</v>
      </c>
      <c r="E402" s="261" t="e">
        <f t="shared" si="20"/>
        <v>#N/A</v>
      </c>
    </row>
    <row r="403" spans="1:5" ht="12.75" x14ac:dyDescent="0.2">
      <c r="A403" s="259" t="s">
        <v>1230</v>
      </c>
      <c r="B403" s="1" t="s">
        <v>738</v>
      </c>
      <c r="C403" s="1" t="str">
        <f t="shared" si="18"/>
        <v>Daggett - San Bernardino</v>
      </c>
      <c r="D403" s="512">
        <f t="shared" si="19"/>
        <v>5.1583333333333342E-2</v>
      </c>
      <c r="E403" s="261">
        <f t="shared" si="20"/>
        <v>1.1379999999999999E-2</v>
      </c>
    </row>
    <row r="404" spans="1:5" ht="12.75" x14ac:dyDescent="0.2">
      <c r="A404" s="259" t="s">
        <v>1231</v>
      </c>
      <c r="B404" s="1" t="s">
        <v>949</v>
      </c>
      <c r="C404" s="1" t="str">
        <f t="shared" si="18"/>
        <v>Dairy Farm - Solano</v>
      </c>
      <c r="D404" s="512">
        <f t="shared" si="19"/>
        <v>5.1916666666666673E-2</v>
      </c>
      <c r="E404" s="261">
        <f t="shared" si="20"/>
        <v>1.18E-2</v>
      </c>
    </row>
    <row r="405" spans="1:5" ht="12.75" x14ac:dyDescent="0.2">
      <c r="A405" s="259" t="s">
        <v>1232</v>
      </c>
      <c r="B405" s="1" t="s">
        <v>890</v>
      </c>
      <c r="C405" s="1" t="str">
        <f t="shared" si="18"/>
        <v>Daly City - San Mateo</v>
      </c>
      <c r="D405" s="512">
        <f t="shared" si="19"/>
        <v>3.5000000000000003E-2</v>
      </c>
      <c r="E405" s="261">
        <f t="shared" si="20"/>
        <v>1.1089999999999999E-2</v>
      </c>
    </row>
    <row r="406" spans="1:5" ht="12.75" x14ac:dyDescent="0.2">
      <c r="A406" s="259" t="s">
        <v>1233</v>
      </c>
      <c r="B406" s="1" t="s">
        <v>782</v>
      </c>
      <c r="C406" s="1" t="str">
        <f t="shared" si="18"/>
        <v>Dana Point - Orange</v>
      </c>
      <c r="D406" s="512">
        <f t="shared" si="19"/>
        <v>3.9749999999999994E-2</v>
      </c>
      <c r="E406" s="261">
        <f t="shared" si="20"/>
        <v>1.0660000000000001E-2</v>
      </c>
    </row>
    <row r="407" spans="1:5" ht="12.75" x14ac:dyDescent="0.2">
      <c r="A407" s="259" t="s">
        <v>1234</v>
      </c>
      <c r="B407" s="1" t="s">
        <v>767</v>
      </c>
      <c r="C407" s="1" t="str">
        <f t="shared" si="18"/>
        <v>Danville - Contra Costa</v>
      </c>
      <c r="D407" s="512">
        <f t="shared" si="19"/>
        <v>4.7250000000000007E-2</v>
      </c>
      <c r="E407" s="261">
        <f t="shared" si="20"/>
        <v>1.163E-2</v>
      </c>
    </row>
    <row r="408" spans="1:5" ht="12.75" x14ac:dyDescent="0.2">
      <c r="A408" s="259" t="s">
        <v>1235</v>
      </c>
      <c r="B408" s="1" t="s">
        <v>968</v>
      </c>
      <c r="C408" s="1" t="str">
        <f t="shared" si="18"/>
        <v>Dardanelle - Tuolumne</v>
      </c>
      <c r="D408" s="512">
        <f t="shared" si="19"/>
        <v>5.4333333333333338E-2</v>
      </c>
      <c r="E408" s="261">
        <f t="shared" si="20"/>
        <v>1.0780000000000001E-2</v>
      </c>
    </row>
    <row r="409" spans="1:5" ht="12.75" x14ac:dyDescent="0.2">
      <c r="A409" s="259" t="s">
        <v>1236</v>
      </c>
      <c r="B409" s="1" t="s">
        <v>822</v>
      </c>
      <c r="C409" s="1" t="str">
        <f t="shared" si="18"/>
        <v>Darwin - Inyo</v>
      </c>
      <c r="D409" s="512">
        <f t="shared" si="19"/>
        <v>3.9833333333333339E-2</v>
      </c>
      <c r="E409" s="261">
        <f t="shared" si="20"/>
        <v>1.065E-2</v>
      </c>
    </row>
    <row r="410" spans="1:5" ht="12.75" x14ac:dyDescent="0.2">
      <c r="A410" s="259" t="s">
        <v>1237</v>
      </c>
      <c r="B410" s="1" t="s">
        <v>856</v>
      </c>
      <c r="C410" s="1" t="str">
        <f t="shared" si="18"/>
        <v>Davenport - Santa Cruz</v>
      </c>
      <c r="D410" s="512">
        <f t="shared" si="19"/>
        <v>6.2416666666666669E-2</v>
      </c>
      <c r="E410" s="261">
        <f t="shared" si="20"/>
        <v>1.106E-2</v>
      </c>
    </row>
    <row r="411" spans="1:5" ht="12.75" x14ac:dyDescent="0.2">
      <c r="A411" s="259" t="s">
        <v>1238</v>
      </c>
      <c r="B411" s="1" t="s">
        <v>1018</v>
      </c>
      <c r="C411" s="1" t="str">
        <f t="shared" si="18"/>
        <v>Davis - Yolo</v>
      </c>
      <c r="D411" s="512">
        <f t="shared" si="19"/>
        <v>5.2666666666666667E-2</v>
      </c>
      <c r="E411" s="261">
        <f t="shared" si="20"/>
        <v>1.11E-2</v>
      </c>
    </row>
    <row r="412" spans="1:5" ht="12.75" x14ac:dyDescent="0.2">
      <c r="A412" s="259" t="s">
        <v>1239</v>
      </c>
      <c r="B412" s="1" t="s">
        <v>741</v>
      </c>
      <c r="C412" s="1" t="str">
        <f t="shared" si="18"/>
        <v>Davis Creek - Modoc</v>
      </c>
      <c r="D412" s="512">
        <f t="shared" si="19"/>
        <v>6.8499999999999991E-2</v>
      </c>
      <c r="E412" s="261">
        <f t="shared" si="20"/>
        <v>0.01</v>
      </c>
    </row>
    <row r="413" spans="1:5" ht="12.75" x14ac:dyDescent="0.2">
      <c r="A413" s="259" t="s">
        <v>1240</v>
      </c>
      <c r="B413" s="1" t="s">
        <v>822</v>
      </c>
      <c r="C413" s="1" t="str">
        <f t="shared" si="18"/>
        <v>Death Valley - Inyo</v>
      </c>
      <c r="D413" s="512">
        <f t="shared" si="19"/>
        <v>3.9833333333333339E-2</v>
      </c>
      <c r="E413" s="261">
        <f t="shared" si="20"/>
        <v>1.065E-2</v>
      </c>
    </row>
    <row r="414" spans="1:5" ht="12.75" x14ac:dyDescent="0.2">
      <c r="A414" s="259" t="s">
        <v>1241</v>
      </c>
      <c r="B414" s="1" t="s">
        <v>822</v>
      </c>
      <c r="C414" s="1" t="str">
        <f t="shared" si="18"/>
        <v>Death Valley Junction - Inyo</v>
      </c>
      <c r="D414" s="512">
        <f t="shared" si="19"/>
        <v>3.9833333333333339E-2</v>
      </c>
      <c r="E414" s="261">
        <f t="shared" si="20"/>
        <v>1.065E-2</v>
      </c>
    </row>
    <row r="415" spans="1:5" ht="12.75" x14ac:dyDescent="0.2">
      <c r="A415" s="259" t="s">
        <v>1242</v>
      </c>
      <c r="B415" s="1" t="s">
        <v>827</v>
      </c>
      <c r="C415" s="1" t="str">
        <f t="shared" si="18"/>
        <v>Deer Park - Napa</v>
      </c>
      <c r="D415" s="512">
        <f t="shared" si="19"/>
        <v>0.04</v>
      </c>
      <c r="E415" s="261">
        <f t="shared" si="20"/>
        <v>1.102E-2</v>
      </c>
    </row>
    <row r="416" spans="1:5" ht="12.75" x14ac:dyDescent="0.2">
      <c r="A416" s="259" t="s">
        <v>1243</v>
      </c>
      <c r="B416" s="1" t="s">
        <v>884</v>
      </c>
      <c r="C416" s="1" t="str">
        <f t="shared" si="18"/>
        <v>Del Kern - Kern</v>
      </c>
      <c r="D416" s="512">
        <f t="shared" si="19"/>
        <v>8.9333333333333334E-2</v>
      </c>
      <c r="E416" s="261">
        <f t="shared" si="20"/>
        <v>1.238E-2</v>
      </c>
    </row>
    <row r="417" spans="1:5" ht="12.75" x14ac:dyDescent="0.2">
      <c r="A417" s="259" t="s">
        <v>1244</v>
      </c>
      <c r="B417" s="1" t="s">
        <v>751</v>
      </c>
      <c r="C417" s="1" t="str">
        <f t="shared" si="18"/>
        <v>Del Mar - San Diego</v>
      </c>
      <c r="D417" s="512">
        <f t="shared" si="19"/>
        <v>4.4750000000000005E-2</v>
      </c>
      <c r="E417" s="261">
        <f t="shared" si="20"/>
        <v>1.167E-2</v>
      </c>
    </row>
    <row r="418" spans="1:5" ht="12.75" x14ac:dyDescent="0.2">
      <c r="A418" s="259" t="s">
        <v>1245</v>
      </c>
      <c r="B418" s="1" t="s">
        <v>735</v>
      </c>
      <c r="C418" s="1" t="str">
        <f t="shared" si="18"/>
        <v>Del Mar Heights - San Luis Obispo</v>
      </c>
      <c r="D418" s="512">
        <f t="shared" si="19"/>
        <v>3.8833333333333331E-2</v>
      </c>
      <c r="E418" s="261">
        <f t="shared" si="20"/>
        <v>1.085E-2</v>
      </c>
    </row>
    <row r="419" spans="1:5" ht="12.75" x14ac:dyDescent="0.2">
      <c r="A419" s="259" t="s">
        <v>1246</v>
      </c>
      <c r="B419" s="1" t="s">
        <v>876</v>
      </c>
      <c r="C419" s="1" t="str">
        <f t="shared" si="18"/>
        <v>Del Monte Park  - Monterey</v>
      </c>
      <c r="D419" s="512">
        <f t="shared" si="19"/>
        <v>7.425000000000001E-2</v>
      </c>
      <c r="E419" s="261">
        <f t="shared" si="20"/>
        <v>1.098E-2</v>
      </c>
    </row>
    <row r="420" spans="1:5" ht="12.75" x14ac:dyDescent="0.2">
      <c r="A420" s="259" t="s">
        <v>1247</v>
      </c>
      <c r="B420" s="1" t="s">
        <v>895</v>
      </c>
      <c r="C420" s="1" t="str">
        <f t="shared" si="18"/>
        <v>Del Rey - Fresno</v>
      </c>
      <c r="D420" s="512">
        <f t="shared" si="19"/>
        <v>8.0416666666666664E-2</v>
      </c>
      <c r="E420" s="261">
        <f t="shared" si="20"/>
        <v>1.2110000000000001E-2</v>
      </c>
    </row>
    <row r="421" spans="1:5" ht="12.75" x14ac:dyDescent="0.2">
      <c r="A421" s="259" t="s">
        <v>1248</v>
      </c>
      <c r="B421" s="1" t="s">
        <v>876</v>
      </c>
      <c r="C421" s="1" t="str">
        <f t="shared" si="18"/>
        <v>Del Rey Oaks - Monterey</v>
      </c>
      <c r="D421" s="512">
        <f t="shared" si="19"/>
        <v>7.425000000000001E-2</v>
      </c>
      <c r="E421" s="261">
        <f t="shared" si="20"/>
        <v>1.098E-2</v>
      </c>
    </row>
    <row r="422" spans="1:5" ht="12.75" x14ac:dyDescent="0.2">
      <c r="A422" s="259" t="s">
        <v>1249</v>
      </c>
      <c r="B422" s="1" t="s">
        <v>738</v>
      </c>
      <c r="C422" s="1" t="str">
        <f t="shared" si="18"/>
        <v>Del Rosa - San Bernardino</v>
      </c>
      <c r="D422" s="512">
        <f t="shared" si="19"/>
        <v>5.1583333333333342E-2</v>
      </c>
      <c r="E422" s="261">
        <f t="shared" si="20"/>
        <v>1.1379999999999999E-2</v>
      </c>
    </row>
    <row r="423" spans="1:5" ht="12.75" x14ac:dyDescent="0.2">
      <c r="A423" s="259" t="s">
        <v>1250</v>
      </c>
      <c r="B423" s="1" t="s">
        <v>732</v>
      </c>
      <c r="C423" s="1" t="str">
        <f t="shared" si="18"/>
        <v>Del Sur - Los Angeles</v>
      </c>
      <c r="D423" s="512">
        <f t="shared" si="19"/>
        <v>5.4833333333333331E-2</v>
      </c>
      <c r="E423" s="261">
        <f t="shared" si="20"/>
        <v>1.1599999999999999E-2</v>
      </c>
    </row>
    <row r="424" spans="1:5" ht="12.75" x14ac:dyDescent="0.2">
      <c r="A424" s="259" t="s">
        <v>1251</v>
      </c>
      <c r="B424" s="1" t="s">
        <v>884</v>
      </c>
      <c r="C424" s="1" t="str">
        <f t="shared" si="18"/>
        <v>Delano - Kern</v>
      </c>
      <c r="D424" s="512">
        <f t="shared" si="19"/>
        <v>8.9333333333333334E-2</v>
      </c>
      <c r="E424" s="261">
        <f t="shared" si="20"/>
        <v>1.238E-2</v>
      </c>
    </row>
    <row r="425" spans="1:5" ht="12.75" x14ac:dyDescent="0.2">
      <c r="A425" s="259" t="s">
        <v>1252</v>
      </c>
      <c r="B425" s="1" t="s">
        <v>859</v>
      </c>
      <c r="C425" s="1" t="str">
        <f t="shared" si="18"/>
        <v>Deleven - Colusa</v>
      </c>
      <c r="D425" s="512">
        <f t="shared" si="19"/>
        <v>0.13600000000000001</v>
      </c>
      <c r="E425" s="261">
        <f t="shared" si="20"/>
        <v>1.098E-2</v>
      </c>
    </row>
    <row r="426" spans="1:5" ht="12.75" x14ac:dyDescent="0.2">
      <c r="A426" s="259" t="s">
        <v>1253</v>
      </c>
      <c r="B426" s="1" t="s">
        <v>892</v>
      </c>
      <c r="C426" s="1" t="str">
        <f t="shared" si="18"/>
        <v>Delhi - Merced</v>
      </c>
      <c r="D426" s="512">
        <f t="shared" si="19"/>
        <v>9.6416666666666678E-2</v>
      </c>
      <c r="E426" s="261">
        <f t="shared" si="20"/>
        <v>1.0829999999999999E-2</v>
      </c>
    </row>
    <row r="427" spans="1:5" ht="12.75" x14ac:dyDescent="0.2">
      <c r="A427" s="259" t="s">
        <v>1254</v>
      </c>
      <c r="B427" s="1" t="s">
        <v>1124</v>
      </c>
      <c r="C427" s="1" t="str">
        <f t="shared" si="18"/>
        <v>Denair - Stanislaus</v>
      </c>
      <c r="D427" s="512">
        <f t="shared" si="19"/>
        <v>6.9833333333333331E-2</v>
      </c>
      <c r="E427" s="261">
        <f t="shared" si="20"/>
        <v>1.1080000000000001E-2</v>
      </c>
    </row>
    <row r="428" spans="1:5" ht="12.75" x14ac:dyDescent="0.2">
      <c r="A428" s="259" t="s">
        <v>1255</v>
      </c>
      <c r="B428" s="1" t="s">
        <v>961</v>
      </c>
      <c r="C428" s="1" t="str">
        <f t="shared" si="18"/>
        <v>Denny - Trinity</v>
      </c>
      <c r="D428" s="512">
        <f t="shared" si="19"/>
        <v>5.916666666666668E-2</v>
      </c>
      <c r="E428" s="261">
        <f t="shared" si="20"/>
        <v>1.043E-2</v>
      </c>
    </row>
    <row r="429" spans="1:5" ht="12.75" x14ac:dyDescent="0.2">
      <c r="A429" s="259" t="s">
        <v>1256</v>
      </c>
      <c r="B429" s="1" t="s">
        <v>751</v>
      </c>
      <c r="C429" s="1" t="str">
        <f t="shared" si="18"/>
        <v>Descanso - San Diego</v>
      </c>
      <c r="D429" s="512">
        <f t="shared" si="19"/>
        <v>4.4750000000000005E-2</v>
      </c>
      <c r="E429" s="261">
        <f t="shared" si="20"/>
        <v>1.167E-2</v>
      </c>
    </row>
    <row r="430" spans="1:5" ht="12.75" x14ac:dyDescent="0.2">
      <c r="A430" s="259" t="s">
        <v>1257</v>
      </c>
      <c r="B430" s="1" t="s">
        <v>756</v>
      </c>
      <c r="C430" s="1" t="str">
        <f t="shared" si="18"/>
        <v>Desert Center - Riverside</v>
      </c>
      <c r="D430" s="512">
        <f t="shared" si="19"/>
        <v>5.3749999999999999E-2</v>
      </c>
      <c r="E430" s="261">
        <f t="shared" si="20"/>
        <v>1.1859999999999999E-2</v>
      </c>
    </row>
    <row r="431" spans="1:5" ht="12.75" x14ac:dyDescent="0.2">
      <c r="A431" s="259" t="s">
        <v>1258</v>
      </c>
      <c r="B431" s="1" t="s">
        <v>756</v>
      </c>
      <c r="C431" s="1" t="str">
        <f t="shared" si="18"/>
        <v>Desert Hot Springs - Riverside</v>
      </c>
      <c r="D431" s="512">
        <f t="shared" si="19"/>
        <v>5.3749999999999999E-2</v>
      </c>
      <c r="E431" s="261">
        <f t="shared" si="20"/>
        <v>1.1859999999999999E-2</v>
      </c>
    </row>
    <row r="432" spans="1:5" ht="12.75" x14ac:dyDescent="0.2">
      <c r="A432" s="259" t="s">
        <v>1259</v>
      </c>
      <c r="B432" s="1" t="s">
        <v>884</v>
      </c>
      <c r="C432" s="1" t="str">
        <f t="shared" si="18"/>
        <v>Di Giorgio - Kern</v>
      </c>
      <c r="D432" s="512">
        <f t="shared" si="19"/>
        <v>8.9333333333333334E-2</v>
      </c>
      <c r="E432" s="261">
        <f t="shared" si="20"/>
        <v>1.238E-2</v>
      </c>
    </row>
    <row r="433" spans="1:5" ht="12.75" x14ac:dyDescent="0.2">
      <c r="A433" s="259" t="s">
        <v>1260</v>
      </c>
      <c r="B433" s="1" t="s">
        <v>767</v>
      </c>
      <c r="C433" s="1" t="str">
        <f t="shared" si="18"/>
        <v>Diablo - Contra Costa</v>
      </c>
      <c r="D433" s="512">
        <f t="shared" si="19"/>
        <v>4.7250000000000007E-2</v>
      </c>
      <c r="E433" s="261">
        <f t="shared" si="20"/>
        <v>1.163E-2</v>
      </c>
    </row>
    <row r="434" spans="1:5" ht="12.75" x14ac:dyDescent="0.2">
      <c r="A434" s="259" t="s">
        <v>1261</v>
      </c>
      <c r="B434" s="1" t="s">
        <v>732</v>
      </c>
      <c r="C434" s="1" t="str">
        <f t="shared" si="18"/>
        <v>Diamond Bar - Los Angeles</v>
      </c>
      <c r="D434" s="512">
        <f t="shared" si="19"/>
        <v>5.4833333333333331E-2</v>
      </c>
      <c r="E434" s="261">
        <f t="shared" si="20"/>
        <v>1.1599999999999999E-2</v>
      </c>
    </row>
    <row r="435" spans="1:5" ht="12.75" x14ac:dyDescent="0.2">
      <c r="A435" s="259" t="s">
        <v>1262</v>
      </c>
      <c r="B435" s="1" t="s">
        <v>762</v>
      </c>
      <c r="C435" s="1" t="str">
        <f t="shared" si="18"/>
        <v>Diamond Springs - El Dorado</v>
      </c>
      <c r="D435" s="512">
        <f t="shared" si="19"/>
        <v>4.466666666666666E-2</v>
      </c>
      <c r="E435" s="261">
        <f t="shared" si="20"/>
        <v>1.0660000000000001E-2</v>
      </c>
    </row>
    <row r="436" spans="1:5" ht="12.75" x14ac:dyDescent="0.2">
      <c r="A436" s="259" t="s">
        <v>1263</v>
      </c>
      <c r="B436" s="1" t="s">
        <v>946</v>
      </c>
      <c r="C436" s="1" t="str">
        <f t="shared" si="18"/>
        <v>Dillon Beach - Marin</v>
      </c>
      <c r="D436" s="512">
        <f t="shared" si="19"/>
        <v>3.7749999999999999E-2</v>
      </c>
      <c r="E436" s="261">
        <f t="shared" si="20"/>
        <v>1.1299999999999999E-2</v>
      </c>
    </row>
    <row r="437" spans="1:5" ht="12.75" x14ac:dyDescent="0.2">
      <c r="A437" s="259" t="s">
        <v>1264</v>
      </c>
      <c r="B437" s="1" t="s">
        <v>895</v>
      </c>
      <c r="C437" s="1" t="str">
        <f t="shared" si="18"/>
        <v>Dinkey Creek - Fresno</v>
      </c>
      <c r="D437" s="512">
        <f t="shared" si="19"/>
        <v>8.0416666666666664E-2</v>
      </c>
      <c r="E437" s="261">
        <f t="shared" si="20"/>
        <v>1.2110000000000001E-2</v>
      </c>
    </row>
    <row r="438" spans="1:5" ht="12.75" x14ac:dyDescent="0.2">
      <c r="A438" s="259" t="s">
        <v>1265</v>
      </c>
      <c r="B438" s="1" t="s">
        <v>798</v>
      </c>
      <c r="C438" s="1" t="str">
        <f t="shared" si="18"/>
        <v>Dinuba - Tulare</v>
      </c>
      <c r="D438" s="512">
        <f t="shared" si="19"/>
        <v>0.10691666666666669</v>
      </c>
      <c r="E438" s="261">
        <f t="shared" si="20"/>
        <v>1.0869999999999999E-2</v>
      </c>
    </row>
    <row r="439" spans="1:5" ht="12.75" x14ac:dyDescent="0.2">
      <c r="A439" s="259" t="s">
        <v>1266</v>
      </c>
      <c r="B439" s="1" t="s">
        <v>767</v>
      </c>
      <c r="C439" s="1" t="str">
        <f t="shared" si="18"/>
        <v>Discovery Bay - Contra Costa</v>
      </c>
      <c r="D439" s="512">
        <f t="shared" si="19"/>
        <v>4.7250000000000007E-2</v>
      </c>
      <c r="E439" s="261">
        <f t="shared" si="20"/>
        <v>1.163E-2</v>
      </c>
    </row>
    <row r="440" spans="1:5" ht="12.75" x14ac:dyDescent="0.2">
      <c r="A440" s="259" t="s">
        <v>1267</v>
      </c>
      <c r="B440" s="1" t="s">
        <v>949</v>
      </c>
      <c r="C440" s="1" t="str">
        <f t="shared" si="18"/>
        <v>Dixon - Solano</v>
      </c>
      <c r="D440" s="512">
        <f t="shared" si="19"/>
        <v>5.1916666666666673E-2</v>
      </c>
      <c r="E440" s="261">
        <f t="shared" si="20"/>
        <v>1.18E-2</v>
      </c>
    </row>
    <row r="441" spans="1:5" ht="12.75" x14ac:dyDescent="0.2">
      <c r="A441" s="259" t="s">
        <v>1268</v>
      </c>
      <c r="B441" s="1" t="s">
        <v>932</v>
      </c>
      <c r="C441" s="1" t="str">
        <f t="shared" si="18"/>
        <v>Dobbins - Yuba</v>
      </c>
      <c r="D441" s="512">
        <f t="shared" si="19"/>
        <v>7.2416666666666657E-2</v>
      </c>
      <c r="E441" s="261">
        <f t="shared" si="20"/>
        <v>1.102E-2</v>
      </c>
    </row>
    <row r="442" spans="1:5" ht="12.75" x14ac:dyDescent="0.2">
      <c r="A442" s="259" t="s">
        <v>1269</v>
      </c>
      <c r="B442" s="1" t="s">
        <v>946</v>
      </c>
      <c r="C442" s="1" t="str">
        <f t="shared" si="18"/>
        <v>Dogtown - Marin</v>
      </c>
      <c r="D442" s="512">
        <f t="shared" si="19"/>
        <v>3.7749999999999999E-2</v>
      </c>
      <c r="E442" s="261">
        <f t="shared" si="20"/>
        <v>1.1299999999999999E-2</v>
      </c>
    </row>
    <row r="443" spans="1:5" ht="12.75" x14ac:dyDescent="0.2">
      <c r="A443" s="259" t="s">
        <v>1270</v>
      </c>
      <c r="B443" s="1" t="s">
        <v>767</v>
      </c>
      <c r="C443" s="1" t="str">
        <f t="shared" si="18"/>
        <v>Dollar Ranch - Contra Costa</v>
      </c>
      <c r="D443" s="512">
        <f t="shared" si="19"/>
        <v>4.7250000000000007E-2</v>
      </c>
      <c r="E443" s="261">
        <f t="shared" si="20"/>
        <v>1.163E-2</v>
      </c>
    </row>
    <row r="444" spans="1:5" ht="12.75" x14ac:dyDescent="0.2">
      <c r="A444" s="259" t="s">
        <v>1271</v>
      </c>
      <c r="B444" s="1" t="s">
        <v>1053</v>
      </c>
      <c r="C444" s="1" t="str">
        <f t="shared" si="18"/>
        <v>Dorris - Siskiyou</v>
      </c>
      <c r="D444" s="512">
        <f t="shared" si="19"/>
        <v>6.883333333333333E-2</v>
      </c>
      <c r="E444" s="261">
        <f t="shared" si="20"/>
        <v>1.0460000000000001E-2</v>
      </c>
    </row>
    <row r="445" spans="1:5" ht="12.75" x14ac:dyDescent="0.2">
      <c r="A445" s="259" t="s">
        <v>1272</v>
      </c>
      <c r="B445" s="1" t="s">
        <v>892</v>
      </c>
      <c r="C445" s="1" t="str">
        <f t="shared" si="18"/>
        <v>Dos Palos - Merced</v>
      </c>
      <c r="D445" s="512">
        <f t="shared" si="19"/>
        <v>9.6416666666666678E-2</v>
      </c>
      <c r="E445" s="261">
        <f t="shared" si="20"/>
        <v>1.0829999999999999E-2</v>
      </c>
    </row>
    <row r="446" spans="1:5" ht="12.75" x14ac:dyDescent="0.2">
      <c r="A446" s="259" t="s">
        <v>1273</v>
      </c>
      <c r="B446" s="1" t="s">
        <v>774</v>
      </c>
      <c r="C446" s="1" t="str">
        <f t="shared" si="18"/>
        <v>Dos Rios - Mendocino</v>
      </c>
      <c r="D446" s="512">
        <f t="shared" si="19"/>
        <v>5.1916666666666667E-2</v>
      </c>
      <c r="E446" s="261">
        <f t="shared" si="20"/>
        <v>1.1650000000000001E-2</v>
      </c>
    </row>
    <row r="447" spans="1:5" ht="12.75" x14ac:dyDescent="0.2">
      <c r="A447" s="259" t="s">
        <v>1274</v>
      </c>
      <c r="B447" s="1" t="s">
        <v>961</v>
      </c>
      <c r="C447" s="1" t="str">
        <f t="shared" si="18"/>
        <v>Douglas City - Trinity</v>
      </c>
      <c r="D447" s="512">
        <f t="shared" si="19"/>
        <v>5.916666666666668E-2</v>
      </c>
      <c r="E447" s="261">
        <f t="shared" si="20"/>
        <v>1.043E-2</v>
      </c>
    </row>
    <row r="448" spans="1:5" ht="12.75" x14ac:dyDescent="0.2">
      <c r="A448" s="259" t="s">
        <v>1275</v>
      </c>
      <c r="B448" s="1" t="s">
        <v>810</v>
      </c>
      <c r="C448" s="1" t="str">
        <f t="shared" si="18"/>
        <v>Douglas Flat - Calaveras</v>
      </c>
      <c r="D448" s="512">
        <f t="shared" si="19"/>
        <v>4.7166666666666662E-2</v>
      </c>
      <c r="E448" s="261">
        <f t="shared" si="20"/>
        <v>1.0920000000000001E-2</v>
      </c>
    </row>
    <row r="449" spans="1:5" ht="12.75" x14ac:dyDescent="0.2">
      <c r="A449" s="259" t="s">
        <v>1276</v>
      </c>
      <c r="B449" s="1" t="s">
        <v>732</v>
      </c>
      <c r="C449" s="1" t="str">
        <f t="shared" si="18"/>
        <v>Downey - Los Angeles</v>
      </c>
      <c r="D449" s="512">
        <f t="shared" si="19"/>
        <v>5.4833333333333331E-2</v>
      </c>
      <c r="E449" s="261">
        <f t="shared" si="20"/>
        <v>1.1599999999999999E-2</v>
      </c>
    </row>
    <row r="450" spans="1:5" ht="12.75" x14ac:dyDescent="0.2">
      <c r="A450" s="259" t="s">
        <v>1277</v>
      </c>
      <c r="B450" s="1" t="s">
        <v>785</v>
      </c>
      <c r="C450" s="1" t="str">
        <f t="shared" si="18"/>
        <v>Downieville - Sierra</v>
      </c>
      <c r="D450" s="512">
        <f t="shared" si="19"/>
        <v>5.2250000000000005E-2</v>
      </c>
      <c r="E450" s="261">
        <f t="shared" si="20"/>
        <v>0.01</v>
      </c>
    </row>
    <row r="451" spans="1:5" ht="12.75" x14ac:dyDescent="0.2">
      <c r="A451" s="259" t="s">
        <v>1278</v>
      </c>
      <c r="B451" s="1" t="s">
        <v>959</v>
      </c>
      <c r="C451" s="1" t="str">
        <f t="shared" si="18"/>
        <v>Doyle - Lassen</v>
      </c>
      <c r="D451" s="512">
        <f t="shared" si="19"/>
        <v>5.8083333333333327E-2</v>
      </c>
      <c r="E451" s="261">
        <f t="shared" si="20"/>
        <v>1.018E-2</v>
      </c>
    </row>
    <row r="452" spans="1:5" ht="12.75" x14ac:dyDescent="0.2">
      <c r="A452" s="259" t="s">
        <v>1279</v>
      </c>
      <c r="B452" s="1" t="s">
        <v>819</v>
      </c>
      <c r="C452" s="1" t="str">
        <f t="shared" si="18"/>
        <v>Drytown - Amador</v>
      </c>
      <c r="D452" s="512">
        <f t="shared" si="19"/>
        <v>5.3500000000000006E-2</v>
      </c>
      <c r="E452" s="261">
        <f t="shared" si="20"/>
        <v>1.014E-2</v>
      </c>
    </row>
    <row r="453" spans="1:5" ht="12.75" x14ac:dyDescent="0.2">
      <c r="A453" s="259" t="s">
        <v>1280</v>
      </c>
      <c r="B453" s="1" t="s">
        <v>732</v>
      </c>
      <c r="C453" s="1" t="str">
        <f t="shared" si="18"/>
        <v>Duarte - Los Angeles</v>
      </c>
      <c r="D453" s="512">
        <f t="shared" si="19"/>
        <v>5.4833333333333331E-2</v>
      </c>
      <c r="E453" s="261">
        <f t="shared" si="20"/>
        <v>1.1599999999999999E-2</v>
      </c>
    </row>
    <row r="454" spans="1:5" ht="12.75" x14ac:dyDescent="0.2">
      <c r="A454" s="259" t="s">
        <v>1281</v>
      </c>
      <c r="B454" s="1" t="s">
        <v>764</v>
      </c>
      <c r="C454" s="1" t="str">
        <f t="shared" si="18"/>
        <v>Dublin - Alameda</v>
      </c>
      <c r="D454" s="512">
        <f t="shared" si="19"/>
        <v>4.7E-2</v>
      </c>
      <c r="E454" s="261">
        <f t="shared" si="20"/>
        <v>1.2430000000000002E-2</v>
      </c>
    </row>
    <row r="455" spans="1:5" ht="12.75" x14ac:dyDescent="0.2">
      <c r="A455" s="259" t="s">
        <v>1282</v>
      </c>
      <c r="B455" s="1" t="s">
        <v>798</v>
      </c>
      <c r="C455" s="1" t="str">
        <f t="shared" si="18"/>
        <v>Ducor - Tulare</v>
      </c>
      <c r="D455" s="512">
        <f t="shared" si="19"/>
        <v>0.10691666666666669</v>
      </c>
      <c r="E455" s="261">
        <f t="shared" si="20"/>
        <v>1.0869999999999999E-2</v>
      </c>
    </row>
    <row r="456" spans="1:5" ht="12.75" x14ac:dyDescent="0.2">
      <c r="A456" s="259" t="s">
        <v>1283</v>
      </c>
      <c r="B456" s="1" t="s">
        <v>751</v>
      </c>
      <c r="C456" s="1" t="str">
        <f t="shared" ref="C456:C519" si="21">A456&amp;" - "&amp;B456</f>
        <v>Dulzura - San Diego</v>
      </c>
      <c r="D456" s="512">
        <f t="shared" si="19"/>
        <v>4.4750000000000005E-2</v>
      </c>
      <c r="E456" s="261">
        <f t="shared" si="20"/>
        <v>1.167E-2</v>
      </c>
    </row>
    <row r="457" spans="1:5" ht="12.75" x14ac:dyDescent="0.2">
      <c r="A457" s="259" t="s">
        <v>1284</v>
      </c>
      <c r="B457" s="1" t="s">
        <v>748</v>
      </c>
      <c r="C457" s="1" t="str">
        <f t="shared" si="21"/>
        <v>Duncans Mills - Sonoma</v>
      </c>
      <c r="D457" s="512">
        <f t="shared" ref="D457:D520" si="22">VLOOKUP(B457,unemployment_rates,2, FALSE)</f>
        <v>4.0583333333333325E-2</v>
      </c>
      <c r="E457" s="261">
        <f t="shared" ref="E457:E520" si="23">VLOOKUP(B457,Prop_Tax_Rates,2,FALSE)</f>
        <v>1.133E-2</v>
      </c>
    </row>
    <row r="458" spans="1:5" ht="12.75" x14ac:dyDescent="0.2">
      <c r="A458" s="259" t="s">
        <v>1285</v>
      </c>
      <c r="B458" s="1" t="s">
        <v>895</v>
      </c>
      <c r="C458" s="1" t="str">
        <f t="shared" si="21"/>
        <v>Dunlap - Fresno</v>
      </c>
      <c r="D458" s="512">
        <f t="shared" si="22"/>
        <v>8.0416666666666664E-2</v>
      </c>
      <c r="E458" s="261">
        <f t="shared" si="23"/>
        <v>1.2110000000000001E-2</v>
      </c>
    </row>
    <row r="459" spans="1:5" ht="12.75" x14ac:dyDescent="0.2">
      <c r="A459" s="259" t="s">
        <v>1286</v>
      </c>
      <c r="B459" s="1" t="s">
        <v>1018</v>
      </c>
      <c r="C459" s="1" t="str">
        <f t="shared" si="21"/>
        <v>Dunnigan - Yolo</v>
      </c>
      <c r="D459" s="512">
        <f t="shared" si="22"/>
        <v>5.2666666666666667E-2</v>
      </c>
      <c r="E459" s="261">
        <f t="shared" si="23"/>
        <v>1.11E-2</v>
      </c>
    </row>
    <row r="460" spans="1:5" ht="12.75" x14ac:dyDescent="0.2">
      <c r="A460" s="259" t="s">
        <v>1287</v>
      </c>
      <c r="B460" s="1" t="s">
        <v>1053</v>
      </c>
      <c r="C460" s="1" t="str">
        <f t="shared" si="21"/>
        <v>Dunsmuir - Siskiyou</v>
      </c>
      <c r="D460" s="512">
        <f t="shared" si="22"/>
        <v>6.883333333333333E-2</v>
      </c>
      <c r="E460" s="261">
        <f t="shared" si="23"/>
        <v>1.0460000000000001E-2</v>
      </c>
    </row>
    <row r="461" spans="1:5" ht="12.75" x14ac:dyDescent="0.2">
      <c r="A461" s="259" t="s">
        <v>1288</v>
      </c>
      <c r="B461" s="1" t="s">
        <v>915</v>
      </c>
      <c r="C461" s="1" t="str">
        <f t="shared" si="21"/>
        <v>Durham - Butte</v>
      </c>
      <c r="D461" s="512">
        <f t="shared" si="22"/>
        <v>5.8999999999999983E-2</v>
      </c>
      <c r="E461" s="261">
        <f t="shared" si="23"/>
        <v>1.1169999999999999E-2</v>
      </c>
    </row>
    <row r="462" spans="1:5" ht="12.75" x14ac:dyDescent="0.2">
      <c r="A462" s="259" t="s">
        <v>1289</v>
      </c>
      <c r="B462" s="1" t="s">
        <v>803</v>
      </c>
      <c r="C462" s="1" t="str">
        <f t="shared" si="21"/>
        <v>Dutch Flat - Placer</v>
      </c>
      <c r="D462" s="512">
        <f t="shared" si="22"/>
        <v>4.1833333333333347E-2</v>
      </c>
      <c r="E462" s="261">
        <f t="shared" si="23"/>
        <v>1.0880000000000001E-2</v>
      </c>
    </row>
    <row r="463" spans="1:5" ht="12.75" x14ac:dyDescent="0.2">
      <c r="A463" s="259" t="s">
        <v>1290</v>
      </c>
      <c r="B463" s="1" t="s">
        <v>756</v>
      </c>
      <c r="C463" s="1" t="str">
        <f t="shared" si="21"/>
        <v>Eagle Mountain - Riverside</v>
      </c>
      <c r="D463" s="512">
        <f t="shared" si="22"/>
        <v>5.3749999999999999E-2</v>
      </c>
      <c r="E463" s="261">
        <f t="shared" si="23"/>
        <v>1.1859999999999999E-2</v>
      </c>
    </row>
    <row r="464" spans="1:5" ht="12.75" x14ac:dyDescent="0.2">
      <c r="A464" s="259" t="s">
        <v>1291</v>
      </c>
      <c r="B464" s="1" t="s">
        <v>732</v>
      </c>
      <c r="C464" s="1" t="str">
        <f t="shared" si="21"/>
        <v>Eagle Rock  - Los Angeles</v>
      </c>
      <c r="D464" s="512">
        <f t="shared" si="22"/>
        <v>5.4833333333333331E-2</v>
      </c>
      <c r="E464" s="261">
        <f t="shared" si="23"/>
        <v>1.1599999999999999E-2</v>
      </c>
    </row>
    <row r="465" spans="1:5" ht="12.75" x14ac:dyDescent="0.2">
      <c r="A465" s="259" t="s">
        <v>1292</v>
      </c>
      <c r="B465" s="1" t="s">
        <v>741</v>
      </c>
      <c r="C465" s="1" t="str">
        <f t="shared" si="21"/>
        <v>Eagleville - Modoc</v>
      </c>
      <c r="D465" s="512">
        <f t="shared" si="22"/>
        <v>6.8499999999999991E-2</v>
      </c>
      <c r="E465" s="261">
        <f t="shared" si="23"/>
        <v>0.01</v>
      </c>
    </row>
    <row r="466" spans="1:5" ht="12.75" x14ac:dyDescent="0.2">
      <c r="A466" s="259" t="s">
        <v>1293</v>
      </c>
      <c r="B466" s="1" t="s">
        <v>798</v>
      </c>
      <c r="C466" s="1" t="str">
        <f t="shared" si="21"/>
        <v>Earlimart - Tulare</v>
      </c>
      <c r="D466" s="512">
        <f t="shared" si="22"/>
        <v>0.10691666666666669</v>
      </c>
      <c r="E466" s="261">
        <f t="shared" si="23"/>
        <v>1.0869999999999999E-2</v>
      </c>
    </row>
    <row r="467" spans="1:5" ht="12.75" x14ac:dyDescent="0.2">
      <c r="A467" s="259" t="s">
        <v>1294</v>
      </c>
      <c r="B467" s="1" t="s">
        <v>738</v>
      </c>
      <c r="C467" s="1" t="str">
        <f t="shared" si="21"/>
        <v>Earp - San Bernardino</v>
      </c>
      <c r="D467" s="512">
        <f t="shared" si="22"/>
        <v>5.1583333333333342E-2</v>
      </c>
      <c r="E467" s="261">
        <f t="shared" si="23"/>
        <v>1.1379999999999999E-2</v>
      </c>
    </row>
    <row r="468" spans="1:5" ht="12.75" x14ac:dyDescent="0.2">
      <c r="A468" s="259" t="s">
        <v>1295</v>
      </c>
      <c r="B468" s="1" t="s">
        <v>738</v>
      </c>
      <c r="C468" s="1" t="str">
        <f t="shared" si="21"/>
        <v>East Highlands  - San Bernardino</v>
      </c>
      <c r="D468" s="512">
        <f t="shared" si="22"/>
        <v>5.1583333333333342E-2</v>
      </c>
      <c r="E468" s="261">
        <f t="shared" si="23"/>
        <v>1.1379999999999999E-2</v>
      </c>
    </row>
    <row r="469" spans="1:5" ht="12.75" x14ac:dyDescent="0.2">
      <c r="A469" s="259" t="s">
        <v>1296</v>
      </c>
      <c r="B469" s="1" t="s">
        <v>782</v>
      </c>
      <c r="C469" s="1" t="str">
        <f t="shared" si="21"/>
        <v>East Irvine - Orange</v>
      </c>
      <c r="D469" s="512">
        <f t="shared" si="22"/>
        <v>3.9749999999999994E-2</v>
      </c>
      <c r="E469" s="261">
        <f t="shared" si="23"/>
        <v>1.0660000000000001E-2</v>
      </c>
    </row>
    <row r="470" spans="1:5" ht="12.75" x14ac:dyDescent="0.2">
      <c r="A470" s="259" t="s">
        <v>1297</v>
      </c>
      <c r="B470" s="1" t="s">
        <v>732</v>
      </c>
      <c r="C470" s="1" t="str">
        <f t="shared" si="21"/>
        <v>East Los Angeles - Los Angeles</v>
      </c>
      <c r="D470" s="512">
        <f t="shared" si="22"/>
        <v>5.4833333333333331E-2</v>
      </c>
      <c r="E470" s="261">
        <f t="shared" si="23"/>
        <v>1.1599999999999999E-2</v>
      </c>
    </row>
    <row r="471" spans="1:5" ht="12.75" x14ac:dyDescent="0.2">
      <c r="A471" s="259" t="s">
        <v>1298</v>
      </c>
      <c r="B471" s="1" t="s">
        <v>732</v>
      </c>
      <c r="C471" s="1" t="str">
        <f t="shared" si="21"/>
        <v>East Lynwood - Los Angeles</v>
      </c>
      <c r="D471" s="512">
        <f t="shared" si="22"/>
        <v>5.4833333333333331E-2</v>
      </c>
      <c r="E471" s="261">
        <f t="shared" si="23"/>
        <v>1.1599999999999999E-2</v>
      </c>
    </row>
    <row r="472" spans="1:5" ht="12.75" x14ac:dyDescent="0.2">
      <c r="A472" s="259" t="s">
        <v>1299</v>
      </c>
      <c r="B472" s="1" t="s">
        <v>1300</v>
      </c>
      <c r="C472" s="1" t="str">
        <f t="shared" si="21"/>
        <v>East Nicolaus - Sutter</v>
      </c>
      <c r="D472" s="512">
        <f t="shared" si="22"/>
        <v>8.2583333333333328E-2</v>
      </c>
      <c r="E472" s="261">
        <f t="shared" si="23"/>
        <v>1.099E-2</v>
      </c>
    </row>
    <row r="473" spans="1:5" ht="12.75" x14ac:dyDescent="0.2">
      <c r="A473" s="259" t="s">
        <v>1301</v>
      </c>
      <c r="B473" s="1" t="s">
        <v>890</v>
      </c>
      <c r="C473" s="1" t="str">
        <f t="shared" si="21"/>
        <v>East Palo Alto - San Mateo</v>
      </c>
      <c r="D473" s="512">
        <f t="shared" si="22"/>
        <v>3.5000000000000003E-2</v>
      </c>
      <c r="E473" s="261">
        <f t="shared" si="23"/>
        <v>1.1089999999999999E-2</v>
      </c>
    </row>
    <row r="474" spans="1:5" ht="12.75" x14ac:dyDescent="0.2">
      <c r="A474" s="259" t="s">
        <v>1302</v>
      </c>
      <c r="B474" s="1" t="s">
        <v>798</v>
      </c>
      <c r="C474" s="1" t="str">
        <f t="shared" si="21"/>
        <v>East Porterville - Tulare</v>
      </c>
      <c r="D474" s="512">
        <f t="shared" si="22"/>
        <v>0.10691666666666669</v>
      </c>
      <c r="E474" s="261">
        <f t="shared" si="23"/>
        <v>1.0869999999999999E-2</v>
      </c>
    </row>
    <row r="475" spans="1:5" ht="12.75" x14ac:dyDescent="0.2">
      <c r="A475" s="259" t="s">
        <v>1303</v>
      </c>
      <c r="B475" s="1" t="s">
        <v>732</v>
      </c>
      <c r="C475" s="1" t="str">
        <f t="shared" si="21"/>
        <v>East Rancho Dominguez - Los Angeles</v>
      </c>
      <c r="D475" s="512">
        <f t="shared" si="22"/>
        <v>5.4833333333333331E-2</v>
      </c>
      <c r="E475" s="261">
        <f t="shared" si="23"/>
        <v>1.1599999999999999E-2</v>
      </c>
    </row>
    <row r="476" spans="1:5" ht="12.75" x14ac:dyDescent="0.2">
      <c r="A476" s="259" t="s">
        <v>1304</v>
      </c>
      <c r="B476" s="1" t="s">
        <v>732</v>
      </c>
      <c r="C476" s="1" t="str">
        <f t="shared" si="21"/>
        <v>East San Pedro - Los Angeles</v>
      </c>
      <c r="D476" s="512">
        <f t="shared" si="22"/>
        <v>5.4833333333333331E-2</v>
      </c>
      <c r="E476" s="261">
        <f t="shared" si="23"/>
        <v>1.1599999999999999E-2</v>
      </c>
    </row>
    <row r="477" spans="1:5" ht="12.75" x14ac:dyDescent="0.2">
      <c r="A477" s="259" t="s">
        <v>1305</v>
      </c>
      <c r="B477" s="1" t="s">
        <v>732</v>
      </c>
      <c r="C477" s="1" t="str">
        <f t="shared" si="21"/>
        <v>Eastgate - Los Angeles</v>
      </c>
      <c r="D477" s="512">
        <f t="shared" si="22"/>
        <v>5.4833333333333331E-2</v>
      </c>
      <c r="E477" s="261">
        <f t="shared" si="23"/>
        <v>1.1599999999999999E-2</v>
      </c>
    </row>
    <row r="478" spans="1:5" ht="12.75" x14ac:dyDescent="0.2">
      <c r="A478" s="259" t="s">
        <v>1306</v>
      </c>
      <c r="B478" s="1" t="s">
        <v>895</v>
      </c>
      <c r="C478" s="1" t="str">
        <f t="shared" si="21"/>
        <v>Easton - Fresno</v>
      </c>
      <c r="D478" s="512">
        <f t="shared" si="22"/>
        <v>8.0416666666666664E-2</v>
      </c>
      <c r="E478" s="261">
        <f t="shared" si="23"/>
        <v>1.2110000000000001E-2</v>
      </c>
    </row>
    <row r="479" spans="1:5" ht="12.75" x14ac:dyDescent="0.2">
      <c r="A479" s="259" t="s">
        <v>1307</v>
      </c>
      <c r="B479" s="1" t="s">
        <v>738</v>
      </c>
      <c r="C479" s="1" t="str">
        <f t="shared" si="21"/>
        <v>Eastside - San Bernardino</v>
      </c>
      <c r="D479" s="512">
        <f t="shared" si="22"/>
        <v>5.1583333333333342E-2</v>
      </c>
      <c r="E479" s="261">
        <f t="shared" si="23"/>
        <v>1.1379999999999999E-2</v>
      </c>
    </row>
    <row r="480" spans="1:5" ht="12.75" x14ac:dyDescent="0.2">
      <c r="A480" s="259" t="s">
        <v>1308</v>
      </c>
      <c r="B480" s="1" t="s">
        <v>762</v>
      </c>
      <c r="C480" s="1" t="str">
        <f t="shared" si="21"/>
        <v>Echo Lake - El Dorado</v>
      </c>
      <c r="D480" s="512">
        <f t="shared" si="22"/>
        <v>4.466666666666666E-2</v>
      </c>
      <c r="E480" s="261">
        <f t="shared" si="23"/>
        <v>1.0660000000000001E-2</v>
      </c>
    </row>
    <row r="481" spans="1:5" ht="12.75" x14ac:dyDescent="0.2">
      <c r="A481" s="259" t="s">
        <v>1309</v>
      </c>
      <c r="B481" s="1" t="s">
        <v>732</v>
      </c>
      <c r="C481" s="1" t="str">
        <f t="shared" si="21"/>
        <v>Echo Park  - Los Angeles</v>
      </c>
      <c r="D481" s="512">
        <f t="shared" si="22"/>
        <v>5.4833333333333331E-2</v>
      </c>
      <c r="E481" s="261">
        <f t="shared" si="23"/>
        <v>1.1599999999999999E-2</v>
      </c>
    </row>
    <row r="482" spans="1:5" ht="12.75" x14ac:dyDescent="0.2">
      <c r="A482" s="259" t="s">
        <v>1310</v>
      </c>
      <c r="B482" s="1" t="s">
        <v>756</v>
      </c>
      <c r="C482" s="1" t="str">
        <f t="shared" si="21"/>
        <v>Edgemont  - Riverside</v>
      </c>
      <c r="D482" s="512">
        <f t="shared" si="22"/>
        <v>5.3749999999999999E-2</v>
      </c>
      <c r="E482" s="261">
        <f t="shared" si="23"/>
        <v>1.1859999999999999E-2</v>
      </c>
    </row>
    <row r="483" spans="1:5" ht="12.75" x14ac:dyDescent="0.2">
      <c r="A483" s="259" t="s">
        <v>1311</v>
      </c>
      <c r="B483" s="1" t="s">
        <v>1053</v>
      </c>
      <c r="C483" s="1" t="str">
        <f t="shared" si="21"/>
        <v>Edgewood - Siskiyou</v>
      </c>
      <c r="D483" s="512">
        <f t="shared" si="22"/>
        <v>6.883333333333333E-2</v>
      </c>
      <c r="E483" s="261">
        <f t="shared" si="23"/>
        <v>1.0460000000000001E-2</v>
      </c>
    </row>
    <row r="484" spans="1:5" ht="12.75" x14ac:dyDescent="0.2">
      <c r="A484" s="259" t="s">
        <v>1312</v>
      </c>
      <c r="B484" s="1" t="s">
        <v>884</v>
      </c>
      <c r="C484" s="1" t="str">
        <f t="shared" si="21"/>
        <v>Edison - Kern</v>
      </c>
      <c r="D484" s="512">
        <f t="shared" si="22"/>
        <v>8.9333333333333334E-2</v>
      </c>
      <c r="E484" s="261">
        <f t="shared" si="23"/>
        <v>1.238E-2</v>
      </c>
    </row>
    <row r="485" spans="1:5" ht="12.75" x14ac:dyDescent="0.2">
      <c r="A485" s="259" t="s">
        <v>1313</v>
      </c>
      <c r="B485" s="1" t="s">
        <v>884</v>
      </c>
      <c r="C485" s="1" t="str">
        <f t="shared" si="21"/>
        <v>Edwards - Kern</v>
      </c>
      <c r="D485" s="512">
        <f t="shared" si="22"/>
        <v>8.9333333333333334E-2</v>
      </c>
      <c r="E485" s="261">
        <f t="shared" si="23"/>
        <v>1.238E-2</v>
      </c>
    </row>
    <row r="486" spans="1:5" ht="12.75" x14ac:dyDescent="0.2">
      <c r="A486" s="259" t="s">
        <v>1314</v>
      </c>
      <c r="B486" s="1" t="s">
        <v>884</v>
      </c>
      <c r="C486" s="1" t="str">
        <f t="shared" si="21"/>
        <v>Edwards A.F.B. - Kern</v>
      </c>
      <c r="D486" s="512">
        <f t="shared" si="22"/>
        <v>8.9333333333333334E-2</v>
      </c>
      <c r="E486" s="261">
        <f t="shared" si="23"/>
        <v>1.238E-2</v>
      </c>
    </row>
    <row r="487" spans="1:5" ht="12.75" x14ac:dyDescent="0.2">
      <c r="A487" s="259" t="s">
        <v>1315</v>
      </c>
      <c r="B487" s="1" t="s">
        <v>751</v>
      </c>
      <c r="C487" s="1" t="str">
        <f t="shared" si="21"/>
        <v>El Cajon - San Diego</v>
      </c>
      <c r="D487" s="512">
        <f t="shared" si="22"/>
        <v>4.4750000000000005E-2</v>
      </c>
      <c r="E487" s="261">
        <f t="shared" si="23"/>
        <v>1.167E-2</v>
      </c>
    </row>
    <row r="488" spans="1:5" ht="12.75" x14ac:dyDescent="0.2">
      <c r="A488" s="259" t="s">
        <v>1316</v>
      </c>
      <c r="B488" s="1" t="s">
        <v>919</v>
      </c>
      <c r="C488" s="1" t="str">
        <f t="shared" si="21"/>
        <v>El Centro - Imperial</v>
      </c>
      <c r="D488" s="512">
        <f t="shared" si="22"/>
        <v>0.17949999999999999</v>
      </c>
      <c r="E488" s="261">
        <f t="shared" si="23"/>
        <v>1.206E-2</v>
      </c>
    </row>
    <row r="489" spans="1:5" ht="12.75" x14ac:dyDescent="0.2">
      <c r="A489" s="259" t="s">
        <v>1317</v>
      </c>
      <c r="B489" s="1" t="s">
        <v>767</v>
      </c>
      <c r="C489" s="1" t="str">
        <f t="shared" si="21"/>
        <v>El Cerrito - Contra Costa</v>
      </c>
      <c r="D489" s="512">
        <f t="shared" si="22"/>
        <v>4.7250000000000007E-2</v>
      </c>
      <c r="E489" s="261">
        <f t="shared" si="23"/>
        <v>1.163E-2</v>
      </c>
    </row>
    <row r="490" spans="1:5" ht="12.75" x14ac:dyDescent="0.2">
      <c r="A490" s="259" t="s">
        <v>762</v>
      </c>
      <c r="B490" s="1" t="s">
        <v>762</v>
      </c>
      <c r="C490" s="1" t="str">
        <f t="shared" si="21"/>
        <v>El Dorado - El Dorado</v>
      </c>
      <c r="D490" s="512">
        <f t="shared" si="22"/>
        <v>4.466666666666666E-2</v>
      </c>
      <c r="E490" s="261">
        <f t="shared" si="23"/>
        <v>1.0660000000000001E-2</v>
      </c>
    </row>
    <row r="491" spans="1:5" ht="12.75" x14ac:dyDescent="0.2">
      <c r="A491" s="259" t="s">
        <v>1318</v>
      </c>
      <c r="B491" s="1" t="s">
        <v>762</v>
      </c>
      <c r="C491" s="1" t="str">
        <f t="shared" si="21"/>
        <v>El Dorado Hills - El Dorado</v>
      </c>
      <c r="D491" s="512">
        <f t="shared" si="22"/>
        <v>4.466666666666666E-2</v>
      </c>
      <c r="E491" s="261">
        <f t="shared" si="23"/>
        <v>1.0660000000000001E-2</v>
      </c>
    </row>
    <row r="492" spans="1:5" ht="12.75" x14ac:dyDescent="0.2">
      <c r="A492" s="259" t="s">
        <v>1319</v>
      </c>
      <c r="B492" s="1" t="s">
        <v>890</v>
      </c>
      <c r="C492" s="1" t="str">
        <f t="shared" si="21"/>
        <v>El Granada - San Mateo</v>
      </c>
      <c r="D492" s="512">
        <f t="shared" si="22"/>
        <v>3.5000000000000003E-2</v>
      </c>
      <c r="E492" s="261">
        <f t="shared" si="23"/>
        <v>1.1089999999999999E-2</v>
      </c>
    </row>
    <row r="493" spans="1:5" ht="12.75" x14ac:dyDescent="0.2">
      <c r="A493" s="259" t="s">
        <v>1320</v>
      </c>
      <c r="B493" s="1" t="s">
        <v>1018</v>
      </c>
      <c r="C493" s="1" t="str">
        <f t="shared" si="21"/>
        <v>El Macero - Yolo</v>
      </c>
      <c r="D493" s="512">
        <f t="shared" si="22"/>
        <v>5.2666666666666667E-2</v>
      </c>
      <c r="E493" s="261">
        <f t="shared" si="23"/>
        <v>1.11E-2</v>
      </c>
    </row>
    <row r="494" spans="1:5" ht="12.75" x14ac:dyDescent="0.2">
      <c r="A494" s="259" t="s">
        <v>1321</v>
      </c>
      <c r="B494" s="1" t="s">
        <v>782</v>
      </c>
      <c r="C494" s="1" t="str">
        <f t="shared" si="21"/>
        <v>El Modena - Orange</v>
      </c>
      <c r="D494" s="512">
        <f t="shared" si="22"/>
        <v>3.9749999999999994E-2</v>
      </c>
      <c r="E494" s="261">
        <f t="shared" si="23"/>
        <v>1.0660000000000001E-2</v>
      </c>
    </row>
    <row r="495" spans="1:5" ht="12.75" x14ac:dyDescent="0.2">
      <c r="A495" s="259" t="s">
        <v>1322</v>
      </c>
      <c r="B495" s="1" t="s">
        <v>732</v>
      </c>
      <c r="C495" s="1" t="str">
        <f t="shared" si="21"/>
        <v>El Monte - Los Angeles</v>
      </c>
      <c r="D495" s="512">
        <f t="shared" si="22"/>
        <v>5.4833333333333331E-2</v>
      </c>
      <c r="E495" s="261">
        <f t="shared" si="23"/>
        <v>1.1599999999999999E-2</v>
      </c>
    </row>
    <row r="496" spans="1:5" ht="12.75" x14ac:dyDescent="0.2">
      <c r="A496" s="259" t="s">
        <v>1323</v>
      </c>
      <c r="B496" s="1" t="s">
        <v>892</v>
      </c>
      <c r="C496" s="1" t="str">
        <f t="shared" si="21"/>
        <v>El Nido - Merced</v>
      </c>
      <c r="D496" s="512">
        <f t="shared" si="22"/>
        <v>9.6416666666666678E-2</v>
      </c>
      <c r="E496" s="261">
        <f t="shared" si="23"/>
        <v>1.0829999999999999E-2</v>
      </c>
    </row>
    <row r="497" spans="1:5" ht="12.75" x14ac:dyDescent="0.2">
      <c r="A497" s="259" t="s">
        <v>1324</v>
      </c>
      <c r="B497" s="1" t="s">
        <v>935</v>
      </c>
      <c r="C497" s="1" t="str">
        <f t="shared" si="21"/>
        <v>El Portal - Mariposa</v>
      </c>
      <c r="D497" s="512">
        <f t="shared" si="22"/>
        <v>5.2833333333333329E-2</v>
      </c>
      <c r="E497" s="261">
        <f t="shared" si="23"/>
        <v>1.0369999999999999E-2</v>
      </c>
    </row>
    <row r="498" spans="1:5" ht="12.75" x14ac:dyDescent="0.2">
      <c r="A498" s="259" t="s">
        <v>1325</v>
      </c>
      <c r="B498" s="1" t="s">
        <v>732</v>
      </c>
      <c r="C498" s="1" t="str">
        <f t="shared" si="21"/>
        <v>El Segundo - Los Angeles</v>
      </c>
      <c r="D498" s="512">
        <f t="shared" si="22"/>
        <v>5.4833333333333331E-2</v>
      </c>
      <c r="E498" s="261">
        <f t="shared" si="23"/>
        <v>1.1599999999999999E-2</v>
      </c>
    </row>
    <row r="499" spans="1:5" ht="12.75" x14ac:dyDescent="0.2">
      <c r="A499" s="259" t="s">
        <v>1326</v>
      </c>
      <c r="B499" s="1" t="s">
        <v>767</v>
      </c>
      <c r="C499" s="1" t="str">
        <f t="shared" si="21"/>
        <v>El Sobrante - Contra Costa</v>
      </c>
      <c r="D499" s="512">
        <f t="shared" si="22"/>
        <v>4.7250000000000007E-2</v>
      </c>
      <c r="E499" s="261">
        <f t="shared" si="23"/>
        <v>1.163E-2</v>
      </c>
    </row>
    <row r="500" spans="1:5" ht="12.75" x14ac:dyDescent="0.2">
      <c r="A500" s="259" t="s">
        <v>1327</v>
      </c>
      <c r="B500" s="1" t="s">
        <v>782</v>
      </c>
      <c r="C500" s="1" t="str">
        <f t="shared" si="21"/>
        <v>El Toro - Orange</v>
      </c>
      <c r="D500" s="512">
        <f t="shared" si="22"/>
        <v>3.9749999999999994E-2</v>
      </c>
      <c r="E500" s="261">
        <f t="shared" si="23"/>
        <v>1.0660000000000001E-2</v>
      </c>
    </row>
    <row r="501" spans="1:5" ht="12.75" x14ac:dyDescent="0.2">
      <c r="A501" s="259" t="s">
        <v>1328</v>
      </c>
      <c r="B501" s="1" t="s">
        <v>782</v>
      </c>
      <c r="C501" s="1" t="str">
        <f t="shared" si="21"/>
        <v>El Toro M.C.A.S. - Orange</v>
      </c>
      <c r="D501" s="512">
        <f t="shared" si="22"/>
        <v>3.9749999999999994E-2</v>
      </c>
      <c r="E501" s="261">
        <f t="shared" si="23"/>
        <v>1.0660000000000001E-2</v>
      </c>
    </row>
    <row r="502" spans="1:5" ht="12.75" x14ac:dyDescent="0.2">
      <c r="A502" s="259" t="s">
        <v>1329</v>
      </c>
      <c r="B502" s="1" t="s">
        <v>748</v>
      </c>
      <c r="C502" s="1" t="str">
        <f t="shared" si="21"/>
        <v>El Verano - Sonoma</v>
      </c>
      <c r="D502" s="512">
        <f t="shared" si="22"/>
        <v>4.0583333333333325E-2</v>
      </c>
      <c r="E502" s="261">
        <f t="shared" si="23"/>
        <v>1.133E-2</v>
      </c>
    </row>
    <row r="503" spans="1:5" ht="12.75" x14ac:dyDescent="0.2">
      <c r="A503" s="259" t="s">
        <v>1330</v>
      </c>
      <c r="B503" s="1" t="s">
        <v>1124</v>
      </c>
      <c r="C503" s="1" t="str">
        <f t="shared" si="21"/>
        <v>El Viejo - Stanislaus</v>
      </c>
      <c r="D503" s="512">
        <f t="shared" si="22"/>
        <v>6.9833333333333331E-2</v>
      </c>
      <c r="E503" s="261">
        <f t="shared" si="23"/>
        <v>1.1080000000000001E-2</v>
      </c>
    </row>
    <row r="504" spans="1:5" ht="12.75" x14ac:dyDescent="0.2">
      <c r="A504" s="259" t="s">
        <v>1331</v>
      </c>
      <c r="B504" s="1" t="s">
        <v>748</v>
      </c>
      <c r="C504" s="1" t="str">
        <f t="shared" si="21"/>
        <v>Eldridge - Sonoma</v>
      </c>
      <c r="D504" s="512">
        <f t="shared" si="22"/>
        <v>4.0583333333333325E-2</v>
      </c>
      <c r="E504" s="261">
        <f t="shared" si="23"/>
        <v>1.133E-2</v>
      </c>
    </row>
    <row r="505" spans="1:5" ht="12.75" x14ac:dyDescent="0.2">
      <c r="A505" s="259" t="s">
        <v>1332</v>
      </c>
      <c r="B505" s="1" t="s">
        <v>732</v>
      </c>
      <c r="C505" s="1" t="str">
        <f t="shared" si="21"/>
        <v>Elizabeth Lake - Los Angeles</v>
      </c>
      <c r="D505" s="512">
        <f t="shared" si="22"/>
        <v>5.4833333333333331E-2</v>
      </c>
      <c r="E505" s="261">
        <f t="shared" si="23"/>
        <v>1.1599999999999999E-2</v>
      </c>
    </row>
    <row r="506" spans="1:5" ht="12.75" x14ac:dyDescent="0.2">
      <c r="A506" s="259" t="s">
        <v>1333</v>
      </c>
      <c r="B506" s="1" t="s">
        <v>774</v>
      </c>
      <c r="C506" s="1" t="str">
        <f t="shared" si="21"/>
        <v>Elk - Mendocino</v>
      </c>
      <c r="D506" s="512">
        <f t="shared" si="22"/>
        <v>5.1916666666666667E-2</v>
      </c>
      <c r="E506" s="261">
        <f t="shared" si="23"/>
        <v>1.1650000000000001E-2</v>
      </c>
    </row>
    <row r="507" spans="1:5" ht="12.75" x14ac:dyDescent="0.2">
      <c r="A507" s="259" t="s">
        <v>1334</v>
      </c>
      <c r="B507" s="1" t="s">
        <v>882</v>
      </c>
      <c r="C507" s="1" t="str">
        <f t="shared" si="21"/>
        <v>Elk Creek - Glenn</v>
      </c>
      <c r="D507" s="512">
        <f t="shared" si="22"/>
        <v>6.7749999999999991E-2</v>
      </c>
      <c r="E507" s="261">
        <f t="shared" si="23"/>
        <v>1.093E-2</v>
      </c>
    </row>
    <row r="508" spans="1:5" ht="12.75" x14ac:dyDescent="0.2">
      <c r="A508" s="259" t="s">
        <v>1335</v>
      </c>
      <c r="B508" s="1" t="s">
        <v>843</v>
      </c>
      <c r="C508" s="1" t="str">
        <f t="shared" si="21"/>
        <v>Elk Grove - Sacramento</v>
      </c>
      <c r="D508" s="512">
        <f t="shared" si="22"/>
        <v>4.8833333333333326E-2</v>
      </c>
      <c r="E508" s="261">
        <f t="shared" si="23"/>
        <v>1.1519999999999999E-2</v>
      </c>
    </row>
    <row r="509" spans="1:5" ht="12.75" x14ac:dyDescent="0.2">
      <c r="A509" s="259" t="s">
        <v>1336</v>
      </c>
      <c r="B509" s="1" t="s">
        <v>949</v>
      </c>
      <c r="C509" s="1" t="str">
        <f t="shared" si="21"/>
        <v>Elmira - Solano</v>
      </c>
      <c r="D509" s="512">
        <f t="shared" si="22"/>
        <v>5.1916666666666673E-2</v>
      </c>
      <c r="E509" s="261">
        <f t="shared" si="23"/>
        <v>1.18E-2</v>
      </c>
    </row>
    <row r="510" spans="1:5" ht="12.75" x14ac:dyDescent="0.2">
      <c r="A510" s="259" t="s">
        <v>1337</v>
      </c>
      <c r="B510" s="1" t="s">
        <v>764</v>
      </c>
      <c r="C510" s="1" t="str">
        <f t="shared" si="21"/>
        <v>Elmwood - Alameda</v>
      </c>
      <c r="D510" s="512">
        <f t="shared" si="22"/>
        <v>4.7E-2</v>
      </c>
      <c r="E510" s="261">
        <f t="shared" si="23"/>
        <v>1.2430000000000002E-2</v>
      </c>
    </row>
    <row r="511" spans="1:5" ht="12.75" x14ac:dyDescent="0.2">
      <c r="A511" s="259" t="s">
        <v>1338</v>
      </c>
      <c r="B511" s="1" t="s">
        <v>843</v>
      </c>
      <c r="C511" s="1" t="str">
        <f t="shared" si="21"/>
        <v>Elverta - Sacramento</v>
      </c>
      <c r="D511" s="512">
        <f t="shared" si="22"/>
        <v>4.8833333333333326E-2</v>
      </c>
      <c r="E511" s="261">
        <f t="shared" si="23"/>
        <v>1.1519999999999999E-2</v>
      </c>
    </row>
    <row r="512" spans="1:5" ht="12.75" x14ac:dyDescent="0.2">
      <c r="A512" s="259" t="s">
        <v>1339</v>
      </c>
      <c r="B512" s="1" t="s">
        <v>890</v>
      </c>
      <c r="C512" s="1" t="str">
        <f t="shared" si="21"/>
        <v>Emerald Hills - San Mateo</v>
      </c>
      <c r="D512" s="512">
        <f t="shared" si="22"/>
        <v>3.5000000000000003E-2</v>
      </c>
      <c r="E512" s="261">
        <f t="shared" si="23"/>
        <v>1.1089999999999999E-2</v>
      </c>
    </row>
    <row r="513" spans="1:5" ht="12.75" x14ac:dyDescent="0.2">
      <c r="A513" s="259" t="s">
        <v>1340</v>
      </c>
      <c r="B513" s="1" t="s">
        <v>764</v>
      </c>
      <c r="C513" s="1" t="str">
        <f t="shared" si="21"/>
        <v>Emeryville - Alameda</v>
      </c>
      <c r="D513" s="512">
        <f t="shared" si="22"/>
        <v>4.7E-2</v>
      </c>
      <c r="E513" s="261">
        <f t="shared" si="23"/>
        <v>1.2430000000000002E-2</v>
      </c>
    </row>
    <row r="514" spans="1:5" ht="12.75" x14ac:dyDescent="0.2">
      <c r="A514" s="259" t="s">
        <v>1341</v>
      </c>
      <c r="B514" s="1" t="s">
        <v>803</v>
      </c>
      <c r="C514" s="1" t="str">
        <f t="shared" si="21"/>
        <v>Emigrant Gap - Placer</v>
      </c>
      <c r="D514" s="512">
        <f t="shared" si="22"/>
        <v>4.1833333333333347E-2</v>
      </c>
      <c r="E514" s="261">
        <f t="shared" si="23"/>
        <v>1.0880000000000001E-2</v>
      </c>
    </row>
    <row r="515" spans="1:5" ht="12.75" x14ac:dyDescent="0.2">
      <c r="A515" s="259" t="s">
        <v>1342</v>
      </c>
      <c r="B515" s="1" t="s">
        <v>1124</v>
      </c>
      <c r="C515" s="1" t="str">
        <f t="shared" si="21"/>
        <v>Empire - Stanislaus</v>
      </c>
      <c r="D515" s="512">
        <f t="shared" si="22"/>
        <v>6.9833333333333331E-2</v>
      </c>
      <c r="E515" s="261">
        <f t="shared" si="23"/>
        <v>1.1080000000000001E-2</v>
      </c>
    </row>
    <row r="516" spans="1:5" ht="12.75" x14ac:dyDescent="0.2">
      <c r="A516" s="259" t="s">
        <v>1343</v>
      </c>
      <c r="B516" s="1" t="s">
        <v>751</v>
      </c>
      <c r="C516" s="1" t="str">
        <f t="shared" si="21"/>
        <v>Encinitas - San Diego</v>
      </c>
      <c r="D516" s="512">
        <f t="shared" si="22"/>
        <v>4.4750000000000005E-2</v>
      </c>
      <c r="E516" s="261">
        <f t="shared" si="23"/>
        <v>1.167E-2</v>
      </c>
    </row>
    <row r="517" spans="1:5" ht="12.75" x14ac:dyDescent="0.2">
      <c r="A517" s="259" t="s">
        <v>1344</v>
      </c>
      <c r="B517" s="1" t="s">
        <v>732</v>
      </c>
      <c r="C517" s="1" t="str">
        <f t="shared" si="21"/>
        <v>Encino  - Los Angeles</v>
      </c>
      <c r="D517" s="512">
        <f t="shared" si="22"/>
        <v>5.4833333333333331E-2</v>
      </c>
      <c r="E517" s="261">
        <f t="shared" si="23"/>
        <v>1.1599999999999999E-2</v>
      </c>
    </row>
    <row r="518" spans="1:5" ht="12.75" x14ac:dyDescent="0.2">
      <c r="A518" s="259" t="s">
        <v>1345</v>
      </c>
      <c r="B518" s="1" t="s">
        <v>832</v>
      </c>
      <c r="C518" s="1" t="str">
        <f t="shared" si="21"/>
        <v>Enterprise - Shasta</v>
      </c>
      <c r="D518" s="512">
        <f t="shared" si="22"/>
        <v>5.6416666666666657E-2</v>
      </c>
      <c r="E518" s="261">
        <f t="shared" si="23"/>
        <v>1.099E-2</v>
      </c>
    </row>
    <row r="519" spans="1:5" ht="12.75" x14ac:dyDescent="0.2">
      <c r="A519" s="259" t="s">
        <v>1346</v>
      </c>
      <c r="B519" s="1" t="s">
        <v>729</v>
      </c>
      <c r="C519" s="1" t="str">
        <f t="shared" si="21"/>
        <v>Escalon - San Joaquin</v>
      </c>
      <c r="D519" s="512">
        <f t="shared" si="22"/>
        <v>6.699999999999999E-2</v>
      </c>
      <c r="E519" s="261">
        <f t="shared" si="23"/>
        <v>1.1299999999999999E-2</v>
      </c>
    </row>
    <row r="520" spans="1:5" ht="12.75" x14ac:dyDescent="0.2">
      <c r="A520" s="259" t="s">
        <v>1347</v>
      </c>
      <c r="B520" s="1" t="s">
        <v>751</v>
      </c>
      <c r="C520" s="1" t="str">
        <f t="shared" ref="C520:C583" si="24">A520&amp;" - "&amp;B520</f>
        <v>Escondido - San Diego</v>
      </c>
      <c r="D520" s="512">
        <f t="shared" si="22"/>
        <v>4.4750000000000005E-2</v>
      </c>
      <c r="E520" s="261">
        <f t="shared" si="23"/>
        <v>1.167E-2</v>
      </c>
    </row>
    <row r="521" spans="1:5" ht="12.75" x14ac:dyDescent="0.2">
      <c r="A521" s="259" t="s">
        <v>1348</v>
      </c>
      <c r="B521" s="1" t="s">
        <v>1018</v>
      </c>
      <c r="C521" s="1" t="str">
        <f t="shared" si="24"/>
        <v>Esparto - Yolo</v>
      </c>
      <c r="D521" s="512">
        <f t="shared" ref="D521:D584" si="25">VLOOKUP(B521,unemployment_rates,2, FALSE)</f>
        <v>5.2666666666666667E-2</v>
      </c>
      <c r="E521" s="261">
        <f t="shared" ref="E521:E584" si="26">VLOOKUP(B521,Prop_Tax_Rates,2,FALSE)</f>
        <v>1.11E-2</v>
      </c>
    </row>
    <row r="522" spans="1:5" ht="12.75" x14ac:dyDescent="0.2">
      <c r="A522" s="259" t="s">
        <v>1349</v>
      </c>
      <c r="B522" s="1" t="s">
        <v>738</v>
      </c>
      <c r="C522" s="1" t="str">
        <f t="shared" si="24"/>
        <v>Essex - San Bernardino</v>
      </c>
      <c r="D522" s="512">
        <f t="shared" si="25"/>
        <v>5.1583333333333342E-2</v>
      </c>
      <c r="E522" s="261">
        <f t="shared" si="26"/>
        <v>1.1379999999999999E-2</v>
      </c>
    </row>
    <row r="523" spans="1:5" ht="12.75" x14ac:dyDescent="0.2">
      <c r="A523" s="259" t="s">
        <v>1350</v>
      </c>
      <c r="B523" s="1" t="s">
        <v>738</v>
      </c>
      <c r="C523" s="1" t="str">
        <f t="shared" si="24"/>
        <v>Etiwanda  - San Bernardino</v>
      </c>
      <c r="D523" s="512">
        <f t="shared" si="25"/>
        <v>5.1583333333333342E-2</v>
      </c>
      <c r="E523" s="261">
        <f t="shared" si="26"/>
        <v>1.1379999999999999E-2</v>
      </c>
    </row>
    <row r="524" spans="1:5" ht="12.75" x14ac:dyDescent="0.2">
      <c r="A524" s="259" t="s">
        <v>1351</v>
      </c>
      <c r="B524" s="1" t="s">
        <v>1053</v>
      </c>
      <c r="C524" s="1" t="str">
        <f t="shared" si="24"/>
        <v>Etna - Siskiyou</v>
      </c>
      <c r="D524" s="512">
        <f t="shared" si="25"/>
        <v>6.883333333333333E-2</v>
      </c>
      <c r="E524" s="261">
        <f t="shared" si="26"/>
        <v>1.0460000000000001E-2</v>
      </c>
    </row>
    <row r="525" spans="1:5" ht="12.75" x14ac:dyDescent="0.2">
      <c r="A525" s="259" t="s">
        <v>1352</v>
      </c>
      <c r="B525" s="1" t="s">
        <v>777</v>
      </c>
      <c r="C525" s="1" t="str">
        <f t="shared" si="24"/>
        <v>Ettersburg - Humboldt</v>
      </c>
      <c r="D525" s="512">
        <f t="shared" si="25"/>
        <v>5.1583333333333321E-2</v>
      </c>
      <c r="E525" s="261">
        <f t="shared" si="26"/>
        <v>1.115E-2</v>
      </c>
    </row>
    <row r="526" spans="1:5" ht="12.75" x14ac:dyDescent="0.2">
      <c r="A526" s="259" t="s">
        <v>1353</v>
      </c>
      <c r="B526" s="1" t="s">
        <v>777</v>
      </c>
      <c r="C526" s="1" t="str">
        <f t="shared" si="24"/>
        <v>Eureka - Humboldt</v>
      </c>
      <c r="D526" s="512">
        <f t="shared" si="25"/>
        <v>5.1583333333333321E-2</v>
      </c>
      <c r="E526" s="261">
        <f t="shared" si="26"/>
        <v>1.115E-2</v>
      </c>
    </row>
    <row r="527" spans="1:5" ht="12.75" x14ac:dyDescent="0.2">
      <c r="A527" s="259" t="s">
        <v>1354</v>
      </c>
      <c r="B527" s="1" t="s">
        <v>798</v>
      </c>
      <c r="C527" s="1" t="str">
        <f t="shared" si="24"/>
        <v>Exeter - Tulare</v>
      </c>
      <c r="D527" s="512">
        <f t="shared" si="25"/>
        <v>0.10691666666666669</v>
      </c>
      <c r="E527" s="261">
        <f t="shared" si="26"/>
        <v>1.0869999999999999E-2</v>
      </c>
    </row>
    <row r="528" spans="1:5" ht="12.75" x14ac:dyDescent="0.2">
      <c r="A528" s="259" t="s">
        <v>1355</v>
      </c>
      <c r="B528" s="1" t="s">
        <v>843</v>
      </c>
      <c r="C528" s="1" t="str">
        <f t="shared" si="24"/>
        <v>Fair Oaks  - Sacramento</v>
      </c>
      <c r="D528" s="512">
        <f t="shared" si="25"/>
        <v>4.8833333333333326E-2</v>
      </c>
      <c r="E528" s="261">
        <f t="shared" si="26"/>
        <v>1.1519999999999999E-2</v>
      </c>
    </row>
    <row r="529" spans="1:5" ht="12.75" x14ac:dyDescent="0.2">
      <c r="A529" s="259" t="s">
        <v>1356</v>
      </c>
      <c r="B529" s="1" t="s">
        <v>946</v>
      </c>
      <c r="C529" s="1" t="str">
        <f t="shared" si="24"/>
        <v>Fairfax - Marin</v>
      </c>
      <c r="D529" s="512">
        <f t="shared" si="25"/>
        <v>3.7749999999999999E-2</v>
      </c>
      <c r="E529" s="261">
        <f t="shared" si="26"/>
        <v>1.1299999999999999E-2</v>
      </c>
    </row>
    <row r="530" spans="1:5" ht="12.75" x14ac:dyDescent="0.2">
      <c r="A530" s="259" t="s">
        <v>1357</v>
      </c>
      <c r="B530" s="1" t="s">
        <v>949</v>
      </c>
      <c r="C530" s="1" t="str">
        <f t="shared" si="24"/>
        <v>Fairfield - Solano</v>
      </c>
      <c r="D530" s="512">
        <f t="shared" si="25"/>
        <v>5.1916666666666673E-2</v>
      </c>
      <c r="E530" s="261">
        <f t="shared" si="26"/>
        <v>1.18E-2</v>
      </c>
    </row>
    <row r="531" spans="1:5" ht="12.75" x14ac:dyDescent="0.2">
      <c r="A531" s="259" t="s">
        <v>1358</v>
      </c>
      <c r="B531" s="1" t="s">
        <v>767</v>
      </c>
      <c r="C531" s="1" t="str">
        <f t="shared" si="24"/>
        <v>Fairmount - Contra Costa</v>
      </c>
      <c r="D531" s="512">
        <f t="shared" si="25"/>
        <v>4.7250000000000007E-2</v>
      </c>
      <c r="E531" s="261">
        <f t="shared" si="26"/>
        <v>1.163E-2</v>
      </c>
    </row>
    <row r="532" spans="1:5" ht="12.75" x14ac:dyDescent="0.2">
      <c r="A532" s="259" t="s">
        <v>1359</v>
      </c>
      <c r="B532" s="1" t="s">
        <v>832</v>
      </c>
      <c r="C532" s="1" t="str">
        <f t="shared" si="24"/>
        <v>Fall River Mills - Shasta</v>
      </c>
      <c r="D532" s="512">
        <f t="shared" si="25"/>
        <v>5.6416666666666657E-2</v>
      </c>
      <c r="E532" s="261">
        <f t="shared" si="26"/>
        <v>1.099E-2</v>
      </c>
    </row>
    <row r="533" spans="1:5" ht="12.75" x14ac:dyDescent="0.2">
      <c r="A533" s="259" t="s">
        <v>1360</v>
      </c>
      <c r="B533" s="1" t="s">
        <v>751</v>
      </c>
      <c r="C533" s="1" t="str">
        <f t="shared" si="24"/>
        <v>Fallbrook  - San Diego</v>
      </c>
      <c r="D533" s="512">
        <f t="shared" si="25"/>
        <v>4.4750000000000005E-2</v>
      </c>
      <c r="E533" s="261">
        <f t="shared" si="26"/>
        <v>1.167E-2</v>
      </c>
    </row>
    <row r="534" spans="1:5" ht="12.75" x14ac:dyDescent="0.2">
      <c r="A534" s="259" t="s">
        <v>1361</v>
      </c>
      <c r="B534" s="1" t="s">
        <v>751</v>
      </c>
      <c r="C534" s="1" t="str">
        <f t="shared" si="24"/>
        <v>Fallbrook Junction - San Diego</v>
      </c>
      <c r="D534" s="512">
        <f t="shared" si="25"/>
        <v>4.4750000000000005E-2</v>
      </c>
      <c r="E534" s="261">
        <f t="shared" si="26"/>
        <v>1.167E-2</v>
      </c>
    </row>
    <row r="535" spans="1:5" ht="12.75" x14ac:dyDescent="0.2">
      <c r="A535" s="259" t="s">
        <v>1362</v>
      </c>
      <c r="B535" s="1" t="s">
        <v>762</v>
      </c>
      <c r="C535" s="1" t="str">
        <f t="shared" si="24"/>
        <v>Fallen Leaf - El Dorado</v>
      </c>
      <c r="D535" s="512">
        <f t="shared" si="25"/>
        <v>4.466666666666666E-2</v>
      </c>
      <c r="E535" s="261">
        <f t="shared" si="26"/>
        <v>1.0660000000000001E-2</v>
      </c>
    </row>
    <row r="536" spans="1:5" ht="12.75" x14ac:dyDescent="0.2">
      <c r="A536" s="259" t="s">
        <v>1363</v>
      </c>
      <c r="B536" s="1" t="s">
        <v>946</v>
      </c>
      <c r="C536" s="1" t="str">
        <f t="shared" si="24"/>
        <v>Fallon - Marin</v>
      </c>
      <c r="D536" s="512">
        <f t="shared" si="25"/>
        <v>3.7749999999999999E-2</v>
      </c>
      <c r="E536" s="261">
        <f t="shared" si="26"/>
        <v>1.1299999999999999E-2</v>
      </c>
    </row>
    <row r="537" spans="1:5" ht="12.75" x14ac:dyDescent="0.2">
      <c r="A537" s="259" t="s">
        <v>1364</v>
      </c>
      <c r="B537" s="1" t="s">
        <v>895</v>
      </c>
      <c r="C537" s="1" t="str">
        <f t="shared" si="24"/>
        <v>Fancher - Fresno</v>
      </c>
      <c r="D537" s="512">
        <f t="shared" si="25"/>
        <v>8.0416666666666664E-2</v>
      </c>
      <c r="E537" s="261">
        <f t="shared" si="26"/>
        <v>1.2110000000000001E-2</v>
      </c>
    </row>
    <row r="538" spans="1:5" ht="12.75" x14ac:dyDescent="0.2">
      <c r="A538" s="259" t="s">
        <v>1365</v>
      </c>
      <c r="B538" s="1" t="s">
        <v>798</v>
      </c>
      <c r="C538" s="1" t="str">
        <f t="shared" si="24"/>
        <v>Farmersville - Tulare</v>
      </c>
      <c r="D538" s="512">
        <f t="shared" si="25"/>
        <v>0.10691666666666669</v>
      </c>
      <c r="E538" s="261">
        <f t="shared" si="26"/>
        <v>1.0869999999999999E-2</v>
      </c>
    </row>
    <row r="539" spans="1:5" ht="12.75" x14ac:dyDescent="0.2">
      <c r="A539" s="259" t="s">
        <v>1366</v>
      </c>
      <c r="B539" s="1" t="s">
        <v>729</v>
      </c>
      <c r="C539" s="1" t="str">
        <f t="shared" si="24"/>
        <v>Farmington - San Joaquin</v>
      </c>
      <c r="D539" s="512">
        <f t="shared" si="25"/>
        <v>6.699999999999999E-2</v>
      </c>
      <c r="E539" s="261">
        <f t="shared" si="26"/>
        <v>1.1299999999999999E-2</v>
      </c>
    </row>
    <row r="540" spans="1:5" ht="12.75" x14ac:dyDescent="0.2">
      <c r="A540" s="259" t="s">
        <v>1367</v>
      </c>
      <c r="B540" s="1" t="s">
        <v>738</v>
      </c>
      <c r="C540" s="1" t="str">
        <f t="shared" si="24"/>
        <v>Fawnskin - San Bernardino</v>
      </c>
      <c r="D540" s="512">
        <f t="shared" si="25"/>
        <v>5.1583333333333342E-2</v>
      </c>
      <c r="E540" s="261">
        <f t="shared" si="26"/>
        <v>1.1379999999999999E-2</v>
      </c>
    </row>
    <row r="541" spans="1:5" ht="12.75" x14ac:dyDescent="0.2">
      <c r="A541" s="259" t="s">
        <v>1368</v>
      </c>
      <c r="B541" s="1" t="s">
        <v>915</v>
      </c>
      <c r="C541" s="1" t="str">
        <f t="shared" si="24"/>
        <v>Feather Falls - Butte</v>
      </c>
      <c r="D541" s="512">
        <f t="shared" si="25"/>
        <v>5.8999999999999983E-2</v>
      </c>
      <c r="E541" s="261">
        <f t="shared" si="26"/>
        <v>1.1169999999999999E-2</v>
      </c>
    </row>
    <row r="542" spans="1:5" ht="12.75" x14ac:dyDescent="0.2">
      <c r="A542" s="259" t="s">
        <v>1369</v>
      </c>
      <c r="B542" s="1" t="s">
        <v>884</v>
      </c>
      <c r="C542" s="1" t="str">
        <f t="shared" si="24"/>
        <v>Fellows - Kern</v>
      </c>
      <c r="D542" s="512">
        <f t="shared" si="25"/>
        <v>8.9333333333333334E-2</v>
      </c>
      <c r="E542" s="261">
        <f t="shared" si="26"/>
        <v>1.238E-2</v>
      </c>
    </row>
    <row r="543" spans="1:5" ht="12.75" x14ac:dyDescent="0.2">
      <c r="A543" s="259" t="s">
        <v>1370</v>
      </c>
      <c r="B543" s="1" t="s">
        <v>856</v>
      </c>
      <c r="C543" s="1" t="str">
        <f t="shared" si="24"/>
        <v>Felton - Santa Cruz</v>
      </c>
      <c r="D543" s="512">
        <f t="shared" si="25"/>
        <v>6.2416666666666669E-2</v>
      </c>
      <c r="E543" s="261">
        <f t="shared" si="26"/>
        <v>1.106E-2</v>
      </c>
    </row>
    <row r="544" spans="1:5" ht="12.75" x14ac:dyDescent="0.2">
      <c r="A544" s="259" t="s">
        <v>1371</v>
      </c>
      <c r="B544" s="1" t="s">
        <v>738</v>
      </c>
      <c r="C544" s="1" t="str">
        <f t="shared" si="24"/>
        <v>Fenner - San Bernardino</v>
      </c>
      <c r="D544" s="512">
        <f t="shared" si="25"/>
        <v>5.1583333333333342E-2</v>
      </c>
      <c r="E544" s="261">
        <f t="shared" si="26"/>
        <v>1.1379999999999999E-2</v>
      </c>
    </row>
    <row r="545" spans="1:5" ht="12.75" x14ac:dyDescent="0.2">
      <c r="A545" s="259" t="s">
        <v>1372</v>
      </c>
      <c r="B545" s="1" t="s">
        <v>777</v>
      </c>
      <c r="C545" s="1" t="str">
        <f t="shared" si="24"/>
        <v>Fernbridge  - Humboldt</v>
      </c>
      <c r="D545" s="512">
        <f t="shared" si="25"/>
        <v>5.1583333333333321E-2</v>
      </c>
      <c r="E545" s="261">
        <f t="shared" si="26"/>
        <v>1.115E-2</v>
      </c>
    </row>
    <row r="546" spans="1:5" ht="12.75" x14ac:dyDescent="0.2">
      <c r="A546" s="259" t="s">
        <v>1373</v>
      </c>
      <c r="B546" s="1" t="s">
        <v>777</v>
      </c>
      <c r="C546" s="1" t="str">
        <f t="shared" si="24"/>
        <v>Ferndale - Humboldt</v>
      </c>
      <c r="D546" s="512">
        <f t="shared" si="25"/>
        <v>5.1583333333333321E-2</v>
      </c>
      <c r="E546" s="261">
        <f t="shared" si="26"/>
        <v>1.115E-2</v>
      </c>
    </row>
    <row r="547" spans="1:5" ht="12.75" x14ac:dyDescent="0.2">
      <c r="A547" s="259" t="s">
        <v>1374</v>
      </c>
      <c r="B547" s="1" t="s">
        <v>819</v>
      </c>
      <c r="C547" s="1" t="str">
        <f t="shared" si="24"/>
        <v>Fiddletown - Amador</v>
      </c>
      <c r="D547" s="512">
        <f t="shared" si="25"/>
        <v>5.3500000000000006E-2</v>
      </c>
      <c r="E547" s="261">
        <f t="shared" si="26"/>
        <v>1.014E-2</v>
      </c>
    </row>
    <row r="548" spans="1:5" ht="12.75" x14ac:dyDescent="0.2">
      <c r="A548" s="259" t="s">
        <v>1375</v>
      </c>
      <c r="B548" s="1" t="s">
        <v>777</v>
      </c>
      <c r="C548" s="1" t="str">
        <f t="shared" si="24"/>
        <v>Fields Landing - Humboldt</v>
      </c>
      <c r="D548" s="512">
        <f t="shared" si="25"/>
        <v>5.1583333333333321E-2</v>
      </c>
      <c r="E548" s="261">
        <f t="shared" si="26"/>
        <v>1.115E-2</v>
      </c>
    </row>
    <row r="549" spans="1:5" ht="12.75" x14ac:dyDescent="0.2">
      <c r="A549" s="259" t="s">
        <v>1376</v>
      </c>
      <c r="B549" s="1" t="s">
        <v>895</v>
      </c>
      <c r="C549" s="1" t="str">
        <f t="shared" si="24"/>
        <v>Fig Garden Village - Fresno</v>
      </c>
      <c r="D549" s="512">
        <f t="shared" si="25"/>
        <v>8.0416666666666664E-2</v>
      </c>
      <c r="E549" s="261">
        <f t="shared" si="26"/>
        <v>1.2110000000000001E-2</v>
      </c>
    </row>
    <row r="550" spans="1:5" ht="12.75" x14ac:dyDescent="0.2">
      <c r="A550" s="259" t="s">
        <v>1377</v>
      </c>
      <c r="B550" s="1" t="s">
        <v>1058</v>
      </c>
      <c r="C550" s="1" t="str">
        <f t="shared" si="24"/>
        <v>Fillmore - Ventura</v>
      </c>
      <c r="D550" s="512">
        <f t="shared" si="25"/>
        <v>4.7250000000000007E-2</v>
      </c>
      <c r="E550" s="261">
        <f t="shared" si="26"/>
        <v>1.098E-2</v>
      </c>
    </row>
    <row r="551" spans="1:5" ht="12.75" x14ac:dyDescent="0.2">
      <c r="A551" s="259" t="s">
        <v>1378</v>
      </c>
      <c r="B551" s="1" t="s">
        <v>1154</v>
      </c>
      <c r="C551" s="1" t="str">
        <f t="shared" si="24"/>
        <v>Finley - Lake</v>
      </c>
      <c r="D551" s="512">
        <f t="shared" si="25"/>
        <v>6.1750000000000006E-2</v>
      </c>
      <c r="E551" s="261">
        <f t="shared" si="26"/>
        <v>1.1160000000000002E-2</v>
      </c>
    </row>
    <row r="552" spans="1:5" ht="12.75" x14ac:dyDescent="0.2">
      <c r="A552" s="259" t="s">
        <v>1379</v>
      </c>
      <c r="B552" s="1" t="s">
        <v>895</v>
      </c>
      <c r="C552" s="1" t="str">
        <f t="shared" si="24"/>
        <v>Firebaugh - Fresno</v>
      </c>
      <c r="D552" s="512">
        <f t="shared" si="25"/>
        <v>8.0416666666666664E-2</v>
      </c>
      <c r="E552" s="261">
        <f t="shared" si="26"/>
        <v>1.2110000000000001E-2</v>
      </c>
    </row>
    <row r="553" spans="1:5" ht="12.75" x14ac:dyDescent="0.2">
      <c r="A553" s="259" t="s">
        <v>1380</v>
      </c>
      <c r="B553" s="1" t="s">
        <v>935</v>
      </c>
      <c r="C553" s="1" t="str">
        <f t="shared" si="24"/>
        <v>Fish Camp - Mariposa</v>
      </c>
      <c r="D553" s="512">
        <f t="shared" si="25"/>
        <v>5.2833333333333329E-2</v>
      </c>
      <c r="E553" s="261">
        <f t="shared" si="26"/>
        <v>1.0369999999999999E-2</v>
      </c>
    </row>
    <row r="554" spans="1:5" ht="12.75" x14ac:dyDescent="0.2">
      <c r="A554" s="259" t="s">
        <v>1381</v>
      </c>
      <c r="B554" s="1" t="s">
        <v>895</v>
      </c>
      <c r="C554" s="1" t="str">
        <f t="shared" si="24"/>
        <v>Five Points - Fresno</v>
      </c>
      <c r="D554" s="512">
        <f t="shared" si="25"/>
        <v>8.0416666666666664E-2</v>
      </c>
      <c r="E554" s="261">
        <f t="shared" si="26"/>
        <v>1.2110000000000001E-2</v>
      </c>
    </row>
    <row r="555" spans="1:5" ht="12.75" x14ac:dyDescent="0.2">
      <c r="A555" s="259" t="s">
        <v>1382</v>
      </c>
      <c r="B555" s="1" t="s">
        <v>751</v>
      </c>
      <c r="C555" s="1" t="str">
        <f t="shared" si="24"/>
        <v>Flinn Springs - San Diego</v>
      </c>
      <c r="D555" s="512">
        <f t="shared" si="25"/>
        <v>4.4750000000000005E-2</v>
      </c>
      <c r="E555" s="261">
        <f t="shared" si="26"/>
        <v>1.167E-2</v>
      </c>
    </row>
    <row r="556" spans="1:5" ht="12.75" x14ac:dyDescent="0.2">
      <c r="A556" s="259" t="s">
        <v>1383</v>
      </c>
      <c r="B556" s="1" t="s">
        <v>732</v>
      </c>
      <c r="C556" s="1" t="str">
        <f t="shared" si="24"/>
        <v>Flintridge  - Los Angeles</v>
      </c>
      <c r="D556" s="512">
        <f t="shared" si="25"/>
        <v>5.4833333333333331E-2</v>
      </c>
      <c r="E556" s="261">
        <f t="shared" si="26"/>
        <v>1.1599999999999999E-2</v>
      </c>
    </row>
    <row r="557" spans="1:5" ht="12.75" x14ac:dyDescent="0.2">
      <c r="A557" s="259" t="s">
        <v>1384</v>
      </c>
      <c r="B557" s="1" t="s">
        <v>732</v>
      </c>
      <c r="C557" s="1" t="str">
        <f t="shared" si="24"/>
        <v>Florence - Los Angeles</v>
      </c>
      <c r="D557" s="512">
        <f t="shared" si="25"/>
        <v>5.4833333333333331E-2</v>
      </c>
      <c r="E557" s="261">
        <f t="shared" si="26"/>
        <v>1.1599999999999999E-2</v>
      </c>
    </row>
    <row r="558" spans="1:5" ht="12.75" x14ac:dyDescent="0.2">
      <c r="A558" s="259" t="s">
        <v>1385</v>
      </c>
      <c r="B558" s="1" t="s">
        <v>1118</v>
      </c>
      <c r="C558" s="1" t="str">
        <f t="shared" si="24"/>
        <v>Floriston - Nevada</v>
      </c>
      <c r="D558" s="512">
        <f t="shared" si="25"/>
        <v>4.3166666666666673E-2</v>
      </c>
      <c r="E558" s="261">
        <f t="shared" si="26"/>
        <v>1.0620000000000001E-2</v>
      </c>
    </row>
    <row r="559" spans="1:5" ht="12.75" x14ac:dyDescent="0.2">
      <c r="A559" s="259" t="s">
        <v>1386</v>
      </c>
      <c r="B559" s="1" t="s">
        <v>1188</v>
      </c>
      <c r="C559" s="1" t="str">
        <f t="shared" si="24"/>
        <v>Flournoy - Tehama</v>
      </c>
      <c r="D559" s="512">
        <f t="shared" si="25"/>
        <v>6.3083333333333325E-2</v>
      </c>
      <c r="E559" s="261">
        <f t="shared" si="26"/>
        <v>1.057E-2</v>
      </c>
    </row>
    <row r="560" spans="1:5" ht="12.75" x14ac:dyDescent="0.2">
      <c r="A560" s="259" t="s">
        <v>1387</v>
      </c>
      <c r="B560" s="1" t="s">
        <v>843</v>
      </c>
      <c r="C560" s="1" t="str">
        <f t="shared" si="24"/>
        <v>Folsom - Sacramento</v>
      </c>
      <c r="D560" s="512">
        <f t="shared" si="25"/>
        <v>4.8833333333333326E-2</v>
      </c>
      <c r="E560" s="261">
        <f t="shared" si="26"/>
        <v>1.1519999999999999E-2</v>
      </c>
    </row>
    <row r="561" spans="1:5" ht="12.75" x14ac:dyDescent="0.2">
      <c r="A561" s="259" t="s">
        <v>1388</v>
      </c>
      <c r="B561" s="1" t="s">
        <v>738</v>
      </c>
      <c r="C561" s="1" t="str">
        <f t="shared" si="24"/>
        <v>Fontana - San Bernardino</v>
      </c>
      <c r="D561" s="512">
        <f t="shared" si="25"/>
        <v>5.1583333333333342E-2</v>
      </c>
      <c r="E561" s="261">
        <f t="shared" si="26"/>
        <v>1.1379999999999999E-2</v>
      </c>
    </row>
    <row r="562" spans="1:5" ht="12.75" x14ac:dyDescent="0.2">
      <c r="A562" s="259" t="s">
        <v>1389</v>
      </c>
      <c r="B562" s="1" t="s">
        <v>782</v>
      </c>
      <c r="C562" s="1" t="str">
        <f t="shared" si="24"/>
        <v>Foothill Ranch - Orange</v>
      </c>
      <c r="D562" s="512">
        <f t="shared" si="25"/>
        <v>3.9749999999999994E-2</v>
      </c>
      <c r="E562" s="261">
        <f t="shared" si="26"/>
        <v>1.0660000000000001E-2</v>
      </c>
    </row>
    <row r="563" spans="1:5" ht="12.75" x14ac:dyDescent="0.2">
      <c r="A563" s="259" t="s">
        <v>1390</v>
      </c>
      <c r="B563" s="1" t="s">
        <v>915</v>
      </c>
      <c r="C563" s="1" t="str">
        <f t="shared" si="24"/>
        <v>Forbestown - Butte</v>
      </c>
      <c r="D563" s="512">
        <f t="shared" si="25"/>
        <v>5.8999999999999983E-2</v>
      </c>
      <c r="E563" s="261">
        <f t="shared" si="26"/>
        <v>1.1169999999999999E-2</v>
      </c>
    </row>
    <row r="564" spans="1:5" ht="12.75" x14ac:dyDescent="0.2">
      <c r="A564" s="259" t="s">
        <v>1391</v>
      </c>
      <c r="B564" s="1" t="s">
        <v>738</v>
      </c>
      <c r="C564" s="1" t="str">
        <f t="shared" si="24"/>
        <v>Forest Falls - San Bernardino</v>
      </c>
      <c r="D564" s="512">
        <f t="shared" si="25"/>
        <v>5.1583333333333342E-2</v>
      </c>
      <c r="E564" s="261">
        <f t="shared" si="26"/>
        <v>1.1379999999999999E-2</v>
      </c>
    </row>
    <row r="565" spans="1:5" ht="12.75" x14ac:dyDescent="0.2">
      <c r="A565" s="259" t="s">
        <v>1392</v>
      </c>
      <c r="B565" s="1" t="s">
        <v>961</v>
      </c>
      <c r="C565" s="1" t="str">
        <f t="shared" si="24"/>
        <v>Forest Glen - Trinity</v>
      </c>
      <c r="D565" s="512">
        <f t="shared" si="25"/>
        <v>5.916666666666668E-2</v>
      </c>
      <c r="E565" s="261">
        <f t="shared" si="26"/>
        <v>1.043E-2</v>
      </c>
    </row>
    <row r="566" spans="1:5" ht="12.75" x14ac:dyDescent="0.2">
      <c r="A566" s="259" t="s">
        <v>1393</v>
      </c>
      <c r="B566" s="1" t="s">
        <v>946</v>
      </c>
      <c r="C566" s="1" t="str">
        <f t="shared" si="24"/>
        <v>Forest Knolls - Marin</v>
      </c>
      <c r="D566" s="512">
        <f t="shared" si="25"/>
        <v>3.7749999999999999E-2</v>
      </c>
      <c r="E566" s="261">
        <f t="shared" si="26"/>
        <v>1.1299999999999999E-2</v>
      </c>
    </row>
    <row r="567" spans="1:5" ht="12.75" x14ac:dyDescent="0.2">
      <c r="A567" s="259" t="s">
        <v>1394</v>
      </c>
      <c r="B567" s="1" t="s">
        <v>732</v>
      </c>
      <c r="C567" s="1" t="str">
        <f t="shared" si="24"/>
        <v>Forest Park - Los Angeles</v>
      </c>
      <c r="D567" s="512">
        <f t="shared" si="25"/>
        <v>5.4833333333333331E-2</v>
      </c>
      <c r="E567" s="261">
        <f t="shared" si="26"/>
        <v>1.1599999999999999E-2</v>
      </c>
    </row>
    <row r="568" spans="1:5" ht="12.75" x14ac:dyDescent="0.2">
      <c r="A568" s="259" t="s">
        <v>1395</v>
      </c>
      <c r="B568" s="1" t="s">
        <v>915</v>
      </c>
      <c r="C568" s="1" t="str">
        <f t="shared" si="24"/>
        <v>Forest Ranch - Butte</v>
      </c>
      <c r="D568" s="512">
        <f t="shared" si="25"/>
        <v>5.8999999999999983E-2</v>
      </c>
      <c r="E568" s="261">
        <f t="shared" si="26"/>
        <v>1.1169999999999999E-2</v>
      </c>
    </row>
    <row r="569" spans="1:5" ht="12.75" x14ac:dyDescent="0.2">
      <c r="A569" s="259" t="s">
        <v>1396</v>
      </c>
      <c r="B569" s="1" t="s">
        <v>803</v>
      </c>
      <c r="C569" s="1" t="str">
        <f t="shared" si="24"/>
        <v>Foresthill - Placer</v>
      </c>
      <c r="D569" s="512">
        <f t="shared" si="25"/>
        <v>4.1833333333333347E-2</v>
      </c>
      <c r="E569" s="261">
        <f t="shared" si="26"/>
        <v>1.0880000000000001E-2</v>
      </c>
    </row>
    <row r="570" spans="1:5" ht="12.75" x14ac:dyDescent="0.2">
      <c r="A570" s="259" t="s">
        <v>1397</v>
      </c>
      <c r="B570" s="1" t="s">
        <v>748</v>
      </c>
      <c r="C570" s="1" t="str">
        <f t="shared" si="24"/>
        <v>Forestville - Sonoma</v>
      </c>
      <c r="D570" s="512">
        <f t="shared" si="25"/>
        <v>4.0583333333333325E-2</v>
      </c>
      <c r="E570" s="261">
        <f t="shared" si="26"/>
        <v>1.133E-2</v>
      </c>
    </row>
    <row r="571" spans="1:5" ht="12.75" x14ac:dyDescent="0.2">
      <c r="A571" s="259" t="s">
        <v>1398</v>
      </c>
      <c r="B571" s="1" t="s">
        <v>1053</v>
      </c>
      <c r="C571" s="1" t="str">
        <f t="shared" si="24"/>
        <v>Forks of Salmon - Siskiyou</v>
      </c>
      <c r="D571" s="512">
        <f t="shared" si="25"/>
        <v>6.883333333333333E-2</v>
      </c>
      <c r="E571" s="261">
        <f t="shared" si="26"/>
        <v>1.0460000000000001E-2</v>
      </c>
    </row>
    <row r="572" spans="1:5" ht="12.75" x14ac:dyDescent="0.2">
      <c r="A572" s="259" t="s">
        <v>1399</v>
      </c>
      <c r="B572" s="1" t="s">
        <v>741</v>
      </c>
      <c r="C572" s="1" t="str">
        <f t="shared" si="24"/>
        <v>Fort Bidwell - Modoc</v>
      </c>
      <c r="D572" s="512">
        <f t="shared" si="25"/>
        <v>6.8499999999999991E-2</v>
      </c>
      <c r="E572" s="261">
        <f t="shared" si="26"/>
        <v>0.01</v>
      </c>
    </row>
    <row r="573" spans="1:5" ht="12.75" x14ac:dyDescent="0.2">
      <c r="A573" s="259" t="s">
        <v>1400</v>
      </c>
      <c r="B573" s="1" t="s">
        <v>774</v>
      </c>
      <c r="C573" s="1" t="str">
        <f t="shared" si="24"/>
        <v>Fort Bragg - Mendocino</v>
      </c>
      <c r="D573" s="512">
        <f t="shared" si="25"/>
        <v>5.1916666666666667E-2</v>
      </c>
      <c r="E573" s="261">
        <f t="shared" si="26"/>
        <v>1.1650000000000001E-2</v>
      </c>
    </row>
    <row r="574" spans="1:5" ht="12.75" x14ac:dyDescent="0.2">
      <c r="A574" s="259" t="s">
        <v>1401</v>
      </c>
      <c r="B574" s="1" t="s">
        <v>1207</v>
      </c>
      <c r="C574" s="1" t="str">
        <f t="shared" si="24"/>
        <v>Fort Dick - Del Norte</v>
      </c>
      <c r="D574" s="512">
        <f t="shared" si="25"/>
        <v>6.0749999999999992E-2</v>
      </c>
      <c r="E574" s="261">
        <f t="shared" si="26"/>
        <v>1.035E-2</v>
      </c>
    </row>
    <row r="575" spans="1:5" ht="12.75" x14ac:dyDescent="0.2">
      <c r="A575" s="259" t="s">
        <v>1402</v>
      </c>
      <c r="B575" s="1" t="s">
        <v>738</v>
      </c>
      <c r="C575" s="1" t="str">
        <f t="shared" si="24"/>
        <v>Fort Irwin - San Bernardino</v>
      </c>
      <c r="D575" s="512">
        <f t="shared" si="25"/>
        <v>5.1583333333333342E-2</v>
      </c>
      <c r="E575" s="261">
        <f t="shared" si="26"/>
        <v>1.1379999999999999E-2</v>
      </c>
    </row>
    <row r="576" spans="1:5" ht="12.75" x14ac:dyDescent="0.2">
      <c r="A576" s="259" t="s">
        <v>1403</v>
      </c>
      <c r="B576" s="1" t="s">
        <v>1053</v>
      </c>
      <c r="C576" s="1" t="str">
        <f t="shared" si="24"/>
        <v>Fort Jones - Siskiyou</v>
      </c>
      <c r="D576" s="512">
        <f t="shared" si="25"/>
        <v>6.883333333333333E-2</v>
      </c>
      <c r="E576" s="261">
        <f t="shared" si="26"/>
        <v>1.0460000000000001E-2</v>
      </c>
    </row>
    <row r="577" spans="1:5" ht="12.75" x14ac:dyDescent="0.2">
      <c r="A577" s="259" t="s">
        <v>1404</v>
      </c>
      <c r="B577" s="1" t="s">
        <v>876</v>
      </c>
      <c r="C577" s="1" t="str">
        <f t="shared" si="24"/>
        <v>Fort Ord  - Monterey</v>
      </c>
      <c r="D577" s="512">
        <f t="shared" si="25"/>
        <v>7.425000000000001E-2</v>
      </c>
      <c r="E577" s="261">
        <f t="shared" si="26"/>
        <v>1.098E-2</v>
      </c>
    </row>
    <row r="578" spans="1:5" ht="12.75" x14ac:dyDescent="0.2">
      <c r="A578" s="259" t="s">
        <v>1405</v>
      </c>
      <c r="B578" s="1" t="s">
        <v>777</v>
      </c>
      <c r="C578" s="1" t="str">
        <f t="shared" si="24"/>
        <v>Fort Seward - Humboldt</v>
      </c>
      <c r="D578" s="512">
        <f t="shared" si="25"/>
        <v>5.1583333333333321E-2</v>
      </c>
      <c r="E578" s="261">
        <f t="shared" si="26"/>
        <v>1.115E-2</v>
      </c>
    </row>
    <row r="579" spans="1:5" ht="12.75" x14ac:dyDescent="0.2">
      <c r="A579" s="259" t="s">
        <v>1406</v>
      </c>
      <c r="B579" s="1" t="s">
        <v>777</v>
      </c>
      <c r="C579" s="1" t="str">
        <f t="shared" si="24"/>
        <v>Fortuna - Humboldt</v>
      </c>
      <c r="D579" s="512">
        <f t="shared" si="25"/>
        <v>5.1583333333333321E-2</v>
      </c>
      <c r="E579" s="261">
        <f t="shared" si="26"/>
        <v>1.115E-2</v>
      </c>
    </row>
    <row r="580" spans="1:5" ht="12.75" x14ac:dyDescent="0.2">
      <c r="A580" s="259" t="s">
        <v>1407</v>
      </c>
      <c r="B580" s="1" t="s">
        <v>890</v>
      </c>
      <c r="C580" s="1" t="str">
        <f t="shared" si="24"/>
        <v>Foster City - San Mateo</v>
      </c>
      <c r="D580" s="512">
        <f t="shared" si="25"/>
        <v>3.5000000000000003E-2</v>
      </c>
      <c r="E580" s="261">
        <f t="shared" si="26"/>
        <v>1.1089999999999999E-2</v>
      </c>
    </row>
    <row r="581" spans="1:5" ht="12.75" x14ac:dyDescent="0.2">
      <c r="A581" s="259" t="s">
        <v>1408</v>
      </c>
      <c r="B581" s="1" t="s">
        <v>782</v>
      </c>
      <c r="C581" s="1" t="str">
        <f t="shared" si="24"/>
        <v>Fountain Valley - Orange</v>
      </c>
      <c r="D581" s="512">
        <f t="shared" si="25"/>
        <v>3.9749999999999994E-2</v>
      </c>
      <c r="E581" s="261">
        <f t="shared" si="26"/>
        <v>1.0660000000000001E-2</v>
      </c>
    </row>
    <row r="582" spans="1:5" ht="12.75" x14ac:dyDescent="0.2">
      <c r="A582" s="259" t="s">
        <v>1409</v>
      </c>
      <c r="B582" s="1" t="s">
        <v>895</v>
      </c>
      <c r="C582" s="1" t="str">
        <f t="shared" si="24"/>
        <v>Fowler - Fresno</v>
      </c>
      <c r="D582" s="512">
        <f t="shared" si="25"/>
        <v>8.0416666666666664E-2</v>
      </c>
      <c r="E582" s="261">
        <f t="shared" si="26"/>
        <v>1.2110000000000001E-2</v>
      </c>
    </row>
    <row r="583" spans="1:5" ht="12.75" x14ac:dyDescent="0.2">
      <c r="A583" s="259" t="s">
        <v>1410</v>
      </c>
      <c r="B583" s="1" t="s">
        <v>884</v>
      </c>
      <c r="C583" s="1" t="str">
        <f t="shared" si="24"/>
        <v>Frazier Park - Kern</v>
      </c>
      <c r="D583" s="512">
        <f t="shared" si="25"/>
        <v>8.9333333333333334E-2</v>
      </c>
      <c r="E583" s="261">
        <f t="shared" si="26"/>
        <v>1.238E-2</v>
      </c>
    </row>
    <row r="584" spans="1:5" ht="12.75" x14ac:dyDescent="0.2">
      <c r="A584" s="259" t="s">
        <v>1411</v>
      </c>
      <c r="B584" s="1" t="s">
        <v>856</v>
      </c>
      <c r="C584" s="1" t="str">
        <f t="shared" ref="C584:C647" si="27">A584&amp;" - "&amp;B584</f>
        <v>Freedom - Santa Cruz</v>
      </c>
      <c r="D584" s="512">
        <f t="shared" si="25"/>
        <v>6.2416666666666669E-2</v>
      </c>
      <c r="E584" s="261">
        <f t="shared" si="26"/>
        <v>1.106E-2</v>
      </c>
    </row>
    <row r="585" spans="1:5" ht="12.75" x14ac:dyDescent="0.2">
      <c r="A585" s="259" t="s">
        <v>1412</v>
      </c>
      <c r="B585" s="1" t="s">
        <v>843</v>
      </c>
      <c r="C585" s="1" t="str">
        <f t="shared" si="27"/>
        <v>Freeport - Sacramento</v>
      </c>
      <c r="D585" s="512">
        <f t="shared" ref="D585:D648" si="28">VLOOKUP(B585,unemployment_rates,2, FALSE)</f>
        <v>4.8833333333333326E-2</v>
      </c>
      <c r="E585" s="261">
        <f t="shared" ref="E585:E648" si="29">VLOOKUP(B585,Prop_Tax_Rates,2,FALSE)</f>
        <v>1.1519999999999999E-2</v>
      </c>
    </row>
    <row r="586" spans="1:5" ht="12.75" x14ac:dyDescent="0.2">
      <c r="A586" s="259" t="s">
        <v>1413</v>
      </c>
      <c r="B586" s="1" t="s">
        <v>748</v>
      </c>
      <c r="C586" s="1" t="str">
        <f t="shared" si="27"/>
        <v>Freestone - Sonoma</v>
      </c>
      <c r="D586" s="512">
        <f t="shared" si="28"/>
        <v>4.0583333333333325E-2</v>
      </c>
      <c r="E586" s="261">
        <f t="shared" si="29"/>
        <v>1.133E-2</v>
      </c>
    </row>
    <row r="587" spans="1:5" ht="12.75" x14ac:dyDescent="0.2">
      <c r="A587" s="259" t="s">
        <v>1414</v>
      </c>
      <c r="B587" s="1" t="s">
        <v>764</v>
      </c>
      <c r="C587" s="1" t="str">
        <f t="shared" si="27"/>
        <v>Fremont - Alameda</v>
      </c>
      <c r="D587" s="512">
        <f t="shared" si="28"/>
        <v>4.7E-2</v>
      </c>
      <c r="E587" s="261">
        <f t="shared" si="29"/>
        <v>1.2430000000000002E-2</v>
      </c>
    </row>
    <row r="588" spans="1:5" ht="12.75" x14ac:dyDescent="0.2">
      <c r="A588" s="259" t="s">
        <v>1415</v>
      </c>
      <c r="B588" s="1" t="s">
        <v>729</v>
      </c>
      <c r="C588" s="1" t="str">
        <f t="shared" si="27"/>
        <v>French Camp - San Joaquin</v>
      </c>
      <c r="D588" s="512">
        <f t="shared" si="28"/>
        <v>6.699999999999999E-2</v>
      </c>
      <c r="E588" s="261">
        <f t="shared" si="29"/>
        <v>1.1299999999999999E-2</v>
      </c>
    </row>
    <row r="589" spans="1:5" ht="12.75" x14ac:dyDescent="0.2">
      <c r="A589" s="259" t="s">
        <v>1416</v>
      </c>
      <c r="B589" s="1" t="s">
        <v>832</v>
      </c>
      <c r="C589" s="1" t="str">
        <f t="shared" si="27"/>
        <v>French Gulch - Shasta</v>
      </c>
      <c r="D589" s="512">
        <f t="shared" si="28"/>
        <v>5.6416666666666657E-2</v>
      </c>
      <c r="E589" s="261">
        <f t="shared" si="29"/>
        <v>1.099E-2</v>
      </c>
    </row>
    <row r="590" spans="1:5" ht="12.75" x14ac:dyDescent="0.2">
      <c r="A590" s="259" t="s">
        <v>1417</v>
      </c>
      <c r="B590" s="1" t="s">
        <v>777</v>
      </c>
      <c r="C590" s="1" t="str">
        <f t="shared" si="27"/>
        <v>Freshwater - Humboldt</v>
      </c>
      <c r="D590" s="512">
        <f t="shared" si="28"/>
        <v>5.1583333333333321E-2</v>
      </c>
      <c r="E590" s="261">
        <f t="shared" si="29"/>
        <v>1.115E-2</v>
      </c>
    </row>
    <row r="591" spans="1:5" ht="12.75" x14ac:dyDescent="0.2">
      <c r="A591" s="259" t="s">
        <v>895</v>
      </c>
      <c r="B591" s="1" t="s">
        <v>895</v>
      </c>
      <c r="C591" s="1" t="str">
        <f t="shared" si="27"/>
        <v>Fresno - Fresno</v>
      </c>
      <c r="D591" s="512">
        <f t="shared" si="28"/>
        <v>8.0416666666666664E-2</v>
      </c>
      <c r="E591" s="261">
        <f t="shared" si="29"/>
        <v>1.2110000000000001E-2</v>
      </c>
    </row>
    <row r="592" spans="1:5" ht="12.75" x14ac:dyDescent="0.2">
      <c r="A592" s="259" t="s">
        <v>1418</v>
      </c>
      <c r="B592" s="1" t="s">
        <v>895</v>
      </c>
      <c r="C592" s="1" t="str">
        <f t="shared" si="27"/>
        <v>Friant - Fresno</v>
      </c>
      <c r="D592" s="512">
        <f t="shared" si="28"/>
        <v>8.0416666666666664E-2</v>
      </c>
      <c r="E592" s="261">
        <f t="shared" si="29"/>
        <v>1.2110000000000001E-2</v>
      </c>
    </row>
    <row r="593" spans="1:5" ht="12.75" x14ac:dyDescent="0.2">
      <c r="A593" s="259" t="s">
        <v>1419</v>
      </c>
      <c r="B593" s="1" t="s">
        <v>732</v>
      </c>
      <c r="C593" s="1" t="str">
        <f t="shared" si="27"/>
        <v>Friendly Valley  - Los Angeles</v>
      </c>
      <c r="D593" s="512">
        <f t="shared" si="28"/>
        <v>5.4833333333333331E-2</v>
      </c>
      <c r="E593" s="261">
        <f t="shared" si="29"/>
        <v>1.1599999999999999E-2</v>
      </c>
    </row>
    <row r="594" spans="1:5" ht="12.75" x14ac:dyDescent="0.2">
      <c r="A594" s="259" t="s">
        <v>1420</v>
      </c>
      <c r="B594" s="1" t="s">
        <v>756</v>
      </c>
      <c r="C594" s="1" t="str">
        <f t="shared" si="27"/>
        <v>Frontera - Riverside</v>
      </c>
      <c r="D594" s="512">
        <f t="shared" si="28"/>
        <v>5.3749999999999999E-2</v>
      </c>
      <c r="E594" s="261">
        <f t="shared" si="29"/>
        <v>1.1859999999999999E-2</v>
      </c>
    </row>
    <row r="595" spans="1:5" ht="12.75" x14ac:dyDescent="0.2">
      <c r="A595" s="259" t="s">
        <v>1421</v>
      </c>
      <c r="B595" s="1" t="s">
        <v>782</v>
      </c>
      <c r="C595" s="1" t="str">
        <f t="shared" si="27"/>
        <v>Fullerton - Orange</v>
      </c>
      <c r="D595" s="512">
        <f t="shared" si="28"/>
        <v>3.9749999999999994E-2</v>
      </c>
      <c r="E595" s="261">
        <f t="shared" si="29"/>
        <v>1.0660000000000001E-2</v>
      </c>
    </row>
    <row r="596" spans="1:5" ht="12.75" x14ac:dyDescent="0.2">
      <c r="A596" s="259" t="s">
        <v>1422</v>
      </c>
      <c r="B596" s="1" t="s">
        <v>748</v>
      </c>
      <c r="C596" s="1" t="str">
        <f t="shared" si="27"/>
        <v>Fulton - Sonoma</v>
      </c>
      <c r="D596" s="512">
        <f t="shared" si="28"/>
        <v>4.0583333333333325E-2</v>
      </c>
      <c r="E596" s="261">
        <f t="shared" si="29"/>
        <v>1.133E-2</v>
      </c>
    </row>
    <row r="597" spans="1:5" ht="12.75" x14ac:dyDescent="0.2">
      <c r="A597" s="259" t="s">
        <v>1423</v>
      </c>
      <c r="B597" s="1" t="s">
        <v>843</v>
      </c>
      <c r="C597" s="1" t="str">
        <f t="shared" si="27"/>
        <v>Galt - Sacramento</v>
      </c>
      <c r="D597" s="512">
        <f t="shared" si="28"/>
        <v>4.8833333333333326E-2</v>
      </c>
      <c r="E597" s="261">
        <f t="shared" si="29"/>
        <v>1.1519999999999999E-2</v>
      </c>
    </row>
    <row r="598" spans="1:5" ht="12.75" x14ac:dyDescent="0.2">
      <c r="A598" s="259" t="s">
        <v>1424</v>
      </c>
      <c r="B598" s="1" t="s">
        <v>777</v>
      </c>
      <c r="C598" s="1" t="str">
        <f t="shared" si="27"/>
        <v>Garberville - Humboldt</v>
      </c>
      <c r="D598" s="512">
        <f t="shared" si="28"/>
        <v>5.1583333333333321E-2</v>
      </c>
      <c r="E598" s="261">
        <f t="shared" si="29"/>
        <v>1.115E-2</v>
      </c>
    </row>
    <row r="599" spans="1:5" ht="12.75" x14ac:dyDescent="0.2">
      <c r="A599" s="259" t="s">
        <v>1425</v>
      </c>
      <c r="B599" s="1" t="s">
        <v>782</v>
      </c>
      <c r="C599" s="1" t="str">
        <f t="shared" si="27"/>
        <v>Garden Grove - Orange</v>
      </c>
      <c r="D599" s="512">
        <f t="shared" si="28"/>
        <v>3.9749999999999994E-2</v>
      </c>
      <c r="E599" s="261">
        <f t="shared" si="29"/>
        <v>1.0660000000000001E-2</v>
      </c>
    </row>
    <row r="600" spans="1:5" ht="12.75" x14ac:dyDescent="0.2">
      <c r="A600" s="259" t="s">
        <v>1426</v>
      </c>
      <c r="B600" s="1" t="s">
        <v>762</v>
      </c>
      <c r="C600" s="1" t="str">
        <f t="shared" si="27"/>
        <v>Garden Valley - El Dorado</v>
      </c>
      <c r="D600" s="512">
        <f t="shared" si="28"/>
        <v>4.466666666666666E-2</v>
      </c>
      <c r="E600" s="261">
        <f t="shared" si="29"/>
        <v>1.0660000000000001E-2</v>
      </c>
    </row>
    <row r="601" spans="1:5" ht="12.75" x14ac:dyDescent="0.2">
      <c r="A601" s="259" t="s">
        <v>1427</v>
      </c>
      <c r="B601" s="1" t="s">
        <v>732</v>
      </c>
      <c r="C601" s="1" t="str">
        <f t="shared" si="27"/>
        <v>Gardena - Los Angeles</v>
      </c>
      <c r="D601" s="512">
        <f t="shared" si="28"/>
        <v>5.4833333333333331E-2</v>
      </c>
      <c r="E601" s="261">
        <f t="shared" si="29"/>
        <v>1.1599999999999999E-2</v>
      </c>
    </row>
    <row r="602" spans="1:5" ht="12.75" x14ac:dyDescent="0.2">
      <c r="A602" s="259" t="s">
        <v>1428</v>
      </c>
      <c r="B602" s="1" t="s">
        <v>911</v>
      </c>
      <c r="C602" s="1" t="str">
        <f t="shared" si="27"/>
        <v>Garey - Santa Barbara</v>
      </c>
      <c r="D602" s="512">
        <f t="shared" si="28"/>
        <v>4.5333333333333344E-2</v>
      </c>
      <c r="E602" s="261">
        <f t="shared" si="29"/>
        <v>1.0740000000000001E-2</v>
      </c>
    </row>
    <row r="603" spans="1:5" ht="12.75" x14ac:dyDescent="0.2">
      <c r="A603" s="259" t="s">
        <v>1429</v>
      </c>
      <c r="B603" s="1" t="s">
        <v>756</v>
      </c>
      <c r="C603" s="1" t="str">
        <f t="shared" si="27"/>
        <v>Garnet - Riverside</v>
      </c>
      <c r="D603" s="512">
        <f t="shared" si="28"/>
        <v>5.3749999999999999E-2</v>
      </c>
      <c r="E603" s="261">
        <f t="shared" si="29"/>
        <v>1.1859999999999999E-2</v>
      </c>
    </row>
    <row r="604" spans="1:5" ht="12.75" x14ac:dyDescent="0.2">
      <c r="A604" s="259" t="s">
        <v>1430</v>
      </c>
      <c r="B604" s="1" t="s">
        <v>1207</v>
      </c>
      <c r="C604" s="1" t="str">
        <f t="shared" si="27"/>
        <v>Gasquet - Del Norte</v>
      </c>
      <c r="D604" s="512">
        <f t="shared" si="28"/>
        <v>6.0749999999999992E-2</v>
      </c>
      <c r="E604" s="261">
        <f t="shared" si="29"/>
        <v>1.035E-2</v>
      </c>
    </row>
    <row r="605" spans="1:5" ht="12.75" x14ac:dyDescent="0.2">
      <c r="A605" s="259" t="s">
        <v>1431</v>
      </c>
      <c r="B605" s="1" t="s">
        <v>911</v>
      </c>
      <c r="C605" s="1" t="str">
        <f t="shared" si="27"/>
        <v>Gaviota - Santa Barbara</v>
      </c>
      <c r="D605" s="512">
        <f t="shared" si="28"/>
        <v>4.5333333333333344E-2</v>
      </c>
      <c r="E605" s="261">
        <f t="shared" si="29"/>
        <v>1.0740000000000001E-2</v>
      </c>
    </row>
    <row r="606" spans="1:5" ht="12.75" x14ac:dyDescent="0.2">
      <c r="A606" s="259" t="s">
        <v>1432</v>
      </c>
      <c r="B606" s="1" t="s">
        <v>1053</v>
      </c>
      <c r="C606" s="1" t="str">
        <f t="shared" si="27"/>
        <v>Gazelle - Siskiyou</v>
      </c>
      <c r="D606" s="512">
        <f t="shared" si="28"/>
        <v>6.883333333333333E-2</v>
      </c>
      <c r="E606" s="261">
        <f t="shared" si="29"/>
        <v>1.0460000000000001E-2</v>
      </c>
    </row>
    <row r="607" spans="1:5" ht="12.75" x14ac:dyDescent="0.2">
      <c r="A607" s="259" t="s">
        <v>1433</v>
      </c>
      <c r="B607" s="1" t="s">
        <v>738</v>
      </c>
      <c r="C607" s="1" t="str">
        <f t="shared" si="27"/>
        <v>George A.F.B. - San Bernardino</v>
      </c>
      <c r="D607" s="512">
        <f t="shared" si="28"/>
        <v>5.1583333333333342E-2</v>
      </c>
      <c r="E607" s="261">
        <f t="shared" si="29"/>
        <v>1.1379999999999999E-2</v>
      </c>
    </row>
    <row r="608" spans="1:5" ht="12.75" x14ac:dyDescent="0.2">
      <c r="A608" s="259" t="s">
        <v>1434</v>
      </c>
      <c r="B608" s="1" t="s">
        <v>762</v>
      </c>
      <c r="C608" s="1" t="str">
        <f t="shared" si="27"/>
        <v>Georgetown - El Dorado</v>
      </c>
      <c r="D608" s="512">
        <f t="shared" si="28"/>
        <v>4.466666666666666E-2</v>
      </c>
      <c r="E608" s="261">
        <f t="shared" si="29"/>
        <v>1.0660000000000001E-2</v>
      </c>
    </row>
    <row r="609" spans="1:5" ht="12.75" x14ac:dyDescent="0.2">
      <c r="A609" s="259" t="s">
        <v>1435</v>
      </c>
      <c r="B609" s="1" t="s">
        <v>1188</v>
      </c>
      <c r="C609" s="1" t="str">
        <f t="shared" si="27"/>
        <v>Gerber - Tehama</v>
      </c>
      <c r="D609" s="512">
        <f t="shared" si="28"/>
        <v>6.3083333333333325E-2</v>
      </c>
      <c r="E609" s="261">
        <f t="shared" si="29"/>
        <v>1.057E-2</v>
      </c>
    </row>
    <row r="610" spans="1:5" ht="12.75" x14ac:dyDescent="0.2">
      <c r="A610" s="259" t="s">
        <v>1436</v>
      </c>
      <c r="B610" s="1" t="s">
        <v>748</v>
      </c>
      <c r="C610" s="1" t="str">
        <f t="shared" si="27"/>
        <v>Geyserville - Sonoma</v>
      </c>
      <c r="D610" s="512">
        <f t="shared" si="28"/>
        <v>4.0583333333333325E-2</v>
      </c>
      <c r="E610" s="261">
        <f t="shared" si="29"/>
        <v>1.133E-2</v>
      </c>
    </row>
    <row r="611" spans="1:5" ht="12.75" x14ac:dyDescent="0.2">
      <c r="A611" s="259" t="s">
        <v>1437</v>
      </c>
      <c r="B611" s="1" t="s">
        <v>798</v>
      </c>
      <c r="C611" s="1" t="str">
        <f t="shared" si="27"/>
        <v>Giant Forest - Tulare</v>
      </c>
      <c r="D611" s="512">
        <f t="shared" si="28"/>
        <v>0.10691666666666669</v>
      </c>
      <c r="E611" s="261">
        <f t="shared" si="29"/>
        <v>1.0869999999999999E-2</v>
      </c>
    </row>
    <row r="612" spans="1:5" ht="12.75" x14ac:dyDescent="0.2">
      <c r="A612" s="259" t="s">
        <v>1438</v>
      </c>
      <c r="B612" s="1" t="s">
        <v>756</v>
      </c>
      <c r="C612" s="1" t="str">
        <f t="shared" si="27"/>
        <v>Gillman Hot Springs - Riverside</v>
      </c>
      <c r="D612" s="512">
        <f t="shared" si="28"/>
        <v>5.3749999999999999E-2</v>
      </c>
      <c r="E612" s="261">
        <f t="shared" si="29"/>
        <v>1.1859999999999999E-2</v>
      </c>
    </row>
    <row r="613" spans="1:5" ht="12.75" x14ac:dyDescent="0.2">
      <c r="A613" s="259" t="s">
        <v>1439</v>
      </c>
      <c r="B613" s="1" t="s">
        <v>788</v>
      </c>
      <c r="C613" s="1" t="str">
        <f t="shared" si="27"/>
        <v>Gilroy - Santa Clara</v>
      </c>
      <c r="D613" s="512">
        <f t="shared" si="28"/>
        <v>4.0750000000000001E-2</v>
      </c>
      <c r="E613" s="261">
        <f t="shared" si="29"/>
        <v>1.2110000000000001E-2</v>
      </c>
    </row>
    <row r="614" spans="1:5" ht="12.75" x14ac:dyDescent="0.2">
      <c r="A614" s="259" t="s">
        <v>1440</v>
      </c>
      <c r="B614" s="1" t="s">
        <v>732</v>
      </c>
      <c r="C614" s="1" t="str">
        <f t="shared" si="27"/>
        <v>Glassell Park - Los Angeles</v>
      </c>
      <c r="D614" s="512">
        <f t="shared" si="28"/>
        <v>5.4833333333333331E-2</v>
      </c>
      <c r="E614" s="261">
        <f t="shared" si="29"/>
        <v>1.1599999999999999E-2</v>
      </c>
    </row>
    <row r="615" spans="1:5" ht="12.75" x14ac:dyDescent="0.2">
      <c r="A615" s="259" t="s">
        <v>1441</v>
      </c>
      <c r="B615" s="1" t="s">
        <v>756</v>
      </c>
      <c r="C615" s="1" t="str">
        <f t="shared" si="27"/>
        <v>Glen Avon - Riverside</v>
      </c>
      <c r="D615" s="512">
        <f t="shared" si="28"/>
        <v>5.3749999999999999E-2</v>
      </c>
      <c r="E615" s="261">
        <f t="shared" si="29"/>
        <v>1.1859999999999999E-2</v>
      </c>
    </row>
    <row r="616" spans="1:5" ht="12.75" x14ac:dyDescent="0.2">
      <c r="A616" s="259" t="s">
        <v>1442</v>
      </c>
      <c r="B616" s="1" t="s">
        <v>748</v>
      </c>
      <c r="C616" s="1" t="str">
        <f t="shared" si="27"/>
        <v>Glen Ellen - Sonoma</v>
      </c>
      <c r="D616" s="512">
        <f t="shared" si="28"/>
        <v>4.0583333333333325E-2</v>
      </c>
      <c r="E616" s="261">
        <f t="shared" si="29"/>
        <v>1.133E-2</v>
      </c>
    </row>
    <row r="617" spans="1:5" ht="12.75" x14ac:dyDescent="0.2">
      <c r="A617" s="259" t="s">
        <v>1443</v>
      </c>
      <c r="B617" s="1" t="s">
        <v>832</v>
      </c>
      <c r="C617" s="1" t="str">
        <f t="shared" si="27"/>
        <v>Glenburn - Shasta</v>
      </c>
      <c r="D617" s="512">
        <f t="shared" si="28"/>
        <v>5.6416666666666657E-2</v>
      </c>
      <c r="E617" s="261">
        <f t="shared" si="29"/>
        <v>1.099E-2</v>
      </c>
    </row>
    <row r="618" spans="1:5" ht="12.75" x14ac:dyDescent="0.2">
      <c r="A618" s="259" t="s">
        <v>1444</v>
      </c>
      <c r="B618" s="1" t="s">
        <v>810</v>
      </c>
      <c r="C618" s="1" t="str">
        <f t="shared" si="27"/>
        <v>Glencoe - Calaveras</v>
      </c>
      <c r="D618" s="512">
        <f t="shared" si="28"/>
        <v>4.7166666666666662E-2</v>
      </c>
      <c r="E618" s="261">
        <f t="shared" si="29"/>
        <v>1.0920000000000001E-2</v>
      </c>
    </row>
    <row r="619" spans="1:5" ht="12.75" x14ac:dyDescent="0.2">
      <c r="A619" s="259" t="s">
        <v>1445</v>
      </c>
      <c r="B619" s="1" t="s">
        <v>732</v>
      </c>
      <c r="C619" s="1" t="str">
        <f t="shared" si="27"/>
        <v>Glendale - Los Angeles</v>
      </c>
      <c r="D619" s="512">
        <f t="shared" si="28"/>
        <v>5.4833333333333331E-2</v>
      </c>
      <c r="E619" s="261">
        <f t="shared" si="29"/>
        <v>1.1599999999999999E-2</v>
      </c>
    </row>
    <row r="620" spans="1:5" ht="12.75" x14ac:dyDescent="0.2">
      <c r="A620" s="259" t="s">
        <v>1446</v>
      </c>
      <c r="B620" s="1" t="s">
        <v>732</v>
      </c>
      <c r="C620" s="1" t="str">
        <f t="shared" si="27"/>
        <v>Glendora - Los Angeles</v>
      </c>
      <c r="D620" s="512">
        <f t="shared" si="28"/>
        <v>5.4833333333333331E-2</v>
      </c>
      <c r="E620" s="261">
        <f t="shared" si="29"/>
        <v>1.1599999999999999E-2</v>
      </c>
    </row>
    <row r="621" spans="1:5" ht="12.75" x14ac:dyDescent="0.2">
      <c r="A621" s="259" t="s">
        <v>1447</v>
      </c>
      <c r="B621" s="1" t="s">
        <v>1154</v>
      </c>
      <c r="C621" s="1" t="str">
        <f t="shared" si="27"/>
        <v>Glenhaven - Lake</v>
      </c>
      <c r="D621" s="512">
        <f t="shared" si="28"/>
        <v>6.1750000000000006E-2</v>
      </c>
      <c r="E621" s="261">
        <f t="shared" si="29"/>
        <v>1.1160000000000002E-2</v>
      </c>
    </row>
    <row r="622" spans="1:5" ht="12.75" x14ac:dyDescent="0.2">
      <c r="A622" s="259" t="s">
        <v>882</v>
      </c>
      <c r="B622" s="1" t="s">
        <v>882</v>
      </c>
      <c r="C622" s="1" t="str">
        <f t="shared" si="27"/>
        <v>Glenn - Glenn</v>
      </c>
      <c r="D622" s="512">
        <f t="shared" si="28"/>
        <v>6.7749999999999991E-2</v>
      </c>
      <c r="E622" s="261">
        <f t="shared" si="29"/>
        <v>1.093E-2</v>
      </c>
    </row>
    <row r="623" spans="1:5" ht="12.75" x14ac:dyDescent="0.2">
      <c r="A623" s="259" t="s">
        <v>1448</v>
      </c>
      <c r="B623" s="1" t="s">
        <v>884</v>
      </c>
      <c r="C623" s="1" t="str">
        <f t="shared" si="27"/>
        <v>Glennville - Kern</v>
      </c>
      <c r="D623" s="512">
        <f t="shared" si="28"/>
        <v>8.9333333333333334E-2</v>
      </c>
      <c r="E623" s="261">
        <f t="shared" si="29"/>
        <v>1.238E-2</v>
      </c>
    </row>
    <row r="624" spans="1:5" ht="12.75" x14ac:dyDescent="0.2">
      <c r="A624" s="259" t="s">
        <v>1449</v>
      </c>
      <c r="B624" s="1" t="s">
        <v>843</v>
      </c>
      <c r="C624" s="1" t="str">
        <f t="shared" si="27"/>
        <v>Gold River  - Sacramento</v>
      </c>
      <c r="D624" s="512">
        <f t="shared" si="28"/>
        <v>4.8833333333333326E-2</v>
      </c>
      <c r="E624" s="261">
        <f t="shared" si="29"/>
        <v>1.1519999999999999E-2</v>
      </c>
    </row>
    <row r="625" spans="1:5" ht="12.75" x14ac:dyDescent="0.2">
      <c r="A625" s="259" t="s">
        <v>1450</v>
      </c>
      <c r="B625" s="1" t="s">
        <v>803</v>
      </c>
      <c r="C625" s="1" t="str">
        <f t="shared" si="27"/>
        <v>Gold Run - Placer</v>
      </c>
      <c r="D625" s="512">
        <f t="shared" si="28"/>
        <v>4.1833333333333347E-2</v>
      </c>
      <c r="E625" s="261">
        <f t="shared" si="29"/>
        <v>1.0880000000000001E-2</v>
      </c>
    </row>
    <row r="626" spans="1:5" ht="12.75" x14ac:dyDescent="0.2">
      <c r="A626" s="259" t="s">
        <v>1451</v>
      </c>
      <c r="B626" s="1" t="s">
        <v>884</v>
      </c>
      <c r="C626" s="1" t="str">
        <f t="shared" si="27"/>
        <v>Golden Hills - Kern</v>
      </c>
      <c r="D626" s="512">
        <f t="shared" si="28"/>
        <v>8.9333333333333334E-2</v>
      </c>
      <c r="E626" s="261">
        <f t="shared" si="29"/>
        <v>1.238E-2</v>
      </c>
    </row>
    <row r="627" spans="1:5" ht="12.75" x14ac:dyDescent="0.2">
      <c r="A627" s="259" t="s">
        <v>1452</v>
      </c>
      <c r="B627" s="1" t="s">
        <v>911</v>
      </c>
      <c r="C627" s="1" t="str">
        <f t="shared" si="27"/>
        <v>Goleta - Santa Barbara</v>
      </c>
      <c r="D627" s="512">
        <f t="shared" si="28"/>
        <v>4.5333333333333344E-2</v>
      </c>
      <c r="E627" s="261">
        <f t="shared" si="29"/>
        <v>1.0740000000000001E-2</v>
      </c>
    </row>
    <row r="628" spans="1:5" ht="12.75" x14ac:dyDescent="0.2">
      <c r="A628" s="259" t="s">
        <v>1453</v>
      </c>
      <c r="B628" s="1" t="s">
        <v>876</v>
      </c>
      <c r="C628" s="1" t="str">
        <f t="shared" si="27"/>
        <v>Gonzales - Monterey</v>
      </c>
      <c r="D628" s="512">
        <f t="shared" si="28"/>
        <v>7.425000000000001E-2</v>
      </c>
      <c r="E628" s="261">
        <f t="shared" si="29"/>
        <v>1.098E-2</v>
      </c>
    </row>
    <row r="629" spans="1:5" ht="12.75" x14ac:dyDescent="0.2">
      <c r="A629" s="259" t="s">
        <v>1454</v>
      </c>
      <c r="B629" s="1" t="s">
        <v>785</v>
      </c>
      <c r="C629" s="1" t="str">
        <f t="shared" si="27"/>
        <v>Goodyears Bar - Sierra</v>
      </c>
      <c r="D629" s="512">
        <f t="shared" si="28"/>
        <v>5.2250000000000005E-2</v>
      </c>
      <c r="E629" s="261">
        <f t="shared" si="29"/>
        <v>0.01</v>
      </c>
    </row>
    <row r="630" spans="1:5" ht="12.75" x14ac:dyDescent="0.2">
      <c r="A630" s="259" t="s">
        <v>1455</v>
      </c>
      <c r="B630" s="1" t="s">
        <v>732</v>
      </c>
      <c r="C630" s="1" t="str">
        <f t="shared" si="27"/>
        <v>Gorman - Los Angeles</v>
      </c>
      <c r="D630" s="512">
        <f t="shared" si="28"/>
        <v>5.4833333333333331E-2</v>
      </c>
      <c r="E630" s="261">
        <f t="shared" si="29"/>
        <v>1.1599999999999999E-2</v>
      </c>
    </row>
    <row r="631" spans="1:5" ht="12.75" x14ac:dyDescent="0.2">
      <c r="A631" s="259" t="s">
        <v>1456</v>
      </c>
      <c r="B631" s="1" t="s">
        <v>798</v>
      </c>
      <c r="C631" s="1" t="str">
        <f t="shared" si="27"/>
        <v>Goshen - Tulare</v>
      </c>
      <c r="D631" s="512">
        <f t="shared" si="28"/>
        <v>0.10691666666666669</v>
      </c>
      <c r="E631" s="261">
        <f t="shared" si="29"/>
        <v>1.0869999999999999E-2</v>
      </c>
    </row>
    <row r="632" spans="1:5" ht="12.75" x14ac:dyDescent="0.2">
      <c r="A632" s="259" t="s">
        <v>1457</v>
      </c>
      <c r="B632" s="1" t="s">
        <v>764</v>
      </c>
      <c r="C632" s="1" t="str">
        <f t="shared" si="27"/>
        <v>Government Island - Alameda</v>
      </c>
      <c r="D632" s="512">
        <f t="shared" si="28"/>
        <v>4.7E-2</v>
      </c>
      <c r="E632" s="261">
        <f t="shared" si="29"/>
        <v>1.2430000000000002E-2</v>
      </c>
    </row>
    <row r="633" spans="1:5" ht="12.75" x14ac:dyDescent="0.2">
      <c r="A633" s="259" t="s">
        <v>1458</v>
      </c>
      <c r="B633" s="1" t="s">
        <v>791</v>
      </c>
      <c r="C633" s="1" t="str">
        <f t="shared" si="27"/>
        <v>Graeagle - Plumas</v>
      </c>
      <c r="D633" s="512">
        <f t="shared" si="28"/>
        <v>7.7250000000000013E-2</v>
      </c>
      <c r="E633" s="261">
        <f t="shared" si="29"/>
        <v>1.099E-2</v>
      </c>
    </row>
    <row r="634" spans="1:5" ht="12.75" x14ac:dyDescent="0.2">
      <c r="A634" s="259" t="s">
        <v>1459</v>
      </c>
      <c r="B634" s="1" t="s">
        <v>732</v>
      </c>
      <c r="C634" s="1" t="str">
        <f t="shared" si="27"/>
        <v>Granada Hills  - Los Angeles</v>
      </c>
      <c r="D634" s="512">
        <f t="shared" si="28"/>
        <v>5.4833333333333331E-2</v>
      </c>
      <c r="E634" s="261">
        <f t="shared" si="29"/>
        <v>1.1599999999999999E-2</v>
      </c>
    </row>
    <row r="635" spans="1:5" ht="12.75" x14ac:dyDescent="0.2">
      <c r="A635" s="259" t="s">
        <v>1460</v>
      </c>
      <c r="B635" s="1" t="s">
        <v>738</v>
      </c>
      <c r="C635" s="1" t="str">
        <f t="shared" si="27"/>
        <v>Grand Terrace - San Bernardino</v>
      </c>
      <c r="D635" s="512">
        <f t="shared" si="28"/>
        <v>5.1583333333333342E-2</v>
      </c>
      <c r="E635" s="261">
        <f t="shared" si="29"/>
        <v>1.1379999999999999E-2</v>
      </c>
    </row>
    <row r="636" spans="1:5" ht="12.75" x14ac:dyDescent="0.2">
      <c r="A636" s="259" t="s">
        <v>1461</v>
      </c>
      <c r="B636" s="1" t="s">
        <v>803</v>
      </c>
      <c r="C636" s="1" t="str">
        <f t="shared" si="27"/>
        <v>Granite Bay - Placer</v>
      </c>
      <c r="D636" s="512">
        <f t="shared" si="28"/>
        <v>4.1833333333333347E-2</v>
      </c>
      <c r="E636" s="261">
        <f t="shared" si="29"/>
        <v>1.0880000000000001E-2</v>
      </c>
    </row>
    <row r="637" spans="1:5" ht="12.75" x14ac:dyDescent="0.2">
      <c r="A637" s="259" t="s">
        <v>1462</v>
      </c>
      <c r="B637" s="1" t="s">
        <v>1118</v>
      </c>
      <c r="C637" s="1" t="str">
        <f t="shared" si="27"/>
        <v>Grass Valley - Nevada</v>
      </c>
      <c r="D637" s="512">
        <f t="shared" si="28"/>
        <v>4.3166666666666673E-2</v>
      </c>
      <c r="E637" s="261">
        <f t="shared" si="29"/>
        <v>1.0620000000000001E-2</v>
      </c>
    </row>
    <row r="638" spans="1:5" ht="12.75" x14ac:dyDescent="0.2">
      <c r="A638" s="259" t="s">
        <v>1463</v>
      </c>
      <c r="B638" s="1" t="s">
        <v>748</v>
      </c>
      <c r="C638" s="1" t="str">
        <f t="shared" si="27"/>
        <v>Graton - Sonoma</v>
      </c>
      <c r="D638" s="512">
        <f t="shared" si="28"/>
        <v>4.0583333333333325E-2</v>
      </c>
      <c r="E638" s="261">
        <f t="shared" si="29"/>
        <v>1.133E-2</v>
      </c>
    </row>
    <row r="639" spans="1:5" ht="12.75" x14ac:dyDescent="0.2">
      <c r="A639" s="259" t="s">
        <v>1464</v>
      </c>
      <c r="B639" s="1" t="s">
        <v>732</v>
      </c>
      <c r="C639" s="1" t="str">
        <f t="shared" si="27"/>
        <v>Green Valley - Los Angeles</v>
      </c>
      <c r="D639" s="512">
        <f t="shared" si="28"/>
        <v>5.4833333333333331E-2</v>
      </c>
      <c r="E639" s="261">
        <f t="shared" si="29"/>
        <v>1.1599999999999999E-2</v>
      </c>
    </row>
    <row r="640" spans="1:5" ht="12.75" x14ac:dyDescent="0.2">
      <c r="A640" s="259" t="s">
        <v>1465</v>
      </c>
      <c r="B640" s="1" t="s">
        <v>738</v>
      </c>
      <c r="C640" s="1" t="str">
        <f t="shared" si="27"/>
        <v>Green Valley Lake - San Bernardino</v>
      </c>
      <c r="D640" s="512">
        <f t="shared" si="28"/>
        <v>5.1583333333333342E-2</v>
      </c>
      <c r="E640" s="261">
        <f t="shared" si="29"/>
        <v>1.1379999999999999E-2</v>
      </c>
    </row>
    <row r="641" spans="1:5" ht="12.75" x14ac:dyDescent="0.2">
      <c r="A641" s="259" t="s">
        <v>1466</v>
      </c>
      <c r="B641" s="1" t="s">
        <v>884</v>
      </c>
      <c r="C641" s="1" t="str">
        <f t="shared" si="27"/>
        <v>Greenacres - Kern</v>
      </c>
      <c r="D641" s="512">
        <f t="shared" si="28"/>
        <v>8.9333333333333334E-2</v>
      </c>
      <c r="E641" s="261">
        <f t="shared" si="29"/>
        <v>1.238E-2</v>
      </c>
    </row>
    <row r="642" spans="1:5" ht="12.75" x14ac:dyDescent="0.2">
      <c r="A642" s="259" t="s">
        <v>1467</v>
      </c>
      <c r="B642" s="1" t="s">
        <v>946</v>
      </c>
      <c r="C642" s="1" t="str">
        <f t="shared" si="27"/>
        <v>Greenbrae  - Marin</v>
      </c>
      <c r="D642" s="512">
        <f t="shared" si="28"/>
        <v>3.7749999999999999E-2</v>
      </c>
      <c r="E642" s="261">
        <f t="shared" si="29"/>
        <v>1.1299999999999999E-2</v>
      </c>
    </row>
    <row r="643" spans="1:5" ht="12.75" x14ac:dyDescent="0.2">
      <c r="A643" s="259" t="s">
        <v>1468</v>
      </c>
      <c r="B643" s="1" t="s">
        <v>876</v>
      </c>
      <c r="C643" s="1" t="str">
        <f t="shared" si="27"/>
        <v>Greenfield - Monterey</v>
      </c>
      <c r="D643" s="512">
        <f t="shared" si="28"/>
        <v>7.425000000000001E-2</v>
      </c>
      <c r="E643" s="261">
        <f t="shared" si="29"/>
        <v>1.098E-2</v>
      </c>
    </row>
    <row r="644" spans="1:5" ht="12.75" x14ac:dyDescent="0.2">
      <c r="A644" s="259" t="s">
        <v>1469</v>
      </c>
      <c r="B644" s="1" t="s">
        <v>1053</v>
      </c>
      <c r="C644" s="1" t="str">
        <f t="shared" si="27"/>
        <v>Greenview - Siskiyou</v>
      </c>
      <c r="D644" s="512">
        <f t="shared" si="28"/>
        <v>6.883333333333333E-2</v>
      </c>
      <c r="E644" s="261">
        <f t="shared" si="29"/>
        <v>1.0460000000000001E-2</v>
      </c>
    </row>
    <row r="645" spans="1:5" ht="12.75" x14ac:dyDescent="0.2">
      <c r="A645" s="259" t="s">
        <v>1470</v>
      </c>
      <c r="B645" s="1" t="s">
        <v>791</v>
      </c>
      <c r="C645" s="1" t="str">
        <f t="shared" si="27"/>
        <v>Greenville - Plumas</v>
      </c>
      <c r="D645" s="512">
        <f t="shared" si="28"/>
        <v>7.7250000000000013E-2</v>
      </c>
      <c r="E645" s="261">
        <f t="shared" si="29"/>
        <v>1.099E-2</v>
      </c>
    </row>
    <row r="646" spans="1:5" ht="12.75" x14ac:dyDescent="0.2">
      <c r="A646" s="259" t="s">
        <v>1471</v>
      </c>
      <c r="B646" s="1" t="s">
        <v>762</v>
      </c>
      <c r="C646" s="1" t="str">
        <f t="shared" si="27"/>
        <v>Greenwood - El Dorado</v>
      </c>
      <c r="D646" s="512">
        <f t="shared" si="28"/>
        <v>4.466666666666666E-2</v>
      </c>
      <c r="E646" s="261">
        <f t="shared" si="29"/>
        <v>1.0660000000000001E-2</v>
      </c>
    </row>
    <row r="647" spans="1:5" ht="12.75" x14ac:dyDescent="0.2">
      <c r="A647" s="259" t="s">
        <v>1472</v>
      </c>
      <c r="B647" s="1" t="s">
        <v>1053</v>
      </c>
      <c r="C647" s="1" t="str">
        <f t="shared" si="27"/>
        <v>Grenada - Siskiyou</v>
      </c>
      <c r="D647" s="512">
        <f t="shared" si="28"/>
        <v>6.883333333333333E-2</v>
      </c>
      <c r="E647" s="261">
        <f t="shared" si="29"/>
        <v>1.0460000000000001E-2</v>
      </c>
    </row>
    <row r="648" spans="1:5" ht="12.75" x14ac:dyDescent="0.2">
      <c r="A648" s="259" t="s">
        <v>1473</v>
      </c>
      <c r="B648" s="1" t="s">
        <v>915</v>
      </c>
      <c r="C648" s="1" t="str">
        <f t="shared" ref="C648:C711" si="30">A648&amp;" - "&amp;B648</f>
        <v>Gridley - Butte</v>
      </c>
      <c r="D648" s="512">
        <f t="shared" si="28"/>
        <v>5.8999999999999983E-2</v>
      </c>
      <c r="E648" s="261">
        <f t="shared" si="29"/>
        <v>1.1169999999999999E-2</v>
      </c>
    </row>
    <row r="649" spans="1:5" ht="12.75" x14ac:dyDescent="0.2">
      <c r="A649" s="259" t="s">
        <v>1474</v>
      </c>
      <c r="B649" s="1" t="s">
        <v>859</v>
      </c>
      <c r="C649" s="1" t="str">
        <f t="shared" si="30"/>
        <v>Grimes - Colusa</v>
      </c>
      <c r="D649" s="512">
        <f t="shared" ref="D649:D712" si="31">VLOOKUP(B649,unemployment_rates,2, FALSE)</f>
        <v>0.13600000000000001</v>
      </c>
      <c r="E649" s="261">
        <f t="shared" ref="E649:E712" si="32">VLOOKUP(B649,Prop_Tax_Rates,2,FALSE)</f>
        <v>1.098E-2</v>
      </c>
    </row>
    <row r="650" spans="1:5" ht="12.75" x14ac:dyDescent="0.2">
      <c r="A650" s="259" t="s">
        <v>1475</v>
      </c>
      <c r="B650" s="1" t="s">
        <v>762</v>
      </c>
      <c r="C650" s="1" t="str">
        <f t="shared" si="30"/>
        <v>Grizzly Flats - El Dorado</v>
      </c>
      <c r="D650" s="512">
        <f t="shared" si="31"/>
        <v>4.466666666666666E-2</v>
      </c>
      <c r="E650" s="261">
        <f t="shared" si="32"/>
        <v>1.0660000000000001E-2</v>
      </c>
    </row>
    <row r="651" spans="1:5" ht="12.75" x14ac:dyDescent="0.2">
      <c r="A651" s="259" t="s">
        <v>1476</v>
      </c>
      <c r="B651" s="1" t="s">
        <v>968</v>
      </c>
      <c r="C651" s="1" t="str">
        <f t="shared" si="30"/>
        <v>Groveland - Tuolumne</v>
      </c>
      <c r="D651" s="512">
        <f t="shared" si="31"/>
        <v>5.4333333333333338E-2</v>
      </c>
      <c r="E651" s="261">
        <f t="shared" si="32"/>
        <v>1.0780000000000001E-2</v>
      </c>
    </row>
    <row r="652" spans="1:5" ht="12.75" x14ac:dyDescent="0.2">
      <c r="A652" s="259" t="s">
        <v>1477</v>
      </c>
      <c r="B652" s="1" t="s">
        <v>735</v>
      </c>
      <c r="C652" s="1" t="str">
        <f t="shared" si="30"/>
        <v>Grover Beach - San Luis Obispo</v>
      </c>
      <c r="D652" s="512">
        <f t="shared" si="31"/>
        <v>3.8833333333333331E-2</v>
      </c>
      <c r="E652" s="261">
        <f t="shared" si="32"/>
        <v>1.085E-2</v>
      </c>
    </row>
    <row r="653" spans="1:5" ht="12.75" x14ac:dyDescent="0.2">
      <c r="A653" s="259" t="s">
        <v>1478</v>
      </c>
      <c r="B653" s="1" t="s">
        <v>911</v>
      </c>
      <c r="C653" s="1" t="str">
        <f t="shared" si="30"/>
        <v>Guadalupe - Santa Barbara</v>
      </c>
      <c r="D653" s="512">
        <f t="shared" si="31"/>
        <v>4.5333333333333344E-2</v>
      </c>
      <c r="E653" s="261">
        <f t="shared" si="32"/>
        <v>1.0740000000000001E-2</v>
      </c>
    </row>
    <row r="654" spans="1:5" ht="12.75" x14ac:dyDescent="0.2">
      <c r="A654" s="259" t="s">
        <v>1479</v>
      </c>
      <c r="B654" s="1" t="s">
        <v>774</v>
      </c>
      <c r="C654" s="1" t="str">
        <f t="shared" si="30"/>
        <v>Gualala - Mendocino</v>
      </c>
      <c r="D654" s="512">
        <f t="shared" si="31"/>
        <v>5.1916666666666667E-2</v>
      </c>
      <c r="E654" s="261">
        <f t="shared" si="32"/>
        <v>1.1650000000000001E-2</v>
      </c>
    </row>
    <row r="655" spans="1:5" ht="12.75" x14ac:dyDescent="0.2">
      <c r="A655" s="259" t="s">
        <v>1480</v>
      </c>
      <c r="B655" s="1" t="s">
        <v>738</v>
      </c>
      <c r="C655" s="1" t="str">
        <f t="shared" si="30"/>
        <v>Guasti - San Bernardino</v>
      </c>
      <c r="D655" s="512">
        <f t="shared" si="31"/>
        <v>5.1583333333333342E-2</v>
      </c>
      <c r="E655" s="261">
        <f t="shared" si="32"/>
        <v>1.1379999999999999E-2</v>
      </c>
    </row>
    <row r="656" spans="1:5" ht="12.75" x14ac:dyDescent="0.2">
      <c r="A656" s="259" t="s">
        <v>1481</v>
      </c>
      <c r="B656" s="1" t="s">
        <v>751</v>
      </c>
      <c r="C656" s="1" t="str">
        <f t="shared" si="30"/>
        <v>Guatay - San Diego</v>
      </c>
      <c r="D656" s="512">
        <f t="shared" si="31"/>
        <v>4.4750000000000005E-2</v>
      </c>
      <c r="E656" s="261">
        <f t="shared" si="32"/>
        <v>1.167E-2</v>
      </c>
    </row>
    <row r="657" spans="1:5" ht="12.75" x14ac:dyDescent="0.2">
      <c r="A657" s="259" t="s">
        <v>1482</v>
      </c>
      <c r="B657" s="1" t="s">
        <v>748</v>
      </c>
      <c r="C657" s="1" t="str">
        <f t="shared" si="30"/>
        <v>Guerneville - Sonoma</v>
      </c>
      <c r="D657" s="512">
        <f t="shared" si="31"/>
        <v>4.0583333333333325E-2</v>
      </c>
      <c r="E657" s="261">
        <f t="shared" si="32"/>
        <v>1.133E-2</v>
      </c>
    </row>
    <row r="658" spans="1:5" ht="12.75" x14ac:dyDescent="0.2">
      <c r="A658" s="259" t="s">
        <v>1483</v>
      </c>
      <c r="B658" s="1" t="s">
        <v>1018</v>
      </c>
      <c r="C658" s="1" t="str">
        <f t="shared" si="30"/>
        <v>Guinda - Yolo</v>
      </c>
      <c r="D658" s="512">
        <f t="shared" si="31"/>
        <v>5.2666666666666667E-2</v>
      </c>
      <c r="E658" s="261">
        <f t="shared" si="32"/>
        <v>1.11E-2</v>
      </c>
    </row>
    <row r="659" spans="1:5" ht="12.75" x14ac:dyDescent="0.2">
      <c r="A659" s="259" t="s">
        <v>1484</v>
      </c>
      <c r="B659" s="1" t="s">
        <v>892</v>
      </c>
      <c r="C659" s="1" t="str">
        <f t="shared" si="30"/>
        <v>Gustine - Merced</v>
      </c>
      <c r="D659" s="512">
        <f t="shared" si="31"/>
        <v>9.6416666666666678E-2</v>
      </c>
      <c r="E659" s="261">
        <f t="shared" si="32"/>
        <v>1.0829999999999999E-2</v>
      </c>
    </row>
    <row r="660" spans="1:5" ht="12.75" x14ac:dyDescent="0.2">
      <c r="A660" s="259" t="s">
        <v>1485</v>
      </c>
      <c r="B660" s="1" t="s">
        <v>732</v>
      </c>
      <c r="C660" s="1" t="str">
        <f t="shared" si="30"/>
        <v>Hacienda Heights - Los Angeles</v>
      </c>
      <c r="D660" s="512">
        <f t="shared" si="31"/>
        <v>5.4833333333333331E-2</v>
      </c>
      <c r="E660" s="261">
        <f t="shared" si="32"/>
        <v>1.1599999999999999E-2</v>
      </c>
    </row>
    <row r="661" spans="1:5" ht="12.75" x14ac:dyDescent="0.2">
      <c r="A661" s="259" t="s">
        <v>1486</v>
      </c>
      <c r="B661" s="1" t="s">
        <v>735</v>
      </c>
      <c r="C661" s="1" t="str">
        <f t="shared" si="30"/>
        <v>Halcyon - San Luis Obispo</v>
      </c>
      <c r="D661" s="512">
        <f t="shared" si="31"/>
        <v>3.8833333333333331E-2</v>
      </c>
      <c r="E661" s="261">
        <f t="shared" si="32"/>
        <v>1.085E-2</v>
      </c>
    </row>
    <row r="662" spans="1:5" ht="12.75" x14ac:dyDescent="0.2">
      <c r="A662" s="259" t="s">
        <v>1487</v>
      </c>
      <c r="B662" s="1" t="s">
        <v>890</v>
      </c>
      <c r="C662" s="1" t="str">
        <f t="shared" si="30"/>
        <v>Half Moon Bay - San Mateo</v>
      </c>
      <c r="D662" s="512">
        <f t="shared" si="31"/>
        <v>3.5000000000000003E-2</v>
      </c>
      <c r="E662" s="261">
        <f t="shared" si="32"/>
        <v>1.1089999999999999E-2</v>
      </c>
    </row>
    <row r="663" spans="1:5" ht="12.75" x14ac:dyDescent="0.2">
      <c r="A663" s="259" t="s">
        <v>1488</v>
      </c>
      <c r="B663" s="1" t="s">
        <v>946</v>
      </c>
      <c r="C663" s="1" t="str">
        <f t="shared" si="30"/>
        <v>Hamilton A.F.B.  - Marin</v>
      </c>
      <c r="D663" s="512">
        <f t="shared" si="31"/>
        <v>3.7749999999999999E-2</v>
      </c>
      <c r="E663" s="261">
        <f t="shared" si="32"/>
        <v>1.1299999999999999E-2</v>
      </c>
    </row>
    <row r="664" spans="1:5" ht="12.75" x14ac:dyDescent="0.2">
      <c r="A664" s="259" t="s">
        <v>1489</v>
      </c>
      <c r="B664" s="1" t="s">
        <v>882</v>
      </c>
      <c r="C664" s="1" t="str">
        <f t="shared" si="30"/>
        <v>Hamilton City - Glenn</v>
      </c>
      <c r="D664" s="512">
        <f t="shared" si="31"/>
        <v>6.7749999999999991E-2</v>
      </c>
      <c r="E664" s="261">
        <f t="shared" si="32"/>
        <v>1.093E-2</v>
      </c>
    </row>
    <row r="665" spans="1:5" ht="12.75" x14ac:dyDescent="0.2">
      <c r="A665" s="259" t="s">
        <v>1490</v>
      </c>
      <c r="B665" s="1" t="s">
        <v>872</v>
      </c>
      <c r="C665" s="1" t="str">
        <f t="shared" si="30"/>
        <v>Hanford - Kings</v>
      </c>
      <c r="D665" s="512">
        <f t="shared" si="31"/>
        <v>8.7083333333333346E-2</v>
      </c>
      <c r="E665" s="261">
        <f t="shared" si="32"/>
        <v>1.0820000000000001E-2</v>
      </c>
    </row>
    <row r="666" spans="1:5" ht="12.75" x14ac:dyDescent="0.2">
      <c r="A666" s="259" t="s">
        <v>1491</v>
      </c>
      <c r="B666" s="1" t="s">
        <v>1053</v>
      </c>
      <c r="C666" s="1" t="str">
        <f t="shared" si="30"/>
        <v>Happy Camp - Siskiyou</v>
      </c>
      <c r="D666" s="512">
        <f t="shared" si="31"/>
        <v>6.883333333333333E-2</v>
      </c>
      <c r="E666" s="261">
        <f t="shared" si="32"/>
        <v>1.0460000000000001E-2</v>
      </c>
    </row>
    <row r="667" spans="1:5" ht="12.75" x14ac:dyDescent="0.2">
      <c r="A667" s="259" t="s">
        <v>1492</v>
      </c>
      <c r="B667" s="1" t="s">
        <v>732</v>
      </c>
      <c r="C667" s="1" t="str">
        <f t="shared" si="30"/>
        <v>Harbor City  - Los Angeles</v>
      </c>
      <c r="D667" s="512">
        <f t="shared" si="31"/>
        <v>5.4833333333333331E-2</v>
      </c>
      <c r="E667" s="261">
        <f t="shared" si="32"/>
        <v>1.1599999999999999E-2</v>
      </c>
    </row>
    <row r="668" spans="1:5" ht="12.75" x14ac:dyDescent="0.2">
      <c r="A668" s="259" t="s">
        <v>1493</v>
      </c>
      <c r="B668" s="1" t="s">
        <v>735</v>
      </c>
      <c r="C668" s="1" t="str">
        <f t="shared" si="30"/>
        <v>Harmony - San Luis Obispo</v>
      </c>
      <c r="D668" s="512">
        <f t="shared" si="31"/>
        <v>3.8833333333333331E-2</v>
      </c>
      <c r="E668" s="261">
        <f t="shared" si="32"/>
        <v>1.085E-2</v>
      </c>
    </row>
    <row r="669" spans="1:5" ht="12.75" x14ac:dyDescent="0.2">
      <c r="A669" s="259" t="s">
        <v>1494</v>
      </c>
      <c r="B669" s="1" t="s">
        <v>777</v>
      </c>
      <c r="C669" s="1" t="str">
        <f t="shared" si="30"/>
        <v>Harris - Humboldt</v>
      </c>
      <c r="D669" s="512">
        <f t="shared" si="31"/>
        <v>5.1583333333333321E-2</v>
      </c>
      <c r="E669" s="261">
        <f t="shared" si="32"/>
        <v>1.115E-2</v>
      </c>
    </row>
    <row r="670" spans="1:5" ht="12.75" x14ac:dyDescent="0.2">
      <c r="A670" s="259" t="s">
        <v>1495</v>
      </c>
      <c r="B670" s="1" t="s">
        <v>832</v>
      </c>
      <c r="C670" s="1" t="str">
        <f t="shared" si="30"/>
        <v>Hat Creek - Shasta</v>
      </c>
      <c r="D670" s="512">
        <f t="shared" si="31"/>
        <v>5.6416666666666657E-2</v>
      </c>
      <c r="E670" s="261">
        <f t="shared" si="32"/>
        <v>1.099E-2</v>
      </c>
    </row>
    <row r="671" spans="1:5" ht="12.75" x14ac:dyDescent="0.2">
      <c r="A671" s="259" t="s">
        <v>1496</v>
      </c>
      <c r="B671" s="1" t="s">
        <v>810</v>
      </c>
      <c r="C671" s="1" t="str">
        <f t="shared" si="30"/>
        <v>Hathaway Pines - Calaveras</v>
      </c>
      <c r="D671" s="512">
        <f t="shared" si="31"/>
        <v>4.7166666666666662E-2</v>
      </c>
      <c r="E671" s="261">
        <f t="shared" si="32"/>
        <v>1.0920000000000001E-2</v>
      </c>
    </row>
    <row r="672" spans="1:5" ht="12.75" x14ac:dyDescent="0.2">
      <c r="A672" s="259" t="s">
        <v>1497</v>
      </c>
      <c r="B672" s="1" t="s">
        <v>738</v>
      </c>
      <c r="C672" s="1" t="str">
        <f t="shared" si="30"/>
        <v>Havasu Lake - San Bernardino</v>
      </c>
      <c r="D672" s="512">
        <f t="shared" si="31"/>
        <v>5.1583333333333342E-2</v>
      </c>
      <c r="E672" s="261">
        <f t="shared" si="32"/>
        <v>1.1379999999999999E-2</v>
      </c>
    </row>
    <row r="673" spans="1:5" ht="12.75" x14ac:dyDescent="0.2">
      <c r="A673" s="259" t="s">
        <v>1498</v>
      </c>
      <c r="B673" s="1" t="s">
        <v>732</v>
      </c>
      <c r="C673" s="1" t="str">
        <f t="shared" si="30"/>
        <v>Hawaiian Gardens - Los Angeles</v>
      </c>
      <c r="D673" s="512">
        <f t="shared" si="31"/>
        <v>5.4833333333333331E-2</v>
      </c>
      <c r="E673" s="261">
        <f t="shared" si="32"/>
        <v>1.1599999999999999E-2</v>
      </c>
    </row>
    <row r="674" spans="1:5" ht="12.75" x14ac:dyDescent="0.2">
      <c r="A674" s="259" t="s">
        <v>1499</v>
      </c>
      <c r="B674" s="1" t="s">
        <v>732</v>
      </c>
      <c r="C674" s="1" t="str">
        <f t="shared" si="30"/>
        <v>Hawthorne - Los Angeles</v>
      </c>
      <c r="D674" s="512">
        <f t="shared" si="31"/>
        <v>5.4833333333333331E-2</v>
      </c>
      <c r="E674" s="261">
        <f t="shared" si="32"/>
        <v>1.1599999999999999E-2</v>
      </c>
    </row>
    <row r="675" spans="1:5" ht="12.75" x14ac:dyDescent="0.2">
      <c r="A675" s="259" t="s">
        <v>1500</v>
      </c>
      <c r="B675" s="1" t="s">
        <v>961</v>
      </c>
      <c r="C675" s="1" t="str">
        <f t="shared" si="30"/>
        <v>Hayfork - Trinity</v>
      </c>
      <c r="D675" s="512">
        <f t="shared" si="31"/>
        <v>5.916666666666668E-2</v>
      </c>
      <c r="E675" s="261">
        <f t="shared" si="32"/>
        <v>1.043E-2</v>
      </c>
    </row>
    <row r="676" spans="1:5" ht="12.75" x14ac:dyDescent="0.2">
      <c r="A676" s="259" t="s">
        <v>1501</v>
      </c>
      <c r="B676" s="1" t="s">
        <v>764</v>
      </c>
      <c r="C676" s="1" t="str">
        <f t="shared" si="30"/>
        <v>Hayward - Alameda</v>
      </c>
      <c r="D676" s="512">
        <f t="shared" si="31"/>
        <v>4.7E-2</v>
      </c>
      <c r="E676" s="261">
        <f t="shared" si="32"/>
        <v>1.2430000000000002E-2</v>
      </c>
    </row>
    <row r="677" spans="1:5" ht="12.75" x14ac:dyDescent="0.2">
      <c r="A677" s="259" t="s">
        <v>1502</v>
      </c>
      <c r="B677" s="1" t="s">
        <v>732</v>
      </c>
      <c r="C677" s="1" t="str">
        <f t="shared" si="30"/>
        <v>Hazard - Los Angeles</v>
      </c>
      <c r="D677" s="512">
        <f t="shared" si="31"/>
        <v>5.4833333333333331E-2</v>
      </c>
      <c r="E677" s="261">
        <f t="shared" si="32"/>
        <v>1.1599999999999999E-2</v>
      </c>
    </row>
    <row r="678" spans="1:5" ht="12.75" x14ac:dyDescent="0.2">
      <c r="A678" s="259" t="s">
        <v>1503</v>
      </c>
      <c r="B678" s="1" t="s">
        <v>748</v>
      </c>
      <c r="C678" s="1" t="str">
        <f t="shared" si="30"/>
        <v>Healdsburg - Sonoma</v>
      </c>
      <c r="D678" s="512">
        <f t="shared" si="31"/>
        <v>4.0583333333333325E-2</v>
      </c>
      <c r="E678" s="261">
        <f t="shared" si="32"/>
        <v>1.133E-2</v>
      </c>
    </row>
    <row r="679" spans="1:5" ht="12.75" x14ac:dyDescent="0.2">
      <c r="A679" s="259" t="s">
        <v>1504</v>
      </c>
      <c r="B679" s="1" t="s">
        <v>919</v>
      </c>
      <c r="C679" s="1" t="str">
        <f t="shared" si="30"/>
        <v>Heber - Imperial</v>
      </c>
      <c r="D679" s="512">
        <f t="shared" si="31"/>
        <v>0.17949999999999999</v>
      </c>
      <c r="E679" s="261">
        <f t="shared" si="32"/>
        <v>1.206E-2</v>
      </c>
    </row>
    <row r="680" spans="1:5" ht="12.75" x14ac:dyDescent="0.2">
      <c r="A680" s="259" t="s">
        <v>1505</v>
      </c>
      <c r="B680" s="1" t="s">
        <v>961</v>
      </c>
      <c r="C680" s="1" t="str">
        <f t="shared" si="30"/>
        <v>Helena - Trinity</v>
      </c>
      <c r="D680" s="512">
        <f t="shared" si="31"/>
        <v>5.916666666666668E-2</v>
      </c>
      <c r="E680" s="261">
        <f t="shared" si="32"/>
        <v>1.043E-2</v>
      </c>
    </row>
    <row r="681" spans="1:5" ht="12.75" x14ac:dyDescent="0.2">
      <c r="A681" s="259" t="s">
        <v>1506</v>
      </c>
      <c r="B681" s="1" t="s">
        <v>738</v>
      </c>
      <c r="C681" s="1" t="str">
        <f t="shared" si="30"/>
        <v>Helendale - San Bernardino</v>
      </c>
      <c r="D681" s="512">
        <f t="shared" si="31"/>
        <v>5.1583333333333342E-2</v>
      </c>
      <c r="E681" s="261">
        <f t="shared" si="32"/>
        <v>1.1379999999999999E-2</v>
      </c>
    </row>
    <row r="682" spans="1:5" ht="12.75" x14ac:dyDescent="0.2">
      <c r="A682" s="259" t="s">
        <v>1507</v>
      </c>
      <c r="B682" s="1" t="s">
        <v>895</v>
      </c>
      <c r="C682" s="1" t="str">
        <f t="shared" si="30"/>
        <v>Helm - Fresno</v>
      </c>
      <c r="D682" s="512">
        <f t="shared" si="31"/>
        <v>8.0416666666666664E-2</v>
      </c>
      <c r="E682" s="261">
        <f t="shared" si="32"/>
        <v>1.2110000000000001E-2</v>
      </c>
    </row>
    <row r="683" spans="1:5" ht="12.75" x14ac:dyDescent="0.2">
      <c r="A683" s="259" t="s">
        <v>1508</v>
      </c>
      <c r="B683" s="1" t="s">
        <v>756</v>
      </c>
      <c r="C683" s="1" t="str">
        <f t="shared" si="30"/>
        <v>Hemet - Riverside</v>
      </c>
      <c r="D683" s="512">
        <f t="shared" si="31"/>
        <v>5.3749999999999999E-2</v>
      </c>
      <c r="E683" s="261">
        <f t="shared" si="32"/>
        <v>1.1859999999999999E-2</v>
      </c>
    </row>
    <row r="684" spans="1:5" ht="12.75" x14ac:dyDescent="0.2">
      <c r="A684" s="259" t="s">
        <v>1509</v>
      </c>
      <c r="B684" s="1" t="s">
        <v>843</v>
      </c>
      <c r="C684" s="1" t="str">
        <f t="shared" si="30"/>
        <v>Herald - Sacramento</v>
      </c>
      <c r="D684" s="512">
        <f t="shared" si="31"/>
        <v>4.8833333333333326E-2</v>
      </c>
      <c r="E684" s="261">
        <f t="shared" si="32"/>
        <v>1.1519999999999999E-2</v>
      </c>
    </row>
    <row r="685" spans="1:5" ht="12.75" x14ac:dyDescent="0.2">
      <c r="A685" s="259" t="s">
        <v>1510</v>
      </c>
      <c r="B685" s="1" t="s">
        <v>767</v>
      </c>
      <c r="C685" s="1" t="str">
        <f t="shared" si="30"/>
        <v>Hercules - Contra Costa</v>
      </c>
      <c r="D685" s="512">
        <f t="shared" si="31"/>
        <v>4.7250000000000007E-2</v>
      </c>
      <c r="E685" s="261">
        <f t="shared" si="32"/>
        <v>1.163E-2</v>
      </c>
    </row>
    <row r="686" spans="1:5" ht="12.75" x14ac:dyDescent="0.2">
      <c r="A686" s="259" t="s">
        <v>1511</v>
      </c>
      <c r="B686" s="1" t="s">
        <v>959</v>
      </c>
      <c r="C686" s="1" t="str">
        <f t="shared" si="30"/>
        <v>Herlong - Lassen</v>
      </c>
      <c r="D686" s="512">
        <f t="shared" si="31"/>
        <v>5.8083333333333327E-2</v>
      </c>
      <c r="E686" s="261">
        <f t="shared" si="32"/>
        <v>1.018E-2</v>
      </c>
    </row>
    <row r="687" spans="1:5" ht="12.75" x14ac:dyDescent="0.2">
      <c r="A687" s="259" t="s">
        <v>1512</v>
      </c>
      <c r="B687" s="1" t="s">
        <v>732</v>
      </c>
      <c r="C687" s="1" t="str">
        <f t="shared" si="30"/>
        <v>Hermosa Beach - Los Angeles</v>
      </c>
      <c r="D687" s="512">
        <f t="shared" si="31"/>
        <v>5.4833333333333331E-2</v>
      </c>
      <c r="E687" s="261">
        <f t="shared" si="32"/>
        <v>1.1599999999999999E-2</v>
      </c>
    </row>
    <row r="688" spans="1:5" ht="12.75" x14ac:dyDescent="0.2">
      <c r="A688" s="259" t="s">
        <v>1513</v>
      </c>
      <c r="B688" s="1" t="s">
        <v>895</v>
      </c>
      <c r="C688" s="1" t="str">
        <f t="shared" si="30"/>
        <v>Herndon - Fresno</v>
      </c>
      <c r="D688" s="512">
        <f t="shared" si="31"/>
        <v>8.0416666666666664E-2</v>
      </c>
      <c r="E688" s="261">
        <f t="shared" si="32"/>
        <v>1.2110000000000001E-2</v>
      </c>
    </row>
    <row r="689" spans="1:5" ht="12.75" x14ac:dyDescent="0.2">
      <c r="A689" s="259" t="s">
        <v>1514</v>
      </c>
      <c r="B689" s="1" t="s">
        <v>738</v>
      </c>
      <c r="C689" s="1" t="str">
        <f t="shared" si="30"/>
        <v>Hesperia - San Bernardino</v>
      </c>
      <c r="D689" s="512">
        <f t="shared" si="31"/>
        <v>5.1583333333333342E-2</v>
      </c>
      <c r="E689" s="261">
        <f t="shared" si="32"/>
        <v>1.1379999999999999E-2</v>
      </c>
    </row>
    <row r="690" spans="1:5" ht="12.75" x14ac:dyDescent="0.2">
      <c r="A690" s="259" t="s">
        <v>1515</v>
      </c>
      <c r="B690" s="1" t="s">
        <v>764</v>
      </c>
      <c r="C690" s="1" t="str">
        <f t="shared" si="30"/>
        <v>Heyer - Alameda</v>
      </c>
      <c r="D690" s="512">
        <f t="shared" si="31"/>
        <v>4.7E-2</v>
      </c>
      <c r="E690" s="261">
        <f t="shared" si="32"/>
        <v>1.2430000000000002E-2</v>
      </c>
    </row>
    <row r="691" spans="1:5" ht="12.75" x14ac:dyDescent="0.2">
      <c r="A691" s="259" t="s">
        <v>1516</v>
      </c>
      <c r="B691" s="1" t="s">
        <v>1124</v>
      </c>
      <c r="C691" s="1" t="str">
        <f t="shared" si="30"/>
        <v>Hickman - Stanislaus</v>
      </c>
      <c r="D691" s="512">
        <f t="shared" si="31"/>
        <v>6.9833333333333331E-2</v>
      </c>
      <c r="E691" s="261">
        <f t="shared" si="32"/>
        <v>1.1080000000000001E-2</v>
      </c>
    </row>
    <row r="692" spans="1:5" ht="12.75" x14ac:dyDescent="0.2">
      <c r="A692" s="259" t="s">
        <v>1517</v>
      </c>
      <c r="B692" s="1" t="s">
        <v>732</v>
      </c>
      <c r="C692" s="1" t="str">
        <f t="shared" si="30"/>
        <v>Hidden Hills - Los Angeles</v>
      </c>
      <c r="D692" s="512">
        <f t="shared" si="31"/>
        <v>5.4833333333333331E-2</v>
      </c>
      <c r="E692" s="261">
        <f t="shared" si="32"/>
        <v>1.1599999999999999E-2</v>
      </c>
    </row>
    <row r="693" spans="1:5" ht="12.75" x14ac:dyDescent="0.2">
      <c r="A693" s="259" t="s">
        <v>1518</v>
      </c>
      <c r="B693" s="1" t="s">
        <v>756</v>
      </c>
      <c r="C693" s="1" t="str">
        <f t="shared" si="30"/>
        <v>Highgrove - Riverside</v>
      </c>
      <c r="D693" s="512">
        <f t="shared" si="31"/>
        <v>5.3749999999999999E-2</v>
      </c>
      <c r="E693" s="261">
        <f t="shared" si="32"/>
        <v>1.1859999999999999E-2</v>
      </c>
    </row>
    <row r="694" spans="1:5" ht="12.75" x14ac:dyDescent="0.2">
      <c r="A694" s="259" t="s">
        <v>1519</v>
      </c>
      <c r="B694" s="1" t="s">
        <v>738</v>
      </c>
      <c r="C694" s="1" t="str">
        <f t="shared" si="30"/>
        <v>Highland - San Bernardino</v>
      </c>
      <c r="D694" s="512">
        <f t="shared" si="31"/>
        <v>5.1583333333333342E-2</v>
      </c>
      <c r="E694" s="261">
        <f t="shared" si="32"/>
        <v>1.1379999999999999E-2</v>
      </c>
    </row>
    <row r="695" spans="1:5" ht="12.75" x14ac:dyDescent="0.2">
      <c r="A695" s="259" t="s">
        <v>1520</v>
      </c>
      <c r="B695" s="1" t="s">
        <v>732</v>
      </c>
      <c r="C695" s="1" t="str">
        <f t="shared" si="30"/>
        <v>Highland Park  - Los Angeles</v>
      </c>
      <c r="D695" s="512">
        <f t="shared" si="31"/>
        <v>5.4833333333333331E-2</v>
      </c>
      <c r="E695" s="261">
        <f t="shared" si="32"/>
        <v>1.1599999999999999E-2</v>
      </c>
    </row>
    <row r="696" spans="1:5" ht="12.75" x14ac:dyDescent="0.2">
      <c r="A696" s="259" t="s">
        <v>1521</v>
      </c>
      <c r="B696" s="1" t="s">
        <v>895</v>
      </c>
      <c r="C696" s="1" t="str">
        <f t="shared" si="30"/>
        <v>Highway City  - Fresno</v>
      </c>
      <c r="D696" s="512">
        <f t="shared" si="31"/>
        <v>8.0416666666666664E-2</v>
      </c>
      <c r="E696" s="261">
        <f t="shared" si="32"/>
        <v>1.2110000000000001E-2</v>
      </c>
    </row>
    <row r="697" spans="1:5" ht="12.75" x14ac:dyDescent="0.2">
      <c r="A697" s="259" t="s">
        <v>1522</v>
      </c>
      <c r="B697" s="1" t="s">
        <v>751</v>
      </c>
      <c r="C697" s="1" t="str">
        <f t="shared" si="30"/>
        <v>Hillcrest  - San Diego</v>
      </c>
      <c r="D697" s="512">
        <f t="shared" si="31"/>
        <v>4.4750000000000005E-2</v>
      </c>
      <c r="E697" s="261">
        <f t="shared" si="32"/>
        <v>1.167E-2</v>
      </c>
    </row>
    <row r="698" spans="1:5" ht="12.75" x14ac:dyDescent="0.2">
      <c r="A698" s="259" t="s">
        <v>1523</v>
      </c>
      <c r="B698" s="1" t="s">
        <v>890</v>
      </c>
      <c r="C698" s="1" t="str">
        <f t="shared" si="30"/>
        <v>Hillsborough - San Mateo</v>
      </c>
      <c r="D698" s="512">
        <f t="shared" si="31"/>
        <v>3.5000000000000003E-2</v>
      </c>
      <c r="E698" s="261">
        <f t="shared" si="32"/>
        <v>1.1089999999999999E-2</v>
      </c>
    </row>
    <row r="699" spans="1:5" ht="12.75" x14ac:dyDescent="0.2">
      <c r="A699" s="259" t="s">
        <v>1524</v>
      </c>
      <c r="B699" s="1" t="s">
        <v>890</v>
      </c>
      <c r="C699" s="1" t="str">
        <f t="shared" si="30"/>
        <v>Hillsdale  - San Mateo</v>
      </c>
      <c r="D699" s="512">
        <f t="shared" si="31"/>
        <v>3.5000000000000003E-2</v>
      </c>
      <c r="E699" s="261">
        <f t="shared" si="32"/>
        <v>1.1089999999999999E-2</v>
      </c>
    </row>
    <row r="700" spans="1:5" ht="12.75" x14ac:dyDescent="0.2">
      <c r="A700" s="259" t="s">
        <v>1525</v>
      </c>
      <c r="B700" s="1" t="s">
        <v>892</v>
      </c>
      <c r="C700" s="1" t="str">
        <f t="shared" si="30"/>
        <v>Hilmar - Merced</v>
      </c>
      <c r="D700" s="512">
        <f t="shared" si="31"/>
        <v>9.6416666666666678E-2</v>
      </c>
      <c r="E700" s="261">
        <f t="shared" si="32"/>
        <v>1.0829999999999999E-2</v>
      </c>
    </row>
    <row r="701" spans="1:5" ht="12.75" x14ac:dyDescent="0.2">
      <c r="A701" s="259" t="s">
        <v>1526</v>
      </c>
      <c r="B701" s="1" t="s">
        <v>1053</v>
      </c>
      <c r="C701" s="1" t="str">
        <f t="shared" si="30"/>
        <v>Hilt - Siskiyou</v>
      </c>
      <c r="D701" s="512">
        <f t="shared" si="31"/>
        <v>6.883333333333333E-2</v>
      </c>
      <c r="E701" s="261">
        <f t="shared" si="32"/>
        <v>1.0460000000000001E-2</v>
      </c>
    </row>
    <row r="702" spans="1:5" ht="12.75" x14ac:dyDescent="0.2">
      <c r="A702" s="259" t="s">
        <v>1527</v>
      </c>
      <c r="B702" s="1" t="s">
        <v>738</v>
      </c>
      <c r="C702" s="1" t="str">
        <f t="shared" si="30"/>
        <v>Hinkley - San Bernardino</v>
      </c>
      <c r="D702" s="512">
        <f t="shared" si="31"/>
        <v>5.1583333333333342E-2</v>
      </c>
      <c r="E702" s="261">
        <f t="shared" si="32"/>
        <v>1.1379999999999999E-2</v>
      </c>
    </row>
    <row r="703" spans="1:5" ht="12.75" x14ac:dyDescent="0.2">
      <c r="A703" s="259" t="s">
        <v>1528</v>
      </c>
      <c r="B703" s="1" t="s">
        <v>1154</v>
      </c>
      <c r="C703" s="1" t="str">
        <f t="shared" si="30"/>
        <v>Hobergs - Lake</v>
      </c>
      <c r="D703" s="512">
        <f t="shared" si="31"/>
        <v>6.1750000000000006E-2</v>
      </c>
      <c r="E703" s="261">
        <f t="shared" si="32"/>
        <v>1.1160000000000002E-2</v>
      </c>
    </row>
    <row r="704" spans="1:5" ht="12.75" x14ac:dyDescent="0.2">
      <c r="A704" s="259" t="s">
        <v>1529</v>
      </c>
      <c r="B704" s="1" t="s">
        <v>1530</v>
      </c>
      <c r="C704" s="1" t="str">
        <f t="shared" si="30"/>
        <v>Hollister - San Benito</v>
      </c>
      <c r="D704" s="512">
        <f t="shared" si="31"/>
        <v>6.5999999999999989E-2</v>
      </c>
      <c r="E704" s="261">
        <f t="shared" si="32"/>
        <v>1.2119999999999999E-2</v>
      </c>
    </row>
    <row r="705" spans="1:5" ht="12.75" x14ac:dyDescent="0.2">
      <c r="A705" s="259" t="s">
        <v>1531</v>
      </c>
      <c r="B705" s="1" t="s">
        <v>732</v>
      </c>
      <c r="C705" s="1" t="str">
        <f t="shared" si="30"/>
        <v>Hollywood  - Los Angeles</v>
      </c>
      <c r="D705" s="512">
        <f t="shared" si="31"/>
        <v>5.4833333333333331E-2</v>
      </c>
      <c r="E705" s="261">
        <f t="shared" si="32"/>
        <v>1.1599999999999999E-2</v>
      </c>
    </row>
    <row r="706" spans="1:5" ht="12.75" x14ac:dyDescent="0.2">
      <c r="A706" s="259" t="s">
        <v>1532</v>
      </c>
      <c r="B706" s="1" t="s">
        <v>777</v>
      </c>
      <c r="C706" s="1" t="str">
        <f t="shared" si="30"/>
        <v>Holmes - Humboldt</v>
      </c>
      <c r="D706" s="512">
        <f t="shared" si="31"/>
        <v>5.1583333333333321E-2</v>
      </c>
      <c r="E706" s="261">
        <f t="shared" si="32"/>
        <v>1.115E-2</v>
      </c>
    </row>
    <row r="707" spans="1:5" ht="12.75" x14ac:dyDescent="0.2">
      <c r="A707" s="259" t="s">
        <v>1533</v>
      </c>
      <c r="B707" s="1" t="s">
        <v>729</v>
      </c>
      <c r="C707" s="1" t="str">
        <f t="shared" si="30"/>
        <v>Holt - San Joaquin</v>
      </c>
      <c r="D707" s="512">
        <f t="shared" si="31"/>
        <v>6.699999999999999E-2</v>
      </c>
      <c r="E707" s="261">
        <f t="shared" si="32"/>
        <v>1.1299999999999999E-2</v>
      </c>
    </row>
    <row r="708" spans="1:5" ht="12.75" x14ac:dyDescent="0.2">
      <c r="A708" s="259" t="s">
        <v>1534</v>
      </c>
      <c r="B708" s="1" t="s">
        <v>919</v>
      </c>
      <c r="C708" s="1" t="str">
        <f t="shared" si="30"/>
        <v>Holtville - Imperial</v>
      </c>
      <c r="D708" s="512">
        <f t="shared" si="31"/>
        <v>0.17949999999999999</v>
      </c>
      <c r="E708" s="261">
        <f t="shared" si="32"/>
        <v>1.206E-2</v>
      </c>
    </row>
    <row r="709" spans="1:5" ht="12.75" x14ac:dyDescent="0.2">
      <c r="A709" s="259" t="s">
        <v>1535</v>
      </c>
      <c r="B709" s="1" t="s">
        <v>788</v>
      </c>
      <c r="C709" s="1" t="str">
        <f t="shared" si="30"/>
        <v>Holy City - Santa Clara</v>
      </c>
      <c r="D709" s="512">
        <f t="shared" si="31"/>
        <v>4.0750000000000001E-2</v>
      </c>
      <c r="E709" s="261">
        <f t="shared" si="32"/>
        <v>1.2110000000000001E-2</v>
      </c>
    </row>
    <row r="710" spans="1:5" ht="12.75" x14ac:dyDescent="0.2">
      <c r="A710" s="259" t="s">
        <v>1536</v>
      </c>
      <c r="B710" s="1" t="s">
        <v>756</v>
      </c>
      <c r="C710" s="1" t="str">
        <f t="shared" si="30"/>
        <v>Homeland - Riverside</v>
      </c>
      <c r="D710" s="512">
        <f t="shared" si="31"/>
        <v>5.3749999999999999E-2</v>
      </c>
      <c r="E710" s="261">
        <f t="shared" si="32"/>
        <v>1.1859999999999999E-2</v>
      </c>
    </row>
    <row r="711" spans="1:5" ht="12.75" x14ac:dyDescent="0.2">
      <c r="A711" s="259" t="s">
        <v>1537</v>
      </c>
      <c r="B711" s="1" t="s">
        <v>884</v>
      </c>
      <c r="C711" s="1" t="str">
        <f t="shared" si="30"/>
        <v>Homestead - Kern</v>
      </c>
      <c r="D711" s="512">
        <f t="shared" si="31"/>
        <v>8.9333333333333334E-2</v>
      </c>
      <c r="E711" s="261">
        <f t="shared" si="32"/>
        <v>1.238E-2</v>
      </c>
    </row>
    <row r="712" spans="1:5" ht="12.75" x14ac:dyDescent="0.2">
      <c r="A712" s="259" t="s">
        <v>1537</v>
      </c>
      <c r="B712" s="1" t="s">
        <v>756</v>
      </c>
      <c r="C712" s="1" t="str">
        <f t="shared" ref="C712:C775" si="33">A712&amp;" - "&amp;B712</f>
        <v>Homestead - Riverside</v>
      </c>
      <c r="D712" s="512">
        <f t="shared" si="31"/>
        <v>5.3749999999999999E-2</v>
      </c>
      <c r="E712" s="261">
        <f t="shared" si="32"/>
        <v>1.1859999999999999E-2</v>
      </c>
    </row>
    <row r="713" spans="1:5" ht="12.75" x14ac:dyDescent="0.2">
      <c r="A713" s="259" t="s">
        <v>1538</v>
      </c>
      <c r="B713" s="1" t="s">
        <v>803</v>
      </c>
      <c r="C713" s="1" t="str">
        <f t="shared" si="33"/>
        <v>Homewood - Placer</v>
      </c>
      <c r="D713" s="512">
        <f t="shared" ref="D713:D776" si="34">VLOOKUP(B713,unemployment_rates,2, FALSE)</f>
        <v>4.1833333333333347E-2</v>
      </c>
      <c r="E713" s="261">
        <f t="shared" ref="E713:E776" si="35">VLOOKUP(B713,Prop_Tax_Rates,2,FALSE)</f>
        <v>1.0880000000000001E-2</v>
      </c>
    </row>
    <row r="714" spans="1:5" ht="12.75" x14ac:dyDescent="0.2">
      <c r="A714" s="259" t="s">
        <v>1539</v>
      </c>
      <c r="B714" s="1" t="s">
        <v>732</v>
      </c>
      <c r="C714" s="1" t="str">
        <f t="shared" si="33"/>
        <v>Honby - Los Angeles</v>
      </c>
      <c r="D714" s="512">
        <f t="shared" si="34"/>
        <v>5.4833333333333331E-2</v>
      </c>
      <c r="E714" s="261">
        <f t="shared" si="35"/>
        <v>1.1599999999999999E-2</v>
      </c>
    </row>
    <row r="715" spans="1:5" ht="12.75" x14ac:dyDescent="0.2">
      <c r="A715" s="259" t="s">
        <v>1540</v>
      </c>
      <c r="B715" s="1" t="s">
        <v>777</v>
      </c>
      <c r="C715" s="1" t="str">
        <f t="shared" si="33"/>
        <v>Honeydew - Humboldt</v>
      </c>
      <c r="D715" s="512">
        <f t="shared" si="34"/>
        <v>5.1583333333333321E-2</v>
      </c>
      <c r="E715" s="261">
        <f t="shared" si="35"/>
        <v>1.115E-2</v>
      </c>
    </row>
    <row r="716" spans="1:5" ht="12.75" x14ac:dyDescent="0.2">
      <c r="A716" s="259" t="s">
        <v>1541</v>
      </c>
      <c r="B716" s="1" t="s">
        <v>843</v>
      </c>
      <c r="C716" s="1" t="str">
        <f t="shared" si="33"/>
        <v>Hood - Sacramento</v>
      </c>
      <c r="D716" s="512">
        <f t="shared" si="34"/>
        <v>4.8833333333333326E-2</v>
      </c>
      <c r="E716" s="261">
        <f t="shared" si="35"/>
        <v>1.1519999999999999E-2</v>
      </c>
    </row>
    <row r="717" spans="1:5" ht="12.75" x14ac:dyDescent="0.2">
      <c r="A717" s="259" t="s">
        <v>1542</v>
      </c>
      <c r="B717" s="1" t="s">
        <v>777</v>
      </c>
      <c r="C717" s="1" t="str">
        <f t="shared" si="33"/>
        <v>Hoopa - Humboldt</v>
      </c>
      <c r="D717" s="512">
        <f t="shared" si="34"/>
        <v>5.1583333333333321E-2</v>
      </c>
      <c r="E717" s="261">
        <f t="shared" si="35"/>
        <v>1.115E-2</v>
      </c>
    </row>
    <row r="718" spans="1:5" ht="12.75" x14ac:dyDescent="0.2">
      <c r="A718" s="259" t="s">
        <v>1543</v>
      </c>
      <c r="B718" s="1" t="s">
        <v>800</v>
      </c>
      <c r="C718" s="1" t="str">
        <f t="shared" si="33"/>
        <v>Hope Valley  - Alpine</v>
      </c>
      <c r="D718" s="512">
        <f t="shared" si="34"/>
        <v>6.8916666666666654E-2</v>
      </c>
      <c r="E718" s="261">
        <f t="shared" si="35"/>
        <v>1.03E-2</v>
      </c>
    </row>
    <row r="719" spans="1:5" ht="12.75" x14ac:dyDescent="0.2">
      <c r="A719" s="259" t="s">
        <v>1544</v>
      </c>
      <c r="B719" s="1" t="s">
        <v>774</v>
      </c>
      <c r="C719" s="1" t="str">
        <f t="shared" si="33"/>
        <v>Hopland - Mendocino</v>
      </c>
      <c r="D719" s="512">
        <f t="shared" si="34"/>
        <v>5.1916666666666667E-2</v>
      </c>
      <c r="E719" s="261">
        <f t="shared" si="35"/>
        <v>1.1650000000000001E-2</v>
      </c>
    </row>
    <row r="720" spans="1:5" ht="12.75" x14ac:dyDescent="0.2">
      <c r="A720" s="259" t="s">
        <v>1545</v>
      </c>
      <c r="B720" s="1" t="s">
        <v>1053</v>
      </c>
      <c r="C720" s="1" t="str">
        <f t="shared" si="33"/>
        <v>Hornbrook - Siskiyou</v>
      </c>
      <c r="D720" s="512">
        <f t="shared" si="34"/>
        <v>6.883333333333333E-2</v>
      </c>
      <c r="E720" s="261">
        <f t="shared" si="35"/>
        <v>1.0460000000000001E-2</v>
      </c>
    </row>
    <row r="721" spans="1:5" ht="12.75" x14ac:dyDescent="0.2">
      <c r="A721" s="259" t="s">
        <v>1546</v>
      </c>
      <c r="B721" s="1" t="s">
        <v>935</v>
      </c>
      <c r="C721" s="1" t="str">
        <f t="shared" si="33"/>
        <v>Hornitos - Mariposa</v>
      </c>
      <c r="D721" s="512">
        <f t="shared" si="34"/>
        <v>5.2833333333333329E-2</v>
      </c>
      <c r="E721" s="261">
        <f t="shared" si="35"/>
        <v>1.0369999999999999E-2</v>
      </c>
    </row>
    <row r="722" spans="1:5" ht="12.75" x14ac:dyDescent="0.2">
      <c r="A722" s="259" t="s">
        <v>1547</v>
      </c>
      <c r="B722" s="1" t="s">
        <v>1053</v>
      </c>
      <c r="C722" s="1" t="str">
        <f t="shared" si="33"/>
        <v>Horse Creek - Siskiyou</v>
      </c>
      <c r="D722" s="512">
        <f t="shared" si="34"/>
        <v>6.883333333333333E-2</v>
      </c>
      <c r="E722" s="261">
        <f t="shared" si="35"/>
        <v>1.0460000000000001E-2</v>
      </c>
    </row>
    <row r="723" spans="1:5" ht="12.75" x14ac:dyDescent="0.2">
      <c r="A723" s="259" t="s">
        <v>1548</v>
      </c>
      <c r="B723" s="1" t="s">
        <v>959</v>
      </c>
      <c r="C723" s="1" t="str">
        <f t="shared" si="33"/>
        <v>Horse Lake - Lassen</v>
      </c>
      <c r="D723" s="512">
        <f t="shared" si="34"/>
        <v>5.8083333333333327E-2</v>
      </c>
      <c r="E723" s="261">
        <f t="shared" si="35"/>
        <v>1.018E-2</v>
      </c>
    </row>
    <row r="724" spans="1:5" ht="12.75" x14ac:dyDescent="0.2">
      <c r="A724" s="259" t="s">
        <v>1549</v>
      </c>
      <c r="B724" s="1" t="s">
        <v>1124</v>
      </c>
      <c r="C724" s="1" t="str">
        <f t="shared" si="33"/>
        <v>Hughson - Stanislaus</v>
      </c>
      <c r="D724" s="512">
        <f t="shared" si="34"/>
        <v>6.9833333333333331E-2</v>
      </c>
      <c r="E724" s="261">
        <f t="shared" si="35"/>
        <v>1.1080000000000001E-2</v>
      </c>
    </row>
    <row r="725" spans="1:5" ht="12.75" x14ac:dyDescent="0.2">
      <c r="A725" s="259" t="s">
        <v>1550</v>
      </c>
      <c r="B725" s="1" t="s">
        <v>895</v>
      </c>
      <c r="C725" s="1" t="str">
        <f t="shared" si="33"/>
        <v>Hume - Fresno</v>
      </c>
      <c r="D725" s="512">
        <f t="shared" si="34"/>
        <v>8.0416666666666664E-2</v>
      </c>
      <c r="E725" s="261">
        <f t="shared" si="35"/>
        <v>1.2110000000000001E-2</v>
      </c>
    </row>
    <row r="726" spans="1:5" ht="12.75" x14ac:dyDescent="0.2">
      <c r="A726" s="259" t="s">
        <v>1551</v>
      </c>
      <c r="B726" s="1" t="s">
        <v>782</v>
      </c>
      <c r="C726" s="1" t="str">
        <f t="shared" si="33"/>
        <v>Huntington - Orange</v>
      </c>
      <c r="D726" s="512">
        <f t="shared" si="34"/>
        <v>3.9749999999999994E-2</v>
      </c>
      <c r="E726" s="261">
        <f t="shared" si="35"/>
        <v>1.0660000000000001E-2</v>
      </c>
    </row>
    <row r="727" spans="1:5" ht="12.75" x14ac:dyDescent="0.2">
      <c r="A727" s="259" t="s">
        <v>1552</v>
      </c>
      <c r="B727" s="1" t="s">
        <v>782</v>
      </c>
      <c r="C727" s="1" t="str">
        <f t="shared" si="33"/>
        <v>Huntington Beach - Orange</v>
      </c>
      <c r="D727" s="512">
        <f t="shared" si="34"/>
        <v>3.9749999999999994E-2</v>
      </c>
      <c r="E727" s="261">
        <f t="shared" si="35"/>
        <v>1.0660000000000001E-2</v>
      </c>
    </row>
    <row r="728" spans="1:5" ht="12.75" x14ac:dyDescent="0.2">
      <c r="A728" s="259" t="s">
        <v>1553</v>
      </c>
      <c r="B728" s="1" t="s">
        <v>895</v>
      </c>
      <c r="C728" s="1" t="str">
        <f t="shared" si="33"/>
        <v>Huntington Lake - Fresno</v>
      </c>
      <c r="D728" s="512">
        <f t="shared" si="34"/>
        <v>8.0416666666666664E-2</v>
      </c>
      <c r="E728" s="261">
        <f t="shared" si="35"/>
        <v>1.2110000000000001E-2</v>
      </c>
    </row>
    <row r="729" spans="1:5" ht="12.75" x14ac:dyDescent="0.2">
      <c r="A729" s="259" t="s">
        <v>1554</v>
      </c>
      <c r="B729" s="1" t="s">
        <v>732</v>
      </c>
      <c r="C729" s="1" t="str">
        <f t="shared" si="33"/>
        <v>Huntington Park - Los Angeles</v>
      </c>
      <c r="D729" s="512">
        <f t="shared" si="34"/>
        <v>5.4833333333333331E-2</v>
      </c>
      <c r="E729" s="261">
        <f t="shared" si="35"/>
        <v>1.1599999999999999E-2</v>
      </c>
    </row>
    <row r="730" spans="1:5" ht="12.75" x14ac:dyDescent="0.2">
      <c r="A730" s="259" t="s">
        <v>1555</v>
      </c>
      <c r="B730" s="1" t="s">
        <v>895</v>
      </c>
      <c r="C730" s="1" t="str">
        <f t="shared" si="33"/>
        <v>Huron - Fresno</v>
      </c>
      <c r="D730" s="512">
        <f t="shared" si="34"/>
        <v>8.0416666666666664E-2</v>
      </c>
      <c r="E730" s="261">
        <f t="shared" si="35"/>
        <v>1.2110000000000001E-2</v>
      </c>
    </row>
    <row r="731" spans="1:5" ht="12.75" x14ac:dyDescent="0.2">
      <c r="A731" s="259" t="s">
        <v>1556</v>
      </c>
      <c r="B731" s="1" t="s">
        <v>961</v>
      </c>
      <c r="C731" s="1" t="str">
        <f t="shared" si="33"/>
        <v>Hyampom - Trinity</v>
      </c>
      <c r="D731" s="512">
        <f t="shared" si="34"/>
        <v>5.916666666666668E-2</v>
      </c>
      <c r="E731" s="261">
        <f t="shared" si="35"/>
        <v>1.043E-2</v>
      </c>
    </row>
    <row r="732" spans="1:5" ht="12.75" x14ac:dyDescent="0.2">
      <c r="A732" s="259" t="s">
        <v>1557</v>
      </c>
      <c r="B732" s="1" t="s">
        <v>732</v>
      </c>
      <c r="C732" s="1" t="str">
        <f t="shared" si="33"/>
        <v>Hyde Park  - Los Angeles</v>
      </c>
      <c r="D732" s="512">
        <f t="shared" si="34"/>
        <v>5.4833333333333331E-2</v>
      </c>
      <c r="E732" s="261">
        <f t="shared" si="35"/>
        <v>1.1599999999999999E-2</v>
      </c>
    </row>
    <row r="733" spans="1:5" ht="12.75" x14ac:dyDescent="0.2">
      <c r="A733" s="259" t="s">
        <v>1558</v>
      </c>
      <c r="B733" s="1" t="s">
        <v>777</v>
      </c>
      <c r="C733" s="1" t="str">
        <f t="shared" si="33"/>
        <v>Hydesville - Humboldt</v>
      </c>
      <c r="D733" s="512">
        <f t="shared" si="34"/>
        <v>5.1583333333333321E-2</v>
      </c>
      <c r="E733" s="261">
        <f t="shared" si="35"/>
        <v>1.115E-2</v>
      </c>
    </row>
    <row r="734" spans="1:5" ht="12.75" x14ac:dyDescent="0.2">
      <c r="A734" s="259" t="s">
        <v>1559</v>
      </c>
      <c r="B734" s="1" t="s">
        <v>1530</v>
      </c>
      <c r="C734" s="1" t="str">
        <f t="shared" si="33"/>
        <v>Idria - San Benito</v>
      </c>
      <c r="D734" s="512">
        <f t="shared" si="34"/>
        <v>6.5999999999999989E-2</v>
      </c>
      <c r="E734" s="261">
        <f t="shared" si="35"/>
        <v>1.2119999999999999E-2</v>
      </c>
    </row>
    <row r="735" spans="1:5" ht="12.75" x14ac:dyDescent="0.2">
      <c r="A735" s="259" t="s">
        <v>1560</v>
      </c>
      <c r="B735" s="1" t="s">
        <v>756</v>
      </c>
      <c r="C735" s="1" t="str">
        <f t="shared" si="33"/>
        <v>Idyllwild - Riverside</v>
      </c>
      <c r="D735" s="512">
        <f t="shared" si="34"/>
        <v>5.3749999999999999E-2</v>
      </c>
      <c r="E735" s="261">
        <f t="shared" si="35"/>
        <v>1.1859999999999999E-2</v>
      </c>
    </row>
    <row r="736" spans="1:5" ht="12.75" x14ac:dyDescent="0.2">
      <c r="A736" s="259" t="s">
        <v>1561</v>
      </c>
      <c r="B736" s="1" t="s">
        <v>946</v>
      </c>
      <c r="C736" s="1" t="str">
        <f t="shared" si="33"/>
        <v>Ignacio  - Marin</v>
      </c>
      <c r="D736" s="512">
        <f t="shared" si="34"/>
        <v>3.7749999999999999E-2</v>
      </c>
      <c r="E736" s="261">
        <f t="shared" si="35"/>
        <v>1.1299999999999999E-2</v>
      </c>
    </row>
    <row r="737" spans="1:5" ht="12.75" x14ac:dyDescent="0.2">
      <c r="A737" s="259" t="s">
        <v>1562</v>
      </c>
      <c r="B737" s="1" t="s">
        <v>832</v>
      </c>
      <c r="C737" s="1" t="str">
        <f t="shared" si="33"/>
        <v>Igo - Shasta</v>
      </c>
      <c r="D737" s="512">
        <f t="shared" si="34"/>
        <v>5.6416666666666657E-2</v>
      </c>
      <c r="E737" s="261">
        <f t="shared" si="35"/>
        <v>1.099E-2</v>
      </c>
    </row>
    <row r="738" spans="1:5" ht="12.75" x14ac:dyDescent="0.2">
      <c r="A738" s="259" t="s">
        <v>1563</v>
      </c>
      <c r="B738" s="1" t="s">
        <v>827</v>
      </c>
      <c r="C738" s="1" t="str">
        <f t="shared" si="33"/>
        <v>Imola  - Napa</v>
      </c>
      <c r="D738" s="512">
        <f t="shared" si="34"/>
        <v>0.04</v>
      </c>
      <c r="E738" s="261">
        <f t="shared" si="35"/>
        <v>1.102E-2</v>
      </c>
    </row>
    <row r="739" spans="1:5" ht="12.75" x14ac:dyDescent="0.2">
      <c r="A739" s="259" t="s">
        <v>919</v>
      </c>
      <c r="B739" s="1" t="s">
        <v>919</v>
      </c>
      <c r="C739" s="1" t="str">
        <f t="shared" si="33"/>
        <v>Imperial - Imperial</v>
      </c>
      <c r="D739" s="512">
        <f t="shared" si="34"/>
        <v>0.17949999999999999</v>
      </c>
      <c r="E739" s="261">
        <f t="shared" si="35"/>
        <v>1.206E-2</v>
      </c>
    </row>
    <row r="740" spans="1:5" ht="12.75" x14ac:dyDescent="0.2">
      <c r="A740" s="259" t="s">
        <v>1564</v>
      </c>
      <c r="B740" s="1" t="s">
        <v>751</v>
      </c>
      <c r="C740" s="1" t="str">
        <f t="shared" si="33"/>
        <v>Imperial Beach - San Diego</v>
      </c>
      <c r="D740" s="512">
        <f t="shared" si="34"/>
        <v>4.4750000000000005E-2</v>
      </c>
      <c r="E740" s="261">
        <f t="shared" si="35"/>
        <v>1.167E-2</v>
      </c>
    </row>
    <row r="741" spans="1:5" ht="12.75" x14ac:dyDescent="0.2">
      <c r="A741" s="259" t="s">
        <v>1565</v>
      </c>
      <c r="B741" s="1" t="s">
        <v>822</v>
      </c>
      <c r="C741" s="1" t="str">
        <f t="shared" si="33"/>
        <v>Independence - Inyo</v>
      </c>
      <c r="D741" s="512">
        <f t="shared" si="34"/>
        <v>3.9833333333333339E-2</v>
      </c>
      <c r="E741" s="261">
        <f t="shared" si="35"/>
        <v>1.065E-2</v>
      </c>
    </row>
    <row r="742" spans="1:5" ht="12.75" x14ac:dyDescent="0.2">
      <c r="A742" s="259" t="s">
        <v>1566</v>
      </c>
      <c r="B742" s="1" t="s">
        <v>756</v>
      </c>
      <c r="C742" s="1" t="str">
        <f t="shared" si="33"/>
        <v>Indian Wells - Riverside</v>
      </c>
      <c r="D742" s="512">
        <f t="shared" si="34"/>
        <v>5.3749999999999999E-2</v>
      </c>
      <c r="E742" s="261">
        <f t="shared" si="35"/>
        <v>1.1859999999999999E-2</v>
      </c>
    </row>
    <row r="743" spans="1:5" ht="12.75" x14ac:dyDescent="0.2">
      <c r="A743" s="259" t="s">
        <v>1567</v>
      </c>
      <c r="B743" s="1" t="s">
        <v>756</v>
      </c>
      <c r="C743" s="1" t="str">
        <f t="shared" si="33"/>
        <v>Indio - Riverside</v>
      </c>
      <c r="D743" s="512">
        <f t="shared" si="34"/>
        <v>5.3749999999999999E-2</v>
      </c>
      <c r="E743" s="261">
        <f t="shared" si="35"/>
        <v>1.1859999999999999E-2</v>
      </c>
    </row>
    <row r="744" spans="1:5" ht="12.75" x14ac:dyDescent="0.2">
      <c r="A744" s="259" t="s">
        <v>1568</v>
      </c>
      <c r="B744" s="1" t="s">
        <v>732</v>
      </c>
      <c r="C744" s="1" t="str">
        <f t="shared" si="33"/>
        <v>Industry - Los Angeles</v>
      </c>
      <c r="D744" s="512">
        <f t="shared" si="34"/>
        <v>5.4833333333333331E-2</v>
      </c>
      <c r="E744" s="261">
        <f t="shared" si="35"/>
        <v>1.1599999999999999E-2</v>
      </c>
    </row>
    <row r="745" spans="1:5" ht="12.75" x14ac:dyDescent="0.2">
      <c r="A745" s="259" t="s">
        <v>1569</v>
      </c>
      <c r="B745" s="1" t="s">
        <v>732</v>
      </c>
      <c r="C745" s="1" t="str">
        <f t="shared" si="33"/>
        <v>Inglewood - Los Angeles</v>
      </c>
      <c r="D745" s="512">
        <f t="shared" si="34"/>
        <v>5.4833333333333331E-2</v>
      </c>
      <c r="E745" s="261">
        <f t="shared" si="35"/>
        <v>1.1599999999999999E-2</v>
      </c>
    </row>
    <row r="746" spans="1:5" ht="12.75" x14ac:dyDescent="0.2">
      <c r="A746" s="259" t="s">
        <v>1570</v>
      </c>
      <c r="B746" s="1" t="s">
        <v>946</v>
      </c>
      <c r="C746" s="1" t="str">
        <f t="shared" si="33"/>
        <v>Inverness - Marin</v>
      </c>
      <c r="D746" s="512">
        <f t="shared" si="34"/>
        <v>3.7749999999999999E-2</v>
      </c>
      <c r="E746" s="261">
        <f t="shared" si="35"/>
        <v>1.1299999999999999E-2</v>
      </c>
    </row>
    <row r="747" spans="1:5" ht="12.75" x14ac:dyDescent="0.2">
      <c r="A747" s="259" t="s">
        <v>822</v>
      </c>
      <c r="B747" s="1" t="s">
        <v>822</v>
      </c>
      <c r="C747" s="1" t="str">
        <f t="shared" si="33"/>
        <v>Inyo - Inyo</v>
      </c>
      <c r="D747" s="512">
        <f t="shared" si="34"/>
        <v>3.9833333333333339E-2</v>
      </c>
      <c r="E747" s="261">
        <f t="shared" si="35"/>
        <v>1.065E-2</v>
      </c>
    </row>
    <row r="748" spans="1:5" ht="12.75" x14ac:dyDescent="0.2">
      <c r="A748" s="259" t="s">
        <v>1571</v>
      </c>
      <c r="B748" s="1" t="s">
        <v>884</v>
      </c>
      <c r="C748" s="1" t="str">
        <f t="shared" si="33"/>
        <v>Inyokern - Kern</v>
      </c>
      <c r="D748" s="512">
        <f t="shared" si="34"/>
        <v>8.9333333333333334E-2</v>
      </c>
      <c r="E748" s="261">
        <f t="shared" si="35"/>
        <v>1.238E-2</v>
      </c>
    </row>
    <row r="749" spans="1:5" ht="12.75" x14ac:dyDescent="0.2">
      <c r="A749" s="259" t="s">
        <v>1572</v>
      </c>
      <c r="B749" s="1" t="s">
        <v>819</v>
      </c>
      <c r="C749" s="1" t="str">
        <f t="shared" si="33"/>
        <v>Ione - Amador</v>
      </c>
      <c r="D749" s="512">
        <f t="shared" si="34"/>
        <v>5.3500000000000006E-2</v>
      </c>
      <c r="E749" s="261">
        <f t="shared" si="35"/>
        <v>1.014E-2</v>
      </c>
    </row>
    <row r="750" spans="1:5" ht="12.75" x14ac:dyDescent="0.2">
      <c r="A750" s="259" t="s">
        <v>1573</v>
      </c>
      <c r="B750" s="1" t="s">
        <v>803</v>
      </c>
      <c r="C750" s="1" t="str">
        <f t="shared" si="33"/>
        <v>Iowa Hill - Placer</v>
      </c>
      <c r="D750" s="512">
        <f t="shared" si="34"/>
        <v>4.1833333333333347E-2</v>
      </c>
      <c r="E750" s="261">
        <f t="shared" si="35"/>
        <v>1.0880000000000001E-2</v>
      </c>
    </row>
    <row r="751" spans="1:5" ht="12.75" x14ac:dyDescent="0.2">
      <c r="A751" s="259" t="s">
        <v>1574</v>
      </c>
      <c r="B751" s="1" t="s">
        <v>782</v>
      </c>
      <c r="C751" s="1" t="str">
        <f t="shared" si="33"/>
        <v>Irvine - Orange</v>
      </c>
      <c r="D751" s="512">
        <f t="shared" si="34"/>
        <v>3.9749999999999994E-2</v>
      </c>
      <c r="E751" s="261">
        <f t="shared" si="35"/>
        <v>1.0660000000000001E-2</v>
      </c>
    </row>
    <row r="752" spans="1:5" ht="12.75" x14ac:dyDescent="0.2">
      <c r="A752" s="259" t="s">
        <v>1575</v>
      </c>
      <c r="B752" s="1" t="s">
        <v>732</v>
      </c>
      <c r="C752" s="1" t="str">
        <f t="shared" si="33"/>
        <v>Irwindale - Los Angeles</v>
      </c>
      <c r="D752" s="512">
        <f t="shared" si="34"/>
        <v>5.4833333333333331E-2</v>
      </c>
      <c r="E752" s="261">
        <f t="shared" si="35"/>
        <v>1.1599999999999999E-2</v>
      </c>
    </row>
    <row r="753" spans="1:5" ht="12.75" x14ac:dyDescent="0.2">
      <c r="A753" s="259" t="s">
        <v>1576</v>
      </c>
      <c r="B753" s="1" t="s">
        <v>911</v>
      </c>
      <c r="C753" s="1" t="str">
        <f t="shared" si="33"/>
        <v>Isla Vista - Santa Barbara</v>
      </c>
      <c r="D753" s="512">
        <f t="shared" si="34"/>
        <v>4.5333333333333344E-2</v>
      </c>
      <c r="E753" s="261">
        <f t="shared" si="35"/>
        <v>1.0740000000000001E-2</v>
      </c>
    </row>
    <row r="754" spans="1:5" ht="12.75" x14ac:dyDescent="0.2">
      <c r="A754" s="259" t="s">
        <v>1577</v>
      </c>
      <c r="B754" s="1" t="s">
        <v>961</v>
      </c>
      <c r="C754" s="1" t="str">
        <f t="shared" si="33"/>
        <v>Island Mountain - Trinity</v>
      </c>
      <c r="D754" s="512">
        <f t="shared" si="34"/>
        <v>5.916666666666668E-2</v>
      </c>
      <c r="E754" s="261">
        <f t="shared" si="35"/>
        <v>1.043E-2</v>
      </c>
    </row>
    <row r="755" spans="1:5" ht="12.75" x14ac:dyDescent="0.2">
      <c r="A755" s="259" t="s">
        <v>1578</v>
      </c>
      <c r="B755" s="1" t="s">
        <v>843</v>
      </c>
      <c r="C755" s="1" t="str">
        <f t="shared" si="33"/>
        <v>Isleton - Sacramento</v>
      </c>
      <c r="D755" s="512">
        <f t="shared" si="34"/>
        <v>4.8833333333333326E-2</v>
      </c>
      <c r="E755" s="261">
        <f t="shared" si="35"/>
        <v>1.1519999999999999E-2</v>
      </c>
    </row>
    <row r="756" spans="1:5" ht="12.75" x14ac:dyDescent="0.2">
      <c r="A756" s="259" t="s">
        <v>1579</v>
      </c>
      <c r="B756" s="1" t="s">
        <v>798</v>
      </c>
      <c r="C756" s="1" t="str">
        <f t="shared" si="33"/>
        <v>Ivanhoe - Tulare</v>
      </c>
      <c r="D756" s="512">
        <f t="shared" si="34"/>
        <v>0.10691666666666669</v>
      </c>
      <c r="E756" s="261">
        <f t="shared" si="35"/>
        <v>1.0869999999999999E-2</v>
      </c>
    </row>
    <row r="757" spans="1:5" ht="12.75" x14ac:dyDescent="0.2">
      <c r="A757" s="259" t="s">
        <v>1580</v>
      </c>
      <c r="B757" s="1" t="s">
        <v>738</v>
      </c>
      <c r="C757" s="1" t="str">
        <f t="shared" si="33"/>
        <v>Ivanpah - San Bernardino</v>
      </c>
      <c r="D757" s="512">
        <f t="shared" si="34"/>
        <v>5.1583333333333342E-2</v>
      </c>
      <c r="E757" s="261">
        <f t="shared" si="35"/>
        <v>1.1379999999999999E-2</v>
      </c>
    </row>
    <row r="758" spans="1:5" ht="12.75" x14ac:dyDescent="0.2">
      <c r="A758" s="259" t="s">
        <v>1581</v>
      </c>
      <c r="B758" s="1" t="s">
        <v>819</v>
      </c>
      <c r="C758" s="1" t="str">
        <f t="shared" si="33"/>
        <v>Jackson - Amador</v>
      </c>
      <c r="D758" s="512">
        <f t="shared" si="34"/>
        <v>5.3500000000000006E-2</v>
      </c>
      <c r="E758" s="261">
        <f t="shared" si="35"/>
        <v>1.014E-2</v>
      </c>
    </row>
    <row r="759" spans="1:5" ht="12.75" x14ac:dyDescent="0.2">
      <c r="A759" s="259" t="s">
        <v>1582</v>
      </c>
      <c r="B759" s="1" t="s">
        <v>751</v>
      </c>
      <c r="C759" s="1" t="str">
        <f t="shared" si="33"/>
        <v>Jacumba - San Diego</v>
      </c>
      <c r="D759" s="512">
        <f t="shared" si="34"/>
        <v>4.4750000000000005E-2</v>
      </c>
      <c r="E759" s="261">
        <f t="shared" si="35"/>
        <v>1.167E-2</v>
      </c>
    </row>
    <row r="760" spans="1:5" ht="12.75" x14ac:dyDescent="0.2">
      <c r="A760" s="259" t="s">
        <v>1583</v>
      </c>
      <c r="B760" s="1" t="s">
        <v>751</v>
      </c>
      <c r="C760" s="1" t="str">
        <f t="shared" si="33"/>
        <v>Jamacha - San Diego</v>
      </c>
      <c r="D760" s="512">
        <f t="shared" si="34"/>
        <v>4.4750000000000005E-2</v>
      </c>
      <c r="E760" s="261">
        <f t="shared" si="35"/>
        <v>1.167E-2</v>
      </c>
    </row>
    <row r="761" spans="1:5" ht="12.75" x14ac:dyDescent="0.2">
      <c r="A761" s="259" t="s">
        <v>1584</v>
      </c>
      <c r="B761" s="1" t="s">
        <v>968</v>
      </c>
      <c r="C761" s="1" t="str">
        <f t="shared" si="33"/>
        <v>Jamestown - Tuolumne</v>
      </c>
      <c r="D761" s="512">
        <f t="shared" si="34"/>
        <v>5.4333333333333338E-2</v>
      </c>
      <c r="E761" s="261">
        <f t="shared" si="35"/>
        <v>1.0780000000000001E-2</v>
      </c>
    </row>
    <row r="762" spans="1:5" ht="12.75" x14ac:dyDescent="0.2">
      <c r="A762" s="259" t="s">
        <v>1585</v>
      </c>
      <c r="B762" s="1" t="s">
        <v>751</v>
      </c>
      <c r="C762" s="1" t="str">
        <f t="shared" si="33"/>
        <v>Jamul - San Diego</v>
      </c>
      <c r="D762" s="512">
        <f t="shared" si="34"/>
        <v>4.4750000000000005E-2</v>
      </c>
      <c r="E762" s="261">
        <f t="shared" si="35"/>
        <v>1.167E-2</v>
      </c>
    </row>
    <row r="763" spans="1:5" ht="12.75" x14ac:dyDescent="0.2">
      <c r="A763" s="259" t="s">
        <v>1586</v>
      </c>
      <c r="B763" s="1" t="s">
        <v>959</v>
      </c>
      <c r="C763" s="1" t="str">
        <f t="shared" si="33"/>
        <v>Janesville - Lassen</v>
      </c>
      <c r="D763" s="512">
        <f t="shared" si="34"/>
        <v>5.8083333333333327E-2</v>
      </c>
      <c r="E763" s="261">
        <f t="shared" si="35"/>
        <v>1.018E-2</v>
      </c>
    </row>
    <row r="764" spans="1:5" ht="12.75" x14ac:dyDescent="0.2">
      <c r="A764" s="259" t="s">
        <v>1587</v>
      </c>
      <c r="B764" s="1" t="s">
        <v>748</v>
      </c>
      <c r="C764" s="1" t="str">
        <f t="shared" si="33"/>
        <v>Jenner - Sonoma</v>
      </c>
      <c r="D764" s="512">
        <f t="shared" si="34"/>
        <v>4.0583333333333325E-2</v>
      </c>
      <c r="E764" s="261">
        <f t="shared" si="35"/>
        <v>1.133E-2</v>
      </c>
    </row>
    <row r="765" spans="1:5" ht="12.75" x14ac:dyDescent="0.2">
      <c r="A765" s="259" t="s">
        <v>1588</v>
      </c>
      <c r="B765" s="1" t="s">
        <v>884</v>
      </c>
      <c r="C765" s="1" t="str">
        <f t="shared" si="33"/>
        <v>Johannesburg - Kern</v>
      </c>
      <c r="D765" s="512">
        <f t="shared" si="34"/>
        <v>8.9333333333333334E-2</v>
      </c>
      <c r="E765" s="261">
        <f t="shared" si="35"/>
        <v>1.238E-2</v>
      </c>
    </row>
    <row r="766" spans="1:5" ht="12.75" x14ac:dyDescent="0.2">
      <c r="A766" s="259" t="s">
        <v>1589</v>
      </c>
      <c r="B766" s="1" t="s">
        <v>798</v>
      </c>
      <c r="C766" s="1" t="str">
        <f t="shared" si="33"/>
        <v>Johnsondale - Tulare</v>
      </c>
      <c r="D766" s="512">
        <f t="shared" si="34"/>
        <v>0.10691666666666669</v>
      </c>
      <c r="E766" s="261">
        <f t="shared" si="35"/>
        <v>1.0869999999999999E-2</v>
      </c>
    </row>
    <row r="767" spans="1:5" ht="12.75" x14ac:dyDescent="0.2">
      <c r="A767" s="259" t="s">
        <v>1590</v>
      </c>
      <c r="B767" s="1" t="s">
        <v>959</v>
      </c>
      <c r="C767" s="1" t="str">
        <f t="shared" si="33"/>
        <v>Johnstonville - Lassen</v>
      </c>
      <c r="D767" s="512">
        <f t="shared" si="34"/>
        <v>5.8083333333333327E-2</v>
      </c>
      <c r="E767" s="261">
        <f t="shared" si="35"/>
        <v>1.018E-2</v>
      </c>
    </row>
    <row r="768" spans="1:5" ht="12.75" x14ac:dyDescent="0.2">
      <c r="A768" s="259" t="s">
        <v>1591</v>
      </c>
      <c r="B768" s="1" t="s">
        <v>751</v>
      </c>
      <c r="C768" s="1" t="str">
        <f t="shared" si="33"/>
        <v>Johnstown - San Diego</v>
      </c>
      <c r="D768" s="512">
        <f t="shared" si="34"/>
        <v>4.4750000000000005E-2</v>
      </c>
      <c r="E768" s="261">
        <f t="shared" si="35"/>
        <v>1.167E-2</v>
      </c>
    </row>
    <row r="769" spans="1:5" ht="12.75" x14ac:dyDescent="0.2">
      <c r="A769" s="259" t="s">
        <v>1592</v>
      </c>
      <c r="B769" s="1" t="s">
        <v>876</v>
      </c>
      <c r="C769" s="1" t="str">
        <f t="shared" si="33"/>
        <v>Jolon - Monterey</v>
      </c>
      <c r="D769" s="512">
        <f t="shared" si="34"/>
        <v>7.425000000000001E-2</v>
      </c>
      <c r="E769" s="261">
        <f t="shared" si="35"/>
        <v>1.098E-2</v>
      </c>
    </row>
    <row r="770" spans="1:5" ht="12.75" x14ac:dyDescent="0.2">
      <c r="A770" s="259" t="s">
        <v>1593</v>
      </c>
      <c r="B770" s="1" t="s">
        <v>738</v>
      </c>
      <c r="C770" s="1" t="str">
        <f t="shared" si="33"/>
        <v>Joshua Tree - San Bernardino</v>
      </c>
      <c r="D770" s="512">
        <f t="shared" si="34"/>
        <v>5.1583333333333342E-2</v>
      </c>
      <c r="E770" s="261">
        <f t="shared" si="35"/>
        <v>1.1379999999999999E-2</v>
      </c>
    </row>
    <row r="771" spans="1:5" ht="12.75" x14ac:dyDescent="0.2">
      <c r="A771" s="259" t="s">
        <v>1594</v>
      </c>
      <c r="B771" s="1" t="s">
        <v>751</v>
      </c>
      <c r="C771" s="1" t="str">
        <f t="shared" si="33"/>
        <v>Julian - San Diego</v>
      </c>
      <c r="D771" s="512">
        <f t="shared" si="34"/>
        <v>4.4750000000000005E-2</v>
      </c>
      <c r="E771" s="261">
        <f t="shared" si="35"/>
        <v>1.167E-2</v>
      </c>
    </row>
    <row r="772" spans="1:5" ht="12.75" x14ac:dyDescent="0.2">
      <c r="A772" s="259" t="s">
        <v>1595</v>
      </c>
      <c r="B772" s="1" t="s">
        <v>961</v>
      </c>
      <c r="C772" s="1" t="str">
        <f t="shared" si="33"/>
        <v>Junction City - Trinity</v>
      </c>
      <c r="D772" s="512">
        <f t="shared" si="34"/>
        <v>5.916666666666668E-2</v>
      </c>
      <c r="E772" s="261">
        <f t="shared" si="35"/>
        <v>1.043E-2</v>
      </c>
    </row>
    <row r="773" spans="1:5" ht="12.75" x14ac:dyDescent="0.2">
      <c r="A773" s="259" t="s">
        <v>1596</v>
      </c>
      <c r="B773" s="1" t="s">
        <v>951</v>
      </c>
      <c r="C773" s="1" t="str">
        <f t="shared" si="33"/>
        <v>June Lake - Mono</v>
      </c>
      <c r="D773" s="512">
        <f t="shared" si="34"/>
        <v>4.0166666666666663E-2</v>
      </c>
      <c r="E773" s="261">
        <f t="shared" si="35"/>
        <v>1.154E-2</v>
      </c>
    </row>
    <row r="774" spans="1:5" ht="12.75" x14ac:dyDescent="0.2">
      <c r="A774" s="259" t="s">
        <v>1597</v>
      </c>
      <c r="B774" s="1" t="s">
        <v>959</v>
      </c>
      <c r="C774" s="1" t="str">
        <f t="shared" si="33"/>
        <v>Juniper - Lassen</v>
      </c>
      <c r="D774" s="512">
        <f t="shared" si="34"/>
        <v>5.8083333333333327E-2</v>
      </c>
      <c r="E774" s="261">
        <f t="shared" si="35"/>
        <v>1.018E-2</v>
      </c>
    </row>
    <row r="775" spans="1:5" ht="12.75" x14ac:dyDescent="0.2">
      <c r="A775" s="259" t="s">
        <v>1598</v>
      </c>
      <c r="B775" s="1" t="s">
        <v>732</v>
      </c>
      <c r="C775" s="1" t="str">
        <f t="shared" si="33"/>
        <v>Kagel Canyon - Los Angeles</v>
      </c>
      <c r="D775" s="512">
        <f t="shared" si="34"/>
        <v>5.4833333333333331E-2</v>
      </c>
      <c r="E775" s="261">
        <f t="shared" si="35"/>
        <v>1.1599999999999999E-2</v>
      </c>
    </row>
    <row r="776" spans="1:5" ht="12.75" x14ac:dyDescent="0.2">
      <c r="A776" s="259" t="s">
        <v>1599</v>
      </c>
      <c r="B776" s="1" t="s">
        <v>798</v>
      </c>
      <c r="C776" s="1" t="str">
        <f t="shared" ref="C776:C839" si="36">A776&amp;" - "&amp;B776</f>
        <v>Kaweah - Tulare</v>
      </c>
      <c r="D776" s="512">
        <f t="shared" si="34"/>
        <v>0.10691666666666669</v>
      </c>
      <c r="E776" s="261">
        <f t="shared" si="35"/>
        <v>1.0869999999999999E-2</v>
      </c>
    </row>
    <row r="777" spans="1:5" ht="12.75" x14ac:dyDescent="0.2">
      <c r="A777" s="259" t="s">
        <v>1600</v>
      </c>
      <c r="B777" s="1" t="s">
        <v>791</v>
      </c>
      <c r="C777" s="1" t="str">
        <f t="shared" si="36"/>
        <v>Keddie - Plumas</v>
      </c>
      <c r="D777" s="512">
        <f t="shared" ref="D777:D840" si="37">VLOOKUP(B777,unemployment_rates,2, FALSE)</f>
        <v>7.7250000000000013E-2</v>
      </c>
      <c r="E777" s="261">
        <f t="shared" ref="E777:E840" si="38">VLOOKUP(B777,Prop_Tax_Rates,2,FALSE)</f>
        <v>1.099E-2</v>
      </c>
    </row>
    <row r="778" spans="1:5" ht="12.75" x14ac:dyDescent="0.2">
      <c r="A778" s="259" t="s">
        <v>1601</v>
      </c>
      <c r="B778" s="1" t="s">
        <v>822</v>
      </c>
      <c r="C778" s="1" t="str">
        <f t="shared" si="36"/>
        <v>Keeler - Inyo</v>
      </c>
      <c r="D778" s="512">
        <f t="shared" si="37"/>
        <v>3.9833333333333339E-2</v>
      </c>
      <c r="E778" s="261">
        <f t="shared" si="38"/>
        <v>1.065E-2</v>
      </c>
    </row>
    <row r="779" spans="1:5" ht="12.75" x14ac:dyDescent="0.2">
      <c r="A779" s="259" t="s">
        <v>1602</v>
      </c>
      <c r="B779" s="1" t="s">
        <v>884</v>
      </c>
      <c r="C779" s="1" t="str">
        <f t="shared" si="36"/>
        <v>Keene - Kern</v>
      </c>
      <c r="D779" s="512">
        <f t="shared" si="37"/>
        <v>8.9333333333333334E-2</v>
      </c>
      <c r="E779" s="261">
        <f t="shared" si="38"/>
        <v>1.238E-2</v>
      </c>
    </row>
    <row r="780" spans="1:5" ht="12.75" x14ac:dyDescent="0.2">
      <c r="A780" s="259" t="s">
        <v>1603</v>
      </c>
      <c r="B780" s="1" t="s">
        <v>762</v>
      </c>
      <c r="C780" s="1" t="str">
        <f t="shared" si="36"/>
        <v>Kelsey - El Dorado</v>
      </c>
      <c r="D780" s="512">
        <f t="shared" si="37"/>
        <v>4.466666666666666E-2</v>
      </c>
      <c r="E780" s="261">
        <f t="shared" si="38"/>
        <v>1.0660000000000001E-2</v>
      </c>
    </row>
    <row r="781" spans="1:5" ht="12.75" x14ac:dyDescent="0.2">
      <c r="A781" s="259" t="s">
        <v>1604</v>
      </c>
      <c r="B781" s="1" t="s">
        <v>1154</v>
      </c>
      <c r="C781" s="1" t="str">
        <f t="shared" si="36"/>
        <v>Kelseyville - Lake</v>
      </c>
      <c r="D781" s="512">
        <f t="shared" si="37"/>
        <v>6.1750000000000006E-2</v>
      </c>
      <c r="E781" s="261">
        <f t="shared" si="38"/>
        <v>1.1160000000000002E-2</v>
      </c>
    </row>
    <row r="782" spans="1:5" ht="12.75" x14ac:dyDescent="0.2">
      <c r="A782" s="259" t="s">
        <v>1605</v>
      </c>
      <c r="B782" s="1" t="s">
        <v>738</v>
      </c>
      <c r="C782" s="1" t="str">
        <f t="shared" si="36"/>
        <v>Kelso - San Bernardino</v>
      </c>
      <c r="D782" s="512">
        <f t="shared" si="37"/>
        <v>5.1583333333333342E-2</v>
      </c>
      <c r="E782" s="261">
        <f t="shared" si="38"/>
        <v>1.1379999999999999E-2</v>
      </c>
    </row>
    <row r="783" spans="1:5" ht="12.75" x14ac:dyDescent="0.2">
      <c r="A783" s="259" t="s">
        <v>1606</v>
      </c>
      <c r="B783" s="1" t="s">
        <v>767</v>
      </c>
      <c r="C783" s="1" t="str">
        <f t="shared" si="36"/>
        <v>Kensington - Contra Costa</v>
      </c>
      <c r="D783" s="512">
        <f t="shared" si="37"/>
        <v>4.7250000000000007E-2</v>
      </c>
      <c r="E783" s="261">
        <f t="shared" si="38"/>
        <v>1.163E-2</v>
      </c>
    </row>
    <row r="784" spans="1:5" ht="12.75" x14ac:dyDescent="0.2">
      <c r="A784" s="259" t="s">
        <v>1607</v>
      </c>
      <c r="B784" s="1" t="s">
        <v>946</v>
      </c>
      <c r="C784" s="1" t="str">
        <f t="shared" si="36"/>
        <v>Kentfield - Marin</v>
      </c>
      <c r="D784" s="512">
        <f t="shared" si="37"/>
        <v>3.7749999999999999E-2</v>
      </c>
      <c r="E784" s="261">
        <f t="shared" si="38"/>
        <v>1.1299999999999999E-2</v>
      </c>
    </row>
    <row r="785" spans="1:5" ht="12.75" x14ac:dyDescent="0.2">
      <c r="A785" s="259" t="s">
        <v>1608</v>
      </c>
      <c r="B785" s="1" t="s">
        <v>748</v>
      </c>
      <c r="C785" s="1" t="str">
        <f t="shared" si="36"/>
        <v>Kenwood - Sonoma</v>
      </c>
      <c r="D785" s="512">
        <f t="shared" si="37"/>
        <v>4.0583333333333325E-2</v>
      </c>
      <c r="E785" s="261">
        <f t="shared" si="38"/>
        <v>1.133E-2</v>
      </c>
    </row>
    <row r="786" spans="1:5" ht="12.75" x14ac:dyDescent="0.2">
      <c r="A786" s="259" t="s">
        <v>1609</v>
      </c>
      <c r="B786" s="1" t="s">
        <v>895</v>
      </c>
      <c r="C786" s="1" t="str">
        <f t="shared" si="36"/>
        <v>Kerman - Fresno</v>
      </c>
      <c r="D786" s="512">
        <f t="shared" si="37"/>
        <v>8.0416666666666664E-2</v>
      </c>
      <c r="E786" s="261">
        <f t="shared" si="38"/>
        <v>1.2110000000000001E-2</v>
      </c>
    </row>
    <row r="787" spans="1:5" ht="12.75" x14ac:dyDescent="0.2">
      <c r="A787" s="259" t="s">
        <v>1610</v>
      </c>
      <c r="B787" s="1" t="s">
        <v>884</v>
      </c>
      <c r="C787" s="1" t="str">
        <f t="shared" si="36"/>
        <v>Kernville - Kern</v>
      </c>
      <c r="D787" s="512">
        <f t="shared" si="37"/>
        <v>8.9333333333333334E-2</v>
      </c>
      <c r="E787" s="261">
        <f t="shared" si="38"/>
        <v>1.238E-2</v>
      </c>
    </row>
    <row r="788" spans="1:5" ht="12.75" x14ac:dyDescent="0.2">
      <c r="A788" s="259" t="s">
        <v>1611</v>
      </c>
      <c r="B788" s="1" t="s">
        <v>832</v>
      </c>
      <c r="C788" s="1" t="str">
        <f t="shared" si="36"/>
        <v>Keswick - Shasta</v>
      </c>
      <c r="D788" s="512">
        <f t="shared" si="37"/>
        <v>5.6416666666666657E-2</v>
      </c>
      <c r="E788" s="261">
        <f t="shared" si="38"/>
        <v>1.099E-2</v>
      </c>
    </row>
    <row r="789" spans="1:5" ht="12.75" x14ac:dyDescent="0.2">
      <c r="A789" s="259" t="s">
        <v>1612</v>
      </c>
      <c r="B789" s="1" t="s">
        <v>872</v>
      </c>
      <c r="C789" s="1" t="str">
        <f t="shared" si="36"/>
        <v>Kettleman City - Kings</v>
      </c>
      <c r="D789" s="512">
        <f t="shared" si="37"/>
        <v>8.7083333333333346E-2</v>
      </c>
      <c r="E789" s="261">
        <f t="shared" si="38"/>
        <v>1.0820000000000001E-2</v>
      </c>
    </row>
    <row r="790" spans="1:5" ht="12.75" x14ac:dyDescent="0.2">
      <c r="A790" s="259" t="s">
        <v>1613</v>
      </c>
      <c r="B790" s="1" t="s">
        <v>1124</v>
      </c>
      <c r="C790" s="1" t="str">
        <f t="shared" si="36"/>
        <v>Keyes - Stanislaus</v>
      </c>
      <c r="D790" s="512">
        <f t="shared" si="37"/>
        <v>6.9833333333333331E-2</v>
      </c>
      <c r="E790" s="261">
        <f t="shared" si="38"/>
        <v>1.1080000000000001E-2</v>
      </c>
    </row>
    <row r="791" spans="1:5" ht="12.75" x14ac:dyDescent="0.2">
      <c r="A791" s="259" t="s">
        <v>1614</v>
      </c>
      <c r="B791" s="1" t="s">
        <v>876</v>
      </c>
      <c r="C791" s="1" t="str">
        <f t="shared" si="36"/>
        <v>King City - Monterey</v>
      </c>
      <c r="D791" s="512">
        <f t="shared" si="37"/>
        <v>7.425000000000001E-2</v>
      </c>
      <c r="E791" s="261">
        <f t="shared" si="38"/>
        <v>1.098E-2</v>
      </c>
    </row>
    <row r="792" spans="1:5" ht="12.75" x14ac:dyDescent="0.2">
      <c r="A792" s="259" t="s">
        <v>1615</v>
      </c>
      <c r="B792" s="1" t="s">
        <v>803</v>
      </c>
      <c r="C792" s="1" t="str">
        <f t="shared" si="36"/>
        <v>Kings Beach - Placer</v>
      </c>
      <c r="D792" s="512">
        <f t="shared" si="37"/>
        <v>4.1833333333333347E-2</v>
      </c>
      <c r="E792" s="261">
        <f t="shared" si="38"/>
        <v>1.0880000000000001E-2</v>
      </c>
    </row>
    <row r="793" spans="1:5" ht="12.75" x14ac:dyDescent="0.2">
      <c r="A793" s="259" t="s">
        <v>1616</v>
      </c>
      <c r="B793" s="1" t="s">
        <v>798</v>
      </c>
      <c r="C793" s="1" t="str">
        <f t="shared" si="36"/>
        <v>Kings Canyon National Park - Tulare</v>
      </c>
      <c r="D793" s="512">
        <f t="shared" si="37"/>
        <v>0.10691666666666669</v>
      </c>
      <c r="E793" s="261">
        <f t="shared" si="38"/>
        <v>1.0869999999999999E-2</v>
      </c>
    </row>
    <row r="794" spans="1:5" ht="12.75" x14ac:dyDescent="0.2">
      <c r="A794" s="259" t="s">
        <v>1617</v>
      </c>
      <c r="B794" s="1" t="s">
        <v>895</v>
      </c>
      <c r="C794" s="1" t="str">
        <f t="shared" si="36"/>
        <v>Kingsburg - Fresno</v>
      </c>
      <c r="D794" s="512">
        <f t="shared" si="37"/>
        <v>8.0416666666666664E-2</v>
      </c>
      <c r="E794" s="261">
        <f t="shared" si="38"/>
        <v>1.2110000000000001E-2</v>
      </c>
    </row>
    <row r="795" spans="1:5" ht="12.75" x14ac:dyDescent="0.2">
      <c r="A795" s="259" t="s">
        <v>1618</v>
      </c>
      <c r="B795" s="1" t="s">
        <v>1053</v>
      </c>
      <c r="C795" s="1" t="str">
        <f t="shared" si="36"/>
        <v>Kinyon - Siskiyou</v>
      </c>
      <c r="D795" s="512">
        <f t="shared" si="37"/>
        <v>6.883333333333333E-2</v>
      </c>
      <c r="E795" s="261">
        <f t="shared" si="38"/>
        <v>1.0460000000000001E-2</v>
      </c>
    </row>
    <row r="796" spans="1:5" ht="12.75" x14ac:dyDescent="0.2">
      <c r="A796" s="259" t="s">
        <v>1619</v>
      </c>
      <c r="B796" s="1" t="s">
        <v>800</v>
      </c>
      <c r="C796" s="1" t="str">
        <f t="shared" si="36"/>
        <v>Kirkwood - Alpine</v>
      </c>
      <c r="D796" s="512">
        <f t="shared" si="37"/>
        <v>6.8916666666666654E-2</v>
      </c>
      <c r="E796" s="261">
        <f t="shared" si="38"/>
        <v>1.03E-2</v>
      </c>
    </row>
    <row r="797" spans="1:5" ht="12.75" x14ac:dyDescent="0.2">
      <c r="A797" s="259" t="s">
        <v>1620</v>
      </c>
      <c r="B797" s="1" t="s">
        <v>819</v>
      </c>
      <c r="C797" s="1" t="str">
        <f t="shared" si="36"/>
        <v>Kit Carson - Amador</v>
      </c>
      <c r="D797" s="512">
        <f t="shared" si="37"/>
        <v>5.3500000000000006E-2</v>
      </c>
      <c r="E797" s="261">
        <f t="shared" si="38"/>
        <v>1.014E-2</v>
      </c>
    </row>
    <row r="798" spans="1:5" ht="12.75" x14ac:dyDescent="0.2">
      <c r="A798" s="259" t="s">
        <v>1621</v>
      </c>
      <c r="B798" s="1" t="s">
        <v>1207</v>
      </c>
      <c r="C798" s="1" t="str">
        <f t="shared" si="36"/>
        <v>Klamath - Del Norte</v>
      </c>
      <c r="D798" s="512">
        <f t="shared" si="37"/>
        <v>6.0749999999999992E-2</v>
      </c>
      <c r="E798" s="261">
        <f t="shared" si="38"/>
        <v>1.035E-2</v>
      </c>
    </row>
    <row r="799" spans="1:5" ht="12.75" x14ac:dyDescent="0.2">
      <c r="A799" s="259" t="s">
        <v>1622</v>
      </c>
      <c r="B799" s="1" t="s">
        <v>1053</v>
      </c>
      <c r="C799" s="1" t="str">
        <f t="shared" si="36"/>
        <v>Klamath River - Siskiyou</v>
      </c>
      <c r="D799" s="512">
        <f t="shared" si="37"/>
        <v>6.883333333333333E-2</v>
      </c>
      <c r="E799" s="261">
        <f t="shared" si="38"/>
        <v>1.0460000000000001E-2</v>
      </c>
    </row>
    <row r="800" spans="1:5" ht="12.75" x14ac:dyDescent="0.2">
      <c r="A800" s="259" t="s">
        <v>1623</v>
      </c>
      <c r="B800" s="1" t="s">
        <v>777</v>
      </c>
      <c r="C800" s="1" t="str">
        <f t="shared" si="36"/>
        <v>Kneeland - Humboldt</v>
      </c>
      <c r="D800" s="512">
        <f t="shared" si="37"/>
        <v>5.1583333333333321E-2</v>
      </c>
      <c r="E800" s="261">
        <f t="shared" si="38"/>
        <v>1.115E-2</v>
      </c>
    </row>
    <row r="801" spans="1:5" ht="12.75" x14ac:dyDescent="0.2">
      <c r="A801" s="259" t="s">
        <v>1624</v>
      </c>
      <c r="B801" s="1" t="s">
        <v>1124</v>
      </c>
      <c r="C801" s="1" t="str">
        <f t="shared" si="36"/>
        <v>Knights Ferry - Stanislaus</v>
      </c>
      <c r="D801" s="512">
        <f t="shared" si="37"/>
        <v>6.9833333333333331E-2</v>
      </c>
      <c r="E801" s="261">
        <f t="shared" si="38"/>
        <v>1.1080000000000001E-2</v>
      </c>
    </row>
    <row r="802" spans="1:5" ht="12.75" x14ac:dyDescent="0.2">
      <c r="A802" s="259" t="s">
        <v>1625</v>
      </c>
      <c r="B802" s="1" t="s">
        <v>1018</v>
      </c>
      <c r="C802" s="1" t="str">
        <f t="shared" si="36"/>
        <v>Knights Landing - Yolo</v>
      </c>
      <c r="D802" s="512">
        <f t="shared" si="37"/>
        <v>5.2666666666666667E-2</v>
      </c>
      <c r="E802" s="261">
        <f t="shared" si="38"/>
        <v>1.11E-2</v>
      </c>
    </row>
    <row r="803" spans="1:5" ht="12.75" x14ac:dyDescent="0.2">
      <c r="A803" s="259" t="s">
        <v>1626</v>
      </c>
      <c r="B803" s="1" t="s">
        <v>767</v>
      </c>
      <c r="C803" s="1" t="str">
        <f t="shared" si="36"/>
        <v>Knightsen - Contra Costa</v>
      </c>
      <c r="D803" s="512">
        <f t="shared" si="37"/>
        <v>4.7250000000000007E-2</v>
      </c>
      <c r="E803" s="261">
        <f t="shared" si="38"/>
        <v>1.163E-2</v>
      </c>
    </row>
    <row r="804" spans="1:5" ht="12.75" x14ac:dyDescent="0.2">
      <c r="A804" s="259" t="s">
        <v>1627</v>
      </c>
      <c r="B804" s="1" t="s">
        <v>777</v>
      </c>
      <c r="C804" s="1" t="str">
        <f t="shared" si="36"/>
        <v>Korbel - Humboldt</v>
      </c>
      <c r="D804" s="512">
        <f t="shared" si="37"/>
        <v>5.1583333333333321E-2</v>
      </c>
      <c r="E804" s="261">
        <f t="shared" si="38"/>
        <v>1.115E-2</v>
      </c>
    </row>
    <row r="805" spans="1:5" ht="12.75" x14ac:dyDescent="0.2">
      <c r="A805" s="259" t="s">
        <v>1627</v>
      </c>
      <c r="B805" s="1" t="s">
        <v>748</v>
      </c>
      <c r="C805" s="1" t="str">
        <f t="shared" si="36"/>
        <v>Korbel - Sonoma</v>
      </c>
      <c r="D805" s="512">
        <f t="shared" si="37"/>
        <v>4.0583333333333325E-2</v>
      </c>
      <c r="E805" s="261">
        <f t="shared" si="38"/>
        <v>1.133E-2</v>
      </c>
    </row>
    <row r="806" spans="1:5" ht="12.75" x14ac:dyDescent="0.2">
      <c r="A806" s="259" t="s">
        <v>1628</v>
      </c>
      <c r="B806" s="1" t="s">
        <v>762</v>
      </c>
      <c r="C806" s="1" t="str">
        <f t="shared" si="36"/>
        <v>Kyburz - El Dorado</v>
      </c>
      <c r="D806" s="512">
        <f t="shared" si="37"/>
        <v>4.466666666666666E-2</v>
      </c>
      <c r="E806" s="261">
        <f t="shared" si="38"/>
        <v>1.0660000000000001E-2</v>
      </c>
    </row>
    <row r="807" spans="1:5" ht="12.75" x14ac:dyDescent="0.2">
      <c r="A807" s="259" t="s">
        <v>1629</v>
      </c>
      <c r="B807" s="1" t="s">
        <v>732</v>
      </c>
      <c r="C807" s="1" t="str">
        <f t="shared" si="36"/>
        <v>L.A. Airport  - Los Angeles</v>
      </c>
      <c r="D807" s="512">
        <f t="shared" si="37"/>
        <v>5.4833333333333331E-2</v>
      </c>
      <c r="E807" s="261">
        <f t="shared" si="38"/>
        <v>1.1599999999999999E-2</v>
      </c>
    </row>
    <row r="808" spans="1:5" ht="12.75" x14ac:dyDescent="0.2">
      <c r="A808" s="259" t="s">
        <v>1630</v>
      </c>
      <c r="B808" s="1" t="s">
        <v>732</v>
      </c>
      <c r="C808" s="1" t="str">
        <f t="shared" si="36"/>
        <v>La Canada- Flintridge - Los Angeles</v>
      </c>
      <c r="D808" s="512">
        <f t="shared" si="37"/>
        <v>5.4833333333333331E-2</v>
      </c>
      <c r="E808" s="261">
        <f t="shared" si="38"/>
        <v>1.1599999999999999E-2</v>
      </c>
    </row>
    <row r="809" spans="1:5" ht="12.75" x14ac:dyDescent="0.2">
      <c r="A809" s="259" t="s">
        <v>1631</v>
      </c>
      <c r="B809" s="1" t="s">
        <v>732</v>
      </c>
      <c r="C809" s="1" t="str">
        <f t="shared" si="36"/>
        <v>La Crescenta - Los Angeles</v>
      </c>
      <c r="D809" s="512">
        <f t="shared" si="37"/>
        <v>5.4833333333333331E-2</v>
      </c>
      <c r="E809" s="261">
        <f t="shared" si="38"/>
        <v>1.1599999999999999E-2</v>
      </c>
    </row>
    <row r="810" spans="1:5" ht="12.75" x14ac:dyDescent="0.2">
      <c r="A810" s="259" t="s">
        <v>1632</v>
      </c>
      <c r="B810" s="1" t="s">
        <v>884</v>
      </c>
      <c r="C810" s="1" t="str">
        <f t="shared" si="36"/>
        <v>La Cresta Village - Kern</v>
      </c>
      <c r="D810" s="512">
        <f t="shared" si="37"/>
        <v>8.9333333333333334E-2</v>
      </c>
      <c r="E810" s="261">
        <f t="shared" si="38"/>
        <v>1.238E-2</v>
      </c>
    </row>
    <row r="811" spans="1:5" ht="12.75" x14ac:dyDescent="0.2">
      <c r="A811" s="259" t="s">
        <v>1633</v>
      </c>
      <c r="B811" s="1" t="s">
        <v>1124</v>
      </c>
      <c r="C811" s="1" t="str">
        <f t="shared" si="36"/>
        <v>La Grange - Stanislaus</v>
      </c>
      <c r="D811" s="512">
        <f t="shared" si="37"/>
        <v>6.9833333333333331E-2</v>
      </c>
      <c r="E811" s="261">
        <f t="shared" si="38"/>
        <v>1.1080000000000001E-2</v>
      </c>
    </row>
    <row r="812" spans="1:5" ht="12.75" x14ac:dyDescent="0.2">
      <c r="A812" s="259" t="s">
        <v>1634</v>
      </c>
      <c r="B812" s="1" t="s">
        <v>782</v>
      </c>
      <c r="C812" s="1" t="str">
        <f t="shared" si="36"/>
        <v>La Habra - Orange</v>
      </c>
      <c r="D812" s="512">
        <f t="shared" si="37"/>
        <v>3.9749999999999994E-2</v>
      </c>
      <c r="E812" s="261">
        <f t="shared" si="38"/>
        <v>1.0660000000000001E-2</v>
      </c>
    </row>
    <row r="813" spans="1:5" ht="12.75" x14ac:dyDescent="0.2">
      <c r="A813" s="259" t="s">
        <v>1635</v>
      </c>
      <c r="B813" s="1" t="s">
        <v>732</v>
      </c>
      <c r="C813" s="1" t="str">
        <f t="shared" si="36"/>
        <v>La Habra Heights - Los Angeles</v>
      </c>
      <c r="D813" s="512">
        <f t="shared" si="37"/>
        <v>5.4833333333333331E-2</v>
      </c>
      <c r="E813" s="261">
        <f t="shared" si="38"/>
        <v>1.1599999999999999E-2</v>
      </c>
    </row>
    <row r="814" spans="1:5" ht="12.75" x14ac:dyDescent="0.2">
      <c r="A814" s="259" t="s">
        <v>1636</v>
      </c>
      <c r="B814" s="1" t="s">
        <v>890</v>
      </c>
      <c r="C814" s="1" t="str">
        <f t="shared" si="36"/>
        <v>La Honda - San Mateo</v>
      </c>
      <c r="D814" s="512">
        <f t="shared" si="37"/>
        <v>3.5000000000000003E-2</v>
      </c>
      <c r="E814" s="261">
        <f t="shared" si="38"/>
        <v>1.1089999999999999E-2</v>
      </c>
    </row>
    <row r="815" spans="1:5" ht="12.75" x14ac:dyDescent="0.2">
      <c r="A815" s="259" t="s">
        <v>1637</v>
      </c>
      <c r="B815" s="1" t="s">
        <v>751</v>
      </c>
      <c r="C815" s="1" t="str">
        <f t="shared" si="36"/>
        <v>La Jolla  - San Diego</v>
      </c>
      <c r="D815" s="512">
        <f t="shared" si="37"/>
        <v>4.4750000000000005E-2</v>
      </c>
      <c r="E815" s="261">
        <f t="shared" si="38"/>
        <v>1.167E-2</v>
      </c>
    </row>
    <row r="816" spans="1:5" ht="12.75" x14ac:dyDescent="0.2">
      <c r="A816" s="259" t="s">
        <v>1638</v>
      </c>
      <c r="B816" s="1" t="s">
        <v>751</v>
      </c>
      <c r="C816" s="1" t="str">
        <f t="shared" si="36"/>
        <v>La Mesa - San Diego</v>
      </c>
      <c r="D816" s="512">
        <f t="shared" si="37"/>
        <v>4.4750000000000005E-2</v>
      </c>
      <c r="E816" s="261">
        <f t="shared" si="38"/>
        <v>1.167E-2</v>
      </c>
    </row>
    <row r="817" spans="1:5" ht="12.75" x14ac:dyDescent="0.2">
      <c r="A817" s="259" t="s">
        <v>1639</v>
      </c>
      <c r="B817" s="1" t="s">
        <v>732</v>
      </c>
      <c r="C817" s="1" t="str">
        <f t="shared" si="36"/>
        <v>La Mirada - Los Angeles</v>
      </c>
      <c r="D817" s="512">
        <f t="shared" si="37"/>
        <v>5.4833333333333331E-2</v>
      </c>
      <c r="E817" s="261">
        <f t="shared" si="38"/>
        <v>1.1599999999999999E-2</v>
      </c>
    </row>
    <row r="818" spans="1:5" ht="12.75" x14ac:dyDescent="0.2">
      <c r="A818" s="259" t="s">
        <v>1640</v>
      </c>
      <c r="B818" s="1" t="s">
        <v>782</v>
      </c>
      <c r="C818" s="1" t="str">
        <f t="shared" si="36"/>
        <v>La Palma - Orange</v>
      </c>
      <c r="D818" s="512">
        <f t="shared" si="37"/>
        <v>3.9749999999999994E-2</v>
      </c>
      <c r="E818" s="261">
        <f t="shared" si="38"/>
        <v>1.0660000000000001E-2</v>
      </c>
    </row>
    <row r="819" spans="1:5" ht="12.75" x14ac:dyDescent="0.2">
      <c r="A819" s="259" t="s">
        <v>1641</v>
      </c>
      <c r="B819" s="1" t="s">
        <v>791</v>
      </c>
      <c r="C819" s="1" t="str">
        <f t="shared" si="36"/>
        <v>La Porte - Plumas</v>
      </c>
      <c r="D819" s="512">
        <f t="shared" si="37"/>
        <v>7.7250000000000013E-2</v>
      </c>
      <c r="E819" s="261">
        <f t="shared" si="38"/>
        <v>1.099E-2</v>
      </c>
    </row>
    <row r="820" spans="1:5" ht="12.75" x14ac:dyDescent="0.2">
      <c r="A820" s="259" t="s">
        <v>1642</v>
      </c>
      <c r="B820" s="1" t="s">
        <v>732</v>
      </c>
      <c r="C820" s="1" t="str">
        <f t="shared" si="36"/>
        <v>La Puente - Los Angeles</v>
      </c>
      <c r="D820" s="512">
        <f t="shared" si="37"/>
        <v>5.4833333333333331E-2</v>
      </c>
      <c r="E820" s="261">
        <f t="shared" si="38"/>
        <v>1.1599999999999999E-2</v>
      </c>
    </row>
    <row r="821" spans="1:5" ht="12.75" x14ac:dyDescent="0.2">
      <c r="A821" s="259" t="s">
        <v>1643</v>
      </c>
      <c r="B821" s="1" t="s">
        <v>756</v>
      </c>
      <c r="C821" s="1" t="str">
        <f t="shared" si="36"/>
        <v>La Quinta - Riverside</v>
      </c>
      <c r="D821" s="512">
        <f t="shared" si="37"/>
        <v>5.3749999999999999E-2</v>
      </c>
      <c r="E821" s="261">
        <f t="shared" si="38"/>
        <v>1.1859999999999999E-2</v>
      </c>
    </row>
    <row r="822" spans="1:5" ht="12.75" x14ac:dyDescent="0.2">
      <c r="A822" s="259" t="s">
        <v>1644</v>
      </c>
      <c r="B822" s="1" t="s">
        <v>856</v>
      </c>
      <c r="C822" s="1" t="str">
        <f t="shared" si="36"/>
        <v>La Selva Beach - Santa Cruz</v>
      </c>
      <c r="D822" s="512">
        <f t="shared" si="37"/>
        <v>6.2416666666666669E-2</v>
      </c>
      <c r="E822" s="261">
        <f t="shared" si="38"/>
        <v>1.106E-2</v>
      </c>
    </row>
    <row r="823" spans="1:5" ht="12.75" x14ac:dyDescent="0.2">
      <c r="A823" s="259" t="s">
        <v>1645</v>
      </c>
      <c r="B823" s="1" t="s">
        <v>732</v>
      </c>
      <c r="C823" s="1" t="str">
        <f t="shared" si="36"/>
        <v>La Verne - Los Angeles</v>
      </c>
      <c r="D823" s="512">
        <f t="shared" si="37"/>
        <v>5.4833333333333331E-2</v>
      </c>
      <c r="E823" s="261">
        <f t="shared" si="38"/>
        <v>1.1599999999999999E-2</v>
      </c>
    </row>
    <row r="824" spans="1:5" ht="12.75" x14ac:dyDescent="0.2">
      <c r="A824" s="259" t="s">
        <v>1646</v>
      </c>
      <c r="B824" s="1" t="s">
        <v>732</v>
      </c>
      <c r="C824" s="1" t="str">
        <f t="shared" si="36"/>
        <v>La Vina - Los Angeles</v>
      </c>
      <c r="D824" s="512">
        <f t="shared" si="37"/>
        <v>5.4833333333333331E-2</v>
      </c>
      <c r="E824" s="261">
        <f t="shared" si="38"/>
        <v>1.1599999999999999E-2</v>
      </c>
    </row>
    <row r="825" spans="1:5" ht="12.75" x14ac:dyDescent="0.2">
      <c r="A825" s="259" t="s">
        <v>1647</v>
      </c>
      <c r="B825" s="1" t="s">
        <v>890</v>
      </c>
      <c r="C825" s="1" t="str">
        <f t="shared" si="36"/>
        <v>Ladera - San Mateo</v>
      </c>
      <c r="D825" s="512">
        <f t="shared" si="37"/>
        <v>3.5000000000000003E-2</v>
      </c>
      <c r="E825" s="261">
        <f t="shared" si="38"/>
        <v>1.1089999999999999E-2</v>
      </c>
    </row>
    <row r="826" spans="1:5" ht="12.75" x14ac:dyDescent="0.2">
      <c r="A826" s="259" t="s">
        <v>1648</v>
      </c>
      <c r="B826" s="1" t="s">
        <v>732</v>
      </c>
      <c r="C826" s="1" t="str">
        <f t="shared" si="36"/>
        <v>Ladera Heights - Los Angeles</v>
      </c>
      <c r="D826" s="512">
        <f t="shared" si="37"/>
        <v>5.4833333333333331E-2</v>
      </c>
      <c r="E826" s="261">
        <f t="shared" si="38"/>
        <v>1.1599999999999999E-2</v>
      </c>
    </row>
    <row r="827" spans="1:5" ht="12.75" x14ac:dyDescent="0.2">
      <c r="A827" s="259" t="s">
        <v>1649</v>
      </c>
      <c r="B827" s="1" t="s">
        <v>782</v>
      </c>
      <c r="C827" s="1" t="str">
        <f t="shared" si="36"/>
        <v>Ladera Ranch - Orange</v>
      </c>
      <c r="D827" s="512">
        <f t="shared" si="37"/>
        <v>3.9749999999999994E-2</v>
      </c>
      <c r="E827" s="261">
        <f t="shared" si="38"/>
        <v>1.0660000000000001E-2</v>
      </c>
    </row>
    <row r="828" spans="1:5" ht="12.75" x14ac:dyDescent="0.2">
      <c r="A828" s="259" t="s">
        <v>1650</v>
      </c>
      <c r="B828" s="1" t="s">
        <v>767</v>
      </c>
      <c r="C828" s="1" t="str">
        <f t="shared" si="36"/>
        <v>Lafayette - Contra Costa</v>
      </c>
      <c r="D828" s="512">
        <f t="shared" si="37"/>
        <v>4.7250000000000007E-2</v>
      </c>
      <c r="E828" s="261">
        <f t="shared" si="38"/>
        <v>1.163E-2</v>
      </c>
    </row>
    <row r="829" spans="1:5" ht="12.75" x14ac:dyDescent="0.2">
      <c r="A829" s="259" t="s">
        <v>1651</v>
      </c>
      <c r="B829" s="1" t="s">
        <v>782</v>
      </c>
      <c r="C829" s="1" t="str">
        <f t="shared" si="36"/>
        <v>Laguna Beach - Orange</v>
      </c>
      <c r="D829" s="512">
        <f t="shared" si="37"/>
        <v>3.9749999999999994E-2</v>
      </c>
      <c r="E829" s="261">
        <f t="shared" si="38"/>
        <v>1.0660000000000001E-2</v>
      </c>
    </row>
    <row r="830" spans="1:5" ht="12.75" x14ac:dyDescent="0.2">
      <c r="A830" s="259" t="s">
        <v>1652</v>
      </c>
      <c r="B830" s="1" t="s">
        <v>782</v>
      </c>
      <c r="C830" s="1" t="str">
        <f t="shared" si="36"/>
        <v>Laguna Hills - Orange</v>
      </c>
      <c r="D830" s="512">
        <f t="shared" si="37"/>
        <v>3.9749999999999994E-2</v>
      </c>
      <c r="E830" s="261">
        <f t="shared" si="38"/>
        <v>1.0660000000000001E-2</v>
      </c>
    </row>
    <row r="831" spans="1:5" ht="12.75" x14ac:dyDescent="0.2">
      <c r="A831" s="259" t="s">
        <v>1653</v>
      </c>
      <c r="B831" s="1" t="s">
        <v>782</v>
      </c>
      <c r="C831" s="1" t="str">
        <f t="shared" si="36"/>
        <v>Laguna Niguel - Orange</v>
      </c>
      <c r="D831" s="512">
        <f t="shared" si="37"/>
        <v>3.9749999999999994E-2</v>
      </c>
      <c r="E831" s="261">
        <f t="shared" si="38"/>
        <v>1.0660000000000001E-2</v>
      </c>
    </row>
    <row r="832" spans="1:5" ht="12.75" x14ac:dyDescent="0.2">
      <c r="A832" s="259" t="s">
        <v>1654</v>
      </c>
      <c r="B832" s="1" t="s">
        <v>782</v>
      </c>
      <c r="C832" s="1" t="str">
        <f t="shared" si="36"/>
        <v>Laguna Woods - Orange</v>
      </c>
      <c r="D832" s="512">
        <f t="shared" si="37"/>
        <v>3.9749999999999994E-2</v>
      </c>
      <c r="E832" s="261">
        <f t="shared" si="38"/>
        <v>1.0660000000000001E-2</v>
      </c>
    </row>
    <row r="833" spans="1:5" ht="12.75" x14ac:dyDescent="0.2">
      <c r="A833" s="259" t="s">
        <v>1655</v>
      </c>
      <c r="B833" s="1" t="s">
        <v>946</v>
      </c>
      <c r="C833" s="1" t="str">
        <f t="shared" si="36"/>
        <v>Lagunitas - Marin</v>
      </c>
      <c r="D833" s="512">
        <f t="shared" si="37"/>
        <v>3.7749999999999999E-2</v>
      </c>
      <c r="E833" s="261">
        <f t="shared" si="38"/>
        <v>1.1299999999999999E-2</v>
      </c>
    </row>
    <row r="834" spans="1:5" ht="12.75" x14ac:dyDescent="0.2">
      <c r="A834" s="259" t="s">
        <v>1656</v>
      </c>
      <c r="B834" s="1" t="s">
        <v>800</v>
      </c>
      <c r="C834" s="1" t="str">
        <f t="shared" si="36"/>
        <v>Lake Alpine - Alpine</v>
      </c>
      <c r="D834" s="512">
        <f t="shared" si="37"/>
        <v>6.8916666666666654E-2</v>
      </c>
      <c r="E834" s="261">
        <f t="shared" si="38"/>
        <v>1.03E-2</v>
      </c>
    </row>
    <row r="835" spans="1:5" ht="12.75" x14ac:dyDescent="0.2">
      <c r="A835" s="259" t="s">
        <v>1657</v>
      </c>
      <c r="B835" s="1" t="s">
        <v>738</v>
      </c>
      <c r="C835" s="1" t="str">
        <f t="shared" si="36"/>
        <v>Lake Arrowhead - San Bernardino</v>
      </c>
      <c r="D835" s="512">
        <f t="shared" si="37"/>
        <v>5.1583333333333342E-2</v>
      </c>
      <c r="E835" s="261">
        <f t="shared" si="38"/>
        <v>1.1379999999999999E-2</v>
      </c>
    </row>
    <row r="836" spans="1:5" ht="12.75" x14ac:dyDescent="0.2">
      <c r="A836" s="259" t="s">
        <v>1658</v>
      </c>
      <c r="B836" s="1" t="s">
        <v>741</v>
      </c>
      <c r="C836" s="1" t="str">
        <f t="shared" si="36"/>
        <v>Lake City - Modoc</v>
      </c>
      <c r="D836" s="512">
        <f t="shared" si="37"/>
        <v>6.8499999999999991E-2</v>
      </c>
      <c r="E836" s="261">
        <f t="shared" si="38"/>
        <v>0.01</v>
      </c>
    </row>
    <row r="837" spans="1:5" ht="12.75" x14ac:dyDescent="0.2">
      <c r="A837" s="259" t="s">
        <v>1658</v>
      </c>
      <c r="B837" s="1" t="s">
        <v>1118</v>
      </c>
      <c r="C837" s="1" t="str">
        <f t="shared" si="36"/>
        <v>Lake City - Nevada</v>
      </c>
      <c r="D837" s="512">
        <f t="shared" si="37"/>
        <v>4.3166666666666673E-2</v>
      </c>
      <c r="E837" s="261">
        <f t="shared" si="38"/>
        <v>1.0620000000000001E-2</v>
      </c>
    </row>
    <row r="838" spans="1:5" ht="12.75" x14ac:dyDescent="0.2">
      <c r="A838" s="259" t="s">
        <v>1659</v>
      </c>
      <c r="B838" s="1" t="s">
        <v>756</v>
      </c>
      <c r="C838" s="1" t="str">
        <f t="shared" si="36"/>
        <v>Lake Elsinore - Riverside</v>
      </c>
      <c r="D838" s="512">
        <f t="shared" si="37"/>
        <v>5.3749999999999999E-2</v>
      </c>
      <c r="E838" s="261">
        <f t="shared" si="38"/>
        <v>1.1859999999999999E-2</v>
      </c>
    </row>
    <row r="839" spans="1:5" ht="12.75" x14ac:dyDescent="0.2">
      <c r="A839" s="259" t="s">
        <v>1660</v>
      </c>
      <c r="B839" s="1" t="s">
        <v>782</v>
      </c>
      <c r="C839" s="1" t="str">
        <f t="shared" si="36"/>
        <v>Lake Forest - Orange</v>
      </c>
      <c r="D839" s="512">
        <f t="shared" si="37"/>
        <v>3.9749999999999994E-2</v>
      </c>
      <c r="E839" s="261">
        <f t="shared" si="38"/>
        <v>1.0660000000000001E-2</v>
      </c>
    </row>
    <row r="840" spans="1:5" ht="12.75" x14ac:dyDescent="0.2">
      <c r="A840" s="259" t="s">
        <v>1661</v>
      </c>
      <c r="B840" s="1" t="s">
        <v>732</v>
      </c>
      <c r="C840" s="1" t="str">
        <f t="shared" ref="C840:C903" si="39">A840&amp;" - "&amp;B840</f>
        <v>Lake Hughes - Los Angeles</v>
      </c>
      <c r="D840" s="512">
        <f t="shared" si="37"/>
        <v>5.4833333333333331E-2</v>
      </c>
      <c r="E840" s="261">
        <f t="shared" si="38"/>
        <v>1.1599999999999999E-2</v>
      </c>
    </row>
    <row r="841" spans="1:5" ht="12.75" x14ac:dyDescent="0.2">
      <c r="A841" s="259" t="s">
        <v>1662</v>
      </c>
      <c r="B841" s="1" t="s">
        <v>884</v>
      </c>
      <c r="C841" s="1" t="str">
        <f t="shared" si="39"/>
        <v>Lake Isabella - Kern</v>
      </c>
      <c r="D841" s="512">
        <f t="shared" ref="D841:D904" si="40">VLOOKUP(B841,unemployment_rates,2, FALSE)</f>
        <v>8.9333333333333334E-2</v>
      </c>
      <c r="E841" s="261">
        <f t="shared" ref="E841:E904" si="41">VLOOKUP(B841,Prop_Tax_Rates,2,FALSE)</f>
        <v>1.238E-2</v>
      </c>
    </row>
    <row r="842" spans="1:5" ht="12.75" x14ac:dyDescent="0.2">
      <c r="A842" s="259" t="s">
        <v>1663</v>
      </c>
      <c r="B842" s="1" t="s">
        <v>732</v>
      </c>
      <c r="C842" s="1" t="str">
        <f t="shared" si="39"/>
        <v>Lake Los Angeles - Los Angeles</v>
      </c>
      <c r="D842" s="512">
        <f t="shared" si="40"/>
        <v>5.4833333333333331E-2</v>
      </c>
      <c r="E842" s="261">
        <f t="shared" si="41"/>
        <v>1.1599999999999999E-2</v>
      </c>
    </row>
    <row r="843" spans="1:5" ht="12.75" x14ac:dyDescent="0.2">
      <c r="A843" s="259" t="s">
        <v>1664</v>
      </c>
      <c r="B843" s="1" t="s">
        <v>951</v>
      </c>
      <c r="C843" s="1" t="str">
        <f t="shared" si="39"/>
        <v>Lake Mary - Mono</v>
      </c>
      <c r="D843" s="512">
        <f t="shared" si="40"/>
        <v>4.0166666666666663E-2</v>
      </c>
      <c r="E843" s="261">
        <f t="shared" si="41"/>
        <v>1.154E-2</v>
      </c>
    </row>
    <row r="844" spans="1:5" ht="12.75" x14ac:dyDescent="0.2">
      <c r="A844" s="259" t="s">
        <v>1665</v>
      </c>
      <c r="B844" s="1" t="s">
        <v>751</v>
      </c>
      <c r="C844" s="1" t="str">
        <f t="shared" si="39"/>
        <v>Lake San Marcos - San Diego</v>
      </c>
      <c r="D844" s="512">
        <f t="shared" si="40"/>
        <v>4.4750000000000005E-2</v>
      </c>
      <c r="E844" s="261">
        <f t="shared" si="41"/>
        <v>1.167E-2</v>
      </c>
    </row>
    <row r="845" spans="1:5" ht="12.75" x14ac:dyDescent="0.2">
      <c r="A845" s="259" t="s">
        <v>1666</v>
      </c>
      <c r="B845" s="1" t="s">
        <v>1053</v>
      </c>
      <c r="C845" s="1" t="str">
        <f t="shared" si="39"/>
        <v>Lake Shastina - Siskiyou</v>
      </c>
      <c r="D845" s="512">
        <f t="shared" si="40"/>
        <v>6.883333333333333E-2</v>
      </c>
      <c r="E845" s="261">
        <f t="shared" si="41"/>
        <v>1.0460000000000001E-2</v>
      </c>
    </row>
    <row r="846" spans="1:5" ht="12.75" x14ac:dyDescent="0.2">
      <c r="A846" s="259" t="s">
        <v>1667</v>
      </c>
      <c r="B846" s="1" t="s">
        <v>1058</v>
      </c>
      <c r="C846" s="1" t="str">
        <f t="shared" si="39"/>
        <v>Lake Sherwood - Ventura</v>
      </c>
      <c r="D846" s="512">
        <f t="shared" si="40"/>
        <v>4.7250000000000007E-2</v>
      </c>
      <c r="E846" s="261">
        <f t="shared" si="41"/>
        <v>1.098E-2</v>
      </c>
    </row>
    <row r="847" spans="1:5" ht="12.75" x14ac:dyDescent="0.2">
      <c r="A847" s="259" t="s">
        <v>1668</v>
      </c>
      <c r="B847" s="1" t="s">
        <v>832</v>
      </c>
      <c r="C847" s="1" t="str">
        <f t="shared" si="39"/>
        <v>Lakehead - Shasta</v>
      </c>
      <c r="D847" s="512">
        <f t="shared" si="40"/>
        <v>5.6416666666666657E-2</v>
      </c>
      <c r="E847" s="261">
        <f t="shared" si="41"/>
        <v>1.099E-2</v>
      </c>
    </row>
    <row r="848" spans="1:5" ht="12.75" x14ac:dyDescent="0.2">
      <c r="A848" s="259" t="s">
        <v>1669</v>
      </c>
      <c r="B848" s="1" t="s">
        <v>1154</v>
      </c>
      <c r="C848" s="1" t="str">
        <f t="shared" si="39"/>
        <v>Lakeport - Lake</v>
      </c>
      <c r="D848" s="512">
        <f t="shared" si="40"/>
        <v>6.1750000000000006E-2</v>
      </c>
      <c r="E848" s="261">
        <f t="shared" si="41"/>
        <v>1.1160000000000002E-2</v>
      </c>
    </row>
    <row r="849" spans="1:5" ht="12.75" x14ac:dyDescent="0.2">
      <c r="A849" s="259" t="s">
        <v>1670</v>
      </c>
      <c r="B849" s="1" t="s">
        <v>895</v>
      </c>
      <c r="C849" s="1" t="str">
        <f t="shared" si="39"/>
        <v>Lakeshore - Fresno</v>
      </c>
      <c r="D849" s="512">
        <f t="shared" si="40"/>
        <v>8.0416666666666664E-2</v>
      </c>
      <c r="E849" s="261">
        <f t="shared" si="41"/>
        <v>1.2110000000000001E-2</v>
      </c>
    </row>
    <row r="850" spans="1:5" ht="12.75" x14ac:dyDescent="0.2">
      <c r="A850" s="259" t="s">
        <v>1671</v>
      </c>
      <c r="B850" s="1" t="s">
        <v>751</v>
      </c>
      <c r="C850" s="1" t="str">
        <f t="shared" si="39"/>
        <v>Lakeside - San Diego</v>
      </c>
      <c r="D850" s="512">
        <f t="shared" si="40"/>
        <v>4.4750000000000005E-2</v>
      </c>
      <c r="E850" s="261">
        <f t="shared" si="41"/>
        <v>1.167E-2</v>
      </c>
    </row>
    <row r="851" spans="1:5" ht="12.75" x14ac:dyDescent="0.2">
      <c r="A851" s="259" t="s">
        <v>1672</v>
      </c>
      <c r="B851" s="1" t="s">
        <v>756</v>
      </c>
      <c r="C851" s="1" t="str">
        <f t="shared" si="39"/>
        <v>Lakeview - Riverside</v>
      </c>
      <c r="D851" s="512">
        <f t="shared" si="40"/>
        <v>5.3749999999999999E-2</v>
      </c>
      <c r="E851" s="261">
        <f t="shared" si="41"/>
        <v>1.1859999999999999E-2</v>
      </c>
    </row>
    <row r="852" spans="1:5" ht="12.75" x14ac:dyDescent="0.2">
      <c r="A852" s="259" t="s">
        <v>1673</v>
      </c>
      <c r="B852" s="1" t="s">
        <v>732</v>
      </c>
      <c r="C852" s="1" t="str">
        <f t="shared" si="39"/>
        <v>Lakeview Terrace  - Los Angeles</v>
      </c>
      <c r="D852" s="512">
        <f t="shared" si="40"/>
        <v>5.4833333333333331E-2</v>
      </c>
      <c r="E852" s="261">
        <f t="shared" si="41"/>
        <v>1.1599999999999999E-2</v>
      </c>
    </row>
    <row r="853" spans="1:5" ht="12.75" x14ac:dyDescent="0.2">
      <c r="A853" s="259" t="s">
        <v>1674</v>
      </c>
      <c r="B853" s="1" t="s">
        <v>732</v>
      </c>
      <c r="C853" s="1" t="str">
        <f t="shared" si="39"/>
        <v>Lakewood - Los Angeles</v>
      </c>
      <c r="D853" s="512">
        <f t="shared" si="40"/>
        <v>5.4833333333333331E-2</v>
      </c>
      <c r="E853" s="261">
        <f t="shared" si="41"/>
        <v>1.1599999999999999E-2</v>
      </c>
    </row>
    <row r="854" spans="1:5" ht="12.75" x14ac:dyDescent="0.2">
      <c r="A854" s="259" t="s">
        <v>1675</v>
      </c>
      <c r="B854" s="1" t="s">
        <v>884</v>
      </c>
      <c r="C854" s="1" t="str">
        <f t="shared" si="39"/>
        <v>Lamont - Kern</v>
      </c>
      <c r="D854" s="512">
        <f t="shared" si="40"/>
        <v>8.9333333333333334E-2</v>
      </c>
      <c r="E854" s="261">
        <f t="shared" si="41"/>
        <v>1.238E-2</v>
      </c>
    </row>
    <row r="855" spans="1:5" ht="12.75" x14ac:dyDescent="0.2">
      <c r="A855" s="259" t="s">
        <v>1676</v>
      </c>
      <c r="B855" s="1" t="s">
        <v>732</v>
      </c>
      <c r="C855" s="1" t="str">
        <f t="shared" si="39"/>
        <v>Lancaster - Los Angeles</v>
      </c>
      <c r="D855" s="512">
        <f t="shared" si="40"/>
        <v>5.4833333333333331E-2</v>
      </c>
      <c r="E855" s="261">
        <f t="shared" si="41"/>
        <v>1.1599999999999999E-2</v>
      </c>
    </row>
    <row r="856" spans="1:5" ht="12.75" x14ac:dyDescent="0.2">
      <c r="A856" s="259" t="s">
        <v>1677</v>
      </c>
      <c r="B856" s="1" t="s">
        <v>738</v>
      </c>
      <c r="C856" s="1" t="str">
        <f t="shared" si="39"/>
        <v>Landers - San Bernardino</v>
      </c>
      <c r="D856" s="512">
        <f t="shared" si="40"/>
        <v>5.1583333333333342E-2</v>
      </c>
      <c r="E856" s="261">
        <f t="shared" si="41"/>
        <v>1.1379999999999999E-2</v>
      </c>
    </row>
    <row r="857" spans="1:5" ht="12.75" x14ac:dyDescent="0.2">
      <c r="A857" s="259" t="s">
        <v>1678</v>
      </c>
      <c r="B857" s="1" t="s">
        <v>764</v>
      </c>
      <c r="C857" s="1" t="str">
        <f t="shared" si="39"/>
        <v>Landscape - Alameda</v>
      </c>
      <c r="D857" s="512">
        <f t="shared" si="40"/>
        <v>4.7E-2</v>
      </c>
      <c r="E857" s="261">
        <f t="shared" si="41"/>
        <v>1.2430000000000002E-2</v>
      </c>
    </row>
    <row r="858" spans="1:5" ht="12.75" x14ac:dyDescent="0.2">
      <c r="A858" s="259" t="s">
        <v>1679</v>
      </c>
      <c r="B858" s="1" t="s">
        <v>732</v>
      </c>
      <c r="C858" s="1" t="str">
        <f t="shared" si="39"/>
        <v>Lang - Los Angeles</v>
      </c>
      <c r="D858" s="512">
        <f t="shared" si="40"/>
        <v>5.4833333333333331E-2</v>
      </c>
      <c r="E858" s="261">
        <f t="shared" si="41"/>
        <v>1.1599999999999999E-2</v>
      </c>
    </row>
    <row r="859" spans="1:5" ht="12.75" x14ac:dyDescent="0.2">
      <c r="A859" s="259" t="s">
        <v>1680</v>
      </c>
      <c r="B859" s="1" t="s">
        <v>748</v>
      </c>
      <c r="C859" s="1" t="str">
        <f t="shared" si="39"/>
        <v>Larkfield - Sonoma</v>
      </c>
      <c r="D859" s="512">
        <f t="shared" si="40"/>
        <v>4.0583333333333325E-2</v>
      </c>
      <c r="E859" s="261">
        <f t="shared" si="41"/>
        <v>1.133E-2</v>
      </c>
    </row>
    <row r="860" spans="1:5" ht="12.75" x14ac:dyDescent="0.2">
      <c r="A860" s="259" t="s">
        <v>1681</v>
      </c>
      <c r="B860" s="1" t="s">
        <v>946</v>
      </c>
      <c r="C860" s="1" t="str">
        <f t="shared" si="39"/>
        <v>Larkspur - Marin</v>
      </c>
      <c r="D860" s="512">
        <f t="shared" si="40"/>
        <v>3.7749999999999999E-2</v>
      </c>
      <c r="E860" s="261">
        <f t="shared" si="41"/>
        <v>1.1299999999999999E-2</v>
      </c>
    </row>
    <row r="861" spans="1:5" ht="12.75" x14ac:dyDescent="0.2">
      <c r="A861" s="259" t="s">
        <v>1682</v>
      </c>
      <c r="B861" s="1" t="s">
        <v>949</v>
      </c>
      <c r="C861" s="1" t="str">
        <f t="shared" si="39"/>
        <v>Larwin Plaza - Solano</v>
      </c>
      <c r="D861" s="512">
        <f t="shared" si="40"/>
        <v>5.1916666666666673E-2</v>
      </c>
      <c r="E861" s="261">
        <f t="shared" si="41"/>
        <v>1.18E-2</v>
      </c>
    </row>
    <row r="862" spans="1:5" ht="12.75" x14ac:dyDescent="0.2">
      <c r="A862" s="259" t="s">
        <v>1683</v>
      </c>
      <c r="B862" s="1" t="s">
        <v>729</v>
      </c>
      <c r="C862" s="1" t="str">
        <f t="shared" si="39"/>
        <v>Lathrop - San Joaquin</v>
      </c>
      <c r="D862" s="512">
        <f t="shared" si="40"/>
        <v>6.699999999999999E-2</v>
      </c>
      <c r="E862" s="261">
        <f t="shared" si="41"/>
        <v>1.1299999999999999E-2</v>
      </c>
    </row>
    <row r="863" spans="1:5" ht="12.75" x14ac:dyDescent="0.2">
      <c r="A863" s="259" t="s">
        <v>1684</v>
      </c>
      <c r="B863" s="1" t="s">
        <v>895</v>
      </c>
      <c r="C863" s="1" t="str">
        <f t="shared" si="39"/>
        <v>Laton - Fresno</v>
      </c>
      <c r="D863" s="512">
        <f t="shared" si="40"/>
        <v>8.0416666666666664E-2</v>
      </c>
      <c r="E863" s="261">
        <f t="shared" si="41"/>
        <v>1.2110000000000001E-2</v>
      </c>
    </row>
    <row r="864" spans="1:5" ht="12.75" x14ac:dyDescent="0.2">
      <c r="A864" s="259" t="s">
        <v>1685</v>
      </c>
      <c r="B864" s="1" t="s">
        <v>732</v>
      </c>
      <c r="C864" s="1" t="str">
        <f t="shared" si="39"/>
        <v>Lawndale - Los Angeles</v>
      </c>
      <c r="D864" s="512">
        <f t="shared" si="40"/>
        <v>5.4833333333333331E-2</v>
      </c>
      <c r="E864" s="261">
        <f t="shared" si="41"/>
        <v>1.1599999999999999E-2</v>
      </c>
    </row>
    <row r="865" spans="1:5" ht="12.75" x14ac:dyDescent="0.2">
      <c r="A865" s="259" t="s">
        <v>1686</v>
      </c>
      <c r="B865" s="1" t="s">
        <v>822</v>
      </c>
      <c r="C865" s="1" t="str">
        <f t="shared" si="39"/>
        <v>Laws - Inyo</v>
      </c>
      <c r="D865" s="512">
        <f t="shared" si="40"/>
        <v>3.9833333333333339E-2</v>
      </c>
      <c r="E865" s="261">
        <f t="shared" si="41"/>
        <v>1.065E-2</v>
      </c>
    </row>
    <row r="866" spans="1:5" ht="12.75" x14ac:dyDescent="0.2">
      <c r="A866" s="259" t="s">
        <v>1687</v>
      </c>
      <c r="B866" s="1" t="s">
        <v>774</v>
      </c>
      <c r="C866" s="1" t="str">
        <f t="shared" si="39"/>
        <v>Laytonville - Mendocino</v>
      </c>
      <c r="D866" s="512">
        <f t="shared" si="40"/>
        <v>5.1916666666666667E-2</v>
      </c>
      <c r="E866" s="261">
        <f t="shared" si="41"/>
        <v>1.1650000000000001E-2</v>
      </c>
    </row>
    <row r="867" spans="1:5" ht="12.75" x14ac:dyDescent="0.2">
      <c r="A867" s="259" t="s">
        <v>1688</v>
      </c>
      <c r="B867" s="1" t="s">
        <v>892</v>
      </c>
      <c r="C867" s="1" t="str">
        <f t="shared" si="39"/>
        <v>Le Grand  - Merced</v>
      </c>
      <c r="D867" s="512">
        <f t="shared" si="40"/>
        <v>9.6416666666666678E-2</v>
      </c>
      <c r="E867" s="261">
        <f t="shared" si="41"/>
        <v>1.0829999999999999E-2</v>
      </c>
    </row>
    <row r="868" spans="1:5" ht="12.75" x14ac:dyDescent="0.2">
      <c r="A868" s="259" t="s">
        <v>1689</v>
      </c>
      <c r="B868" s="1" t="s">
        <v>884</v>
      </c>
      <c r="C868" s="1" t="str">
        <f t="shared" si="39"/>
        <v>Lebec - Kern</v>
      </c>
      <c r="D868" s="512">
        <f t="shared" si="40"/>
        <v>8.9333333333333334E-2</v>
      </c>
      <c r="E868" s="261">
        <f t="shared" si="41"/>
        <v>1.238E-2</v>
      </c>
    </row>
    <row r="869" spans="1:5" ht="12.75" x14ac:dyDescent="0.2">
      <c r="A869" s="259" t="s">
        <v>1690</v>
      </c>
      <c r="B869" s="1" t="s">
        <v>951</v>
      </c>
      <c r="C869" s="1" t="str">
        <f t="shared" si="39"/>
        <v>Lee Vining - Mono</v>
      </c>
      <c r="D869" s="512">
        <f t="shared" si="40"/>
        <v>4.0166666666666663E-2</v>
      </c>
      <c r="E869" s="261">
        <f t="shared" si="41"/>
        <v>1.154E-2</v>
      </c>
    </row>
    <row r="870" spans="1:5" ht="12.75" x14ac:dyDescent="0.2">
      <c r="A870" s="259" t="s">
        <v>1691</v>
      </c>
      <c r="B870" s="1" t="s">
        <v>774</v>
      </c>
      <c r="C870" s="1" t="str">
        <f t="shared" si="39"/>
        <v>Leggett - Mendocino</v>
      </c>
      <c r="D870" s="512">
        <f t="shared" si="40"/>
        <v>5.1916666666666667E-2</v>
      </c>
      <c r="E870" s="261">
        <f t="shared" si="41"/>
        <v>1.1650000000000001E-2</v>
      </c>
    </row>
    <row r="871" spans="1:5" ht="12.75" x14ac:dyDescent="0.2">
      <c r="A871" s="259" t="s">
        <v>1692</v>
      </c>
      <c r="B871" s="1" t="s">
        <v>782</v>
      </c>
      <c r="C871" s="1" t="str">
        <f t="shared" si="39"/>
        <v>Leisure World  - Orange</v>
      </c>
      <c r="D871" s="512">
        <f t="shared" si="40"/>
        <v>3.9749999999999994E-2</v>
      </c>
      <c r="E871" s="261">
        <f t="shared" si="41"/>
        <v>1.0660000000000001E-2</v>
      </c>
    </row>
    <row r="872" spans="1:5" ht="12.75" x14ac:dyDescent="0.2">
      <c r="A872" s="259" t="s">
        <v>1693</v>
      </c>
      <c r="B872" s="1" t="s">
        <v>782</v>
      </c>
      <c r="C872" s="1" t="str">
        <f t="shared" si="39"/>
        <v>Leisure World - Orange</v>
      </c>
      <c r="D872" s="512">
        <f t="shared" si="40"/>
        <v>3.9749999999999994E-2</v>
      </c>
      <c r="E872" s="261">
        <f t="shared" si="41"/>
        <v>1.0660000000000001E-2</v>
      </c>
    </row>
    <row r="873" spans="1:5" ht="12.75" x14ac:dyDescent="0.2">
      <c r="A873" s="259" t="s">
        <v>1694</v>
      </c>
      <c r="B873" s="1" t="s">
        <v>751</v>
      </c>
      <c r="C873" s="1" t="str">
        <f t="shared" si="39"/>
        <v>Lemon Grove - San Diego</v>
      </c>
      <c r="D873" s="512">
        <f t="shared" si="40"/>
        <v>4.4750000000000005E-2</v>
      </c>
      <c r="E873" s="261">
        <f t="shared" si="41"/>
        <v>1.167E-2</v>
      </c>
    </row>
    <row r="874" spans="1:5" ht="12.75" x14ac:dyDescent="0.2">
      <c r="A874" s="259" t="s">
        <v>1695</v>
      </c>
      <c r="B874" s="1" t="s">
        <v>798</v>
      </c>
      <c r="C874" s="1" t="str">
        <f t="shared" si="39"/>
        <v>Lemoncove - Tulare</v>
      </c>
      <c r="D874" s="512">
        <f t="shared" si="40"/>
        <v>0.10691666666666669</v>
      </c>
      <c r="E874" s="261">
        <f t="shared" si="41"/>
        <v>1.0869999999999999E-2</v>
      </c>
    </row>
    <row r="875" spans="1:5" ht="12.75" x14ac:dyDescent="0.2">
      <c r="A875" s="259" t="s">
        <v>1696</v>
      </c>
      <c r="B875" s="1" t="s">
        <v>872</v>
      </c>
      <c r="C875" s="1" t="str">
        <f t="shared" si="39"/>
        <v>Lemoore - Kings</v>
      </c>
      <c r="D875" s="512">
        <f t="shared" si="40"/>
        <v>8.7083333333333346E-2</v>
      </c>
      <c r="E875" s="261">
        <f t="shared" si="41"/>
        <v>1.0820000000000001E-2</v>
      </c>
    </row>
    <row r="876" spans="1:5" ht="12.75" x14ac:dyDescent="0.2">
      <c r="A876" s="259" t="s">
        <v>1697</v>
      </c>
      <c r="B876" s="1" t="s">
        <v>732</v>
      </c>
      <c r="C876" s="1" t="str">
        <f t="shared" si="39"/>
        <v>Lennox - Los Angeles</v>
      </c>
      <c r="D876" s="512">
        <f t="shared" si="40"/>
        <v>5.4833333333333331E-2</v>
      </c>
      <c r="E876" s="261">
        <f t="shared" si="41"/>
        <v>1.1599999999999999E-2</v>
      </c>
    </row>
    <row r="877" spans="1:5" ht="12.75" x14ac:dyDescent="0.2">
      <c r="A877" s="259" t="s">
        <v>1698</v>
      </c>
      <c r="B877" s="1" t="s">
        <v>738</v>
      </c>
      <c r="C877" s="1" t="str">
        <f t="shared" si="39"/>
        <v>Lenwood - San Bernardino</v>
      </c>
      <c r="D877" s="512">
        <f t="shared" si="40"/>
        <v>5.1583333333333342E-2</v>
      </c>
      <c r="E877" s="261">
        <f t="shared" si="41"/>
        <v>1.1379999999999999E-2</v>
      </c>
    </row>
    <row r="878" spans="1:5" ht="12.75" x14ac:dyDescent="0.2">
      <c r="A878" s="259" t="s">
        <v>1699</v>
      </c>
      <c r="B878" s="1" t="s">
        <v>732</v>
      </c>
      <c r="C878" s="1" t="str">
        <f t="shared" si="39"/>
        <v>Leona Valley - Los Angeles</v>
      </c>
      <c r="D878" s="512">
        <f t="shared" si="40"/>
        <v>5.4833333333333331E-2</v>
      </c>
      <c r="E878" s="261">
        <f t="shared" si="41"/>
        <v>1.1599999999999999E-2</v>
      </c>
    </row>
    <row r="879" spans="1:5" ht="12.75" x14ac:dyDescent="0.2">
      <c r="A879" s="259" t="s">
        <v>1700</v>
      </c>
      <c r="B879" s="1" t="s">
        <v>751</v>
      </c>
      <c r="C879" s="1" t="str">
        <f t="shared" si="39"/>
        <v>Leucadia  - San Diego</v>
      </c>
      <c r="D879" s="512">
        <f t="shared" si="40"/>
        <v>4.4750000000000005E-2</v>
      </c>
      <c r="E879" s="261">
        <f t="shared" si="41"/>
        <v>1.167E-2</v>
      </c>
    </row>
    <row r="880" spans="1:5" ht="12.75" x14ac:dyDescent="0.2">
      <c r="A880" s="259" t="s">
        <v>1701</v>
      </c>
      <c r="B880" s="1" t="s">
        <v>961</v>
      </c>
      <c r="C880" s="1" t="str">
        <f t="shared" si="39"/>
        <v>Lewiston - Trinity</v>
      </c>
      <c r="D880" s="512">
        <f t="shared" si="40"/>
        <v>5.916666666666668E-2</v>
      </c>
      <c r="E880" s="261">
        <f t="shared" si="41"/>
        <v>1.043E-2</v>
      </c>
    </row>
    <row r="881" spans="1:5" ht="12.75" x14ac:dyDescent="0.2">
      <c r="A881" s="259" t="s">
        <v>1702</v>
      </c>
      <c r="B881" s="1" t="s">
        <v>949</v>
      </c>
      <c r="C881" s="1" t="str">
        <f t="shared" si="39"/>
        <v>Liberty Farms - Solano</v>
      </c>
      <c r="D881" s="512">
        <f t="shared" si="40"/>
        <v>5.1916666666666673E-2</v>
      </c>
      <c r="E881" s="261">
        <f t="shared" si="41"/>
        <v>1.18E-2</v>
      </c>
    </row>
    <row r="882" spans="1:5" ht="12.75" x14ac:dyDescent="0.2">
      <c r="A882" s="259" t="s">
        <v>1703</v>
      </c>
      <c r="B882" s="1" t="s">
        <v>741</v>
      </c>
      <c r="C882" s="1" t="str">
        <f t="shared" si="39"/>
        <v>Likely - Modoc</v>
      </c>
      <c r="D882" s="512">
        <f t="shared" si="40"/>
        <v>6.8499999999999991E-2</v>
      </c>
      <c r="E882" s="261">
        <f t="shared" si="41"/>
        <v>0.01</v>
      </c>
    </row>
    <row r="883" spans="1:5" ht="12.75" x14ac:dyDescent="0.2">
      <c r="A883" s="259" t="s">
        <v>1704</v>
      </c>
      <c r="B883" s="1" t="s">
        <v>803</v>
      </c>
      <c r="C883" s="1" t="str">
        <f t="shared" si="39"/>
        <v>Lincoln - Placer</v>
      </c>
      <c r="D883" s="512">
        <f t="shared" si="40"/>
        <v>4.1833333333333347E-2</v>
      </c>
      <c r="E883" s="261">
        <f t="shared" si="41"/>
        <v>1.0880000000000001E-2</v>
      </c>
    </row>
    <row r="884" spans="1:5" ht="12.75" x14ac:dyDescent="0.2">
      <c r="A884" s="259" t="s">
        <v>1705</v>
      </c>
      <c r="B884" s="1" t="s">
        <v>751</v>
      </c>
      <c r="C884" s="1" t="str">
        <f t="shared" si="39"/>
        <v>Lincoln Acres - San Diego</v>
      </c>
      <c r="D884" s="512">
        <f t="shared" si="40"/>
        <v>4.4750000000000005E-2</v>
      </c>
      <c r="E884" s="261">
        <f t="shared" si="41"/>
        <v>1.167E-2</v>
      </c>
    </row>
    <row r="885" spans="1:5" ht="12.75" x14ac:dyDescent="0.2">
      <c r="A885" s="259" t="s">
        <v>1706</v>
      </c>
      <c r="B885" s="1" t="s">
        <v>732</v>
      </c>
      <c r="C885" s="1" t="str">
        <f t="shared" si="39"/>
        <v>Lincoln Heights  - Los Angeles</v>
      </c>
      <c r="D885" s="512">
        <f t="shared" si="40"/>
        <v>5.4833333333333331E-2</v>
      </c>
      <c r="E885" s="261">
        <f t="shared" si="41"/>
        <v>1.1599999999999999E-2</v>
      </c>
    </row>
    <row r="886" spans="1:5" ht="12.75" x14ac:dyDescent="0.2">
      <c r="A886" s="259" t="s">
        <v>1707</v>
      </c>
      <c r="B886" s="1" t="s">
        <v>729</v>
      </c>
      <c r="C886" s="1" t="str">
        <f t="shared" si="39"/>
        <v>Lincoln Village - San Joaquin</v>
      </c>
      <c r="D886" s="512">
        <f t="shared" si="40"/>
        <v>6.699999999999999E-2</v>
      </c>
      <c r="E886" s="261">
        <f t="shared" si="41"/>
        <v>1.1299999999999999E-2</v>
      </c>
    </row>
    <row r="887" spans="1:5" ht="12.75" x14ac:dyDescent="0.2">
      <c r="A887" s="259" t="s">
        <v>1708</v>
      </c>
      <c r="B887" s="1" t="s">
        <v>932</v>
      </c>
      <c r="C887" s="1" t="str">
        <f t="shared" si="39"/>
        <v>Linda - Yuba</v>
      </c>
      <c r="D887" s="512">
        <f t="shared" si="40"/>
        <v>7.2416666666666657E-2</v>
      </c>
      <c r="E887" s="261">
        <f t="shared" si="41"/>
        <v>1.102E-2</v>
      </c>
    </row>
    <row r="888" spans="1:5" ht="12.75" x14ac:dyDescent="0.2">
      <c r="A888" s="259" t="s">
        <v>1709</v>
      </c>
      <c r="B888" s="1" t="s">
        <v>729</v>
      </c>
      <c r="C888" s="1" t="str">
        <f t="shared" si="39"/>
        <v>Linden - San Joaquin</v>
      </c>
      <c r="D888" s="512">
        <f t="shared" si="40"/>
        <v>6.699999999999999E-2</v>
      </c>
      <c r="E888" s="261">
        <f t="shared" si="41"/>
        <v>1.1299999999999999E-2</v>
      </c>
    </row>
    <row r="889" spans="1:5" ht="12.75" x14ac:dyDescent="0.2">
      <c r="A889" s="259" t="s">
        <v>1710</v>
      </c>
      <c r="B889" s="1" t="s">
        <v>798</v>
      </c>
      <c r="C889" s="1" t="str">
        <f t="shared" si="39"/>
        <v>Lindsay - Tulare</v>
      </c>
      <c r="D889" s="512">
        <f t="shared" si="40"/>
        <v>0.10691666666666669</v>
      </c>
      <c r="E889" s="261">
        <f t="shared" si="41"/>
        <v>1.0869999999999999E-2</v>
      </c>
    </row>
    <row r="890" spans="1:5" ht="12.75" x14ac:dyDescent="0.2">
      <c r="A890" s="259" t="s">
        <v>1711</v>
      </c>
      <c r="B890" s="1" t="s">
        <v>798</v>
      </c>
      <c r="C890" s="1" t="str">
        <f t="shared" si="39"/>
        <v>Linnell - Tulare</v>
      </c>
      <c r="D890" s="512">
        <f t="shared" si="40"/>
        <v>0.10691666666666669</v>
      </c>
      <c r="E890" s="261">
        <f t="shared" si="41"/>
        <v>1.0869999999999999E-2</v>
      </c>
    </row>
    <row r="891" spans="1:5" ht="12.75" x14ac:dyDescent="0.2">
      <c r="A891" s="259" t="s">
        <v>1712</v>
      </c>
      <c r="B891" s="1" t="s">
        <v>959</v>
      </c>
      <c r="C891" s="1" t="str">
        <f t="shared" si="39"/>
        <v>Litchfield - Lassen</v>
      </c>
      <c r="D891" s="512">
        <f t="shared" si="40"/>
        <v>5.8083333333333327E-2</v>
      </c>
      <c r="E891" s="261">
        <f t="shared" si="41"/>
        <v>1.018E-2</v>
      </c>
    </row>
    <row r="892" spans="1:5" ht="12.75" x14ac:dyDescent="0.2">
      <c r="A892" s="259" t="s">
        <v>1713</v>
      </c>
      <c r="B892" s="1" t="s">
        <v>822</v>
      </c>
      <c r="C892" s="1" t="str">
        <f t="shared" si="39"/>
        <v>Little Lake - Inyo</v>
      </c>
      <c r="D892" s="512">
        <f t="shared" si="40"/>
        <v>3.9833333333333339E-2</v>
      </c>
      <c r="E892" s="261">
        <f t="shared" si="41"/>
        <v>1.065E-2</v>
      </c>
    </row>
    <row r="893" spans="1:5" ht="12.75" x14ac:dyDescent="0.2">
      <c r="A893" s="259" t="s">
        <v>1714</v>
      </c>
      <c r="B893" s="1" t="s">
        <v>762</v>
      </c>
      <c r="C893" s="1" t="str">
        <f t="shared" si="39"/>
        <v>Little Norway - El Dorado</v>
      </c>
      <c r="D893" s="512">
        <f t="shared" si="40"/>
        <v>4.466666666666666E-2</v>
      </c>
      <c r="E893" s="261">
        <f t="shared" si="41"/>
        <v>1.0660000000000001E-2</v>
      </c>
    </row>
    <row r="894" spans="1:5" ht="12.75" x14ac:dyDescent="0.2">
      <c r="A894" s="259" t="s">
        <v>1715</v>
      </c>
      <c r="B894" s="1" t="s">
        <v>959</v>
      </c>
      <c r="C894" s="1" t="str">
        <f t="shared" si="39"/>
        <v>Little Valley - Lassen</v>
      </c>
      <c r="D894" s="512">
        <f t="shared" si="40"/>
        <v>5.8083333333333327E-2</v>
      </c>
      <c r="E894" s="261">
        <f t="shared" si="41"/>
        <v>1.018E-2</v>
      </c>
    </row>
    <row r="895" spans="1:5" ht="12.75" x14ac:dyDescent="0.2">
      <c r="A895" s="259" t="s">
        <v>1716</v>
      </c>
      <c r="B895" s="1" t="s">
        <v>774</v>
      </c>
      <c r="C895" s="1" t="str">
        <f t="shared" si="39"/>
        <v>Littleriver - Mendocino</v>
      </c>
      <c r="D895" s="512">
        <f t="shared" si="40"/>
        <v>5.1916666666666667E-2</v>
      </c>
      <c r="E895" s="261">
        <f t="shared" si="41"/>
        <v>1.1650000000000001E-2</v>
      </c>
    </row>
    <row r="896" spans="1:5" ht="12.75" x14ac:dyDescent="0.2">
      <c r="A896" s="259" t="s">
        <v>1717</v>
      </c>
      <c r="B896" s="1" t="s">
        <v>732</v>
      </c>
      <c r="C896" s="1" t="str">
        <f t="shared" si="39"/>
        <v>Littlerock  - Los Angeles</v>
      </c>
      <c r="D896" s="512">
        <f t="shared" si="40"/>
        <v>5.4833333333333331E-2</v>
      </c>
      <c r="E896" s="261">
        <f t="shared" si="41"/>
        <v>1.1599999999999999E-2</v>
      </c>
    </row>
    <row r="897" spans="1:5" ht="12.75" x14ac:dyDescent="0.2">
      <c r="A897" s="259" t="s">
        <v>1718</v>
      </c>
      <c r="B897" s="1" t="s">
        <v>1300</v>
      </c>
      <c r="C897" s="1" t="str">
        <f t="shared" si="39"/>
        <v>Live Oak - Sutter</v>
      </c>
      <c r="D897" s="512">
        <f t="shared" si="40"/>
        <v>8.2583333333333328E-2</v>
      </c>
      <c r="E897" s="261">
        <f t="shared" si="41"/>
        <v>1.099E-2</v>
      </c>
    </row>
    <row r="898" spans="1:5" ht="12.75" x14ac:dyDescent="0.2">
      <c r="A898" s="259" t="s">
        <v>1719</v>
      </c>
      <c r="B898" s="1" t="s">
        <v>764</v>
      </c>
      <c r="C898" s="1" t="str">
        <f t="shared" si="39"/>
        <v>Livermore - Alameda</v>
      </c>
      <c r="D898" s="512">
        <f t="shared" si="40"/>
        <v>4.7E-2</v>
      </c>
      <c r="E898" s="261">
        <f t="shared" si="41"/>
        <v>1.2430000000000002E-2</v>
      </c>
    </row>
    <row r="899" spans="1:5" ht="12.75" x14ac:dyDescent="0.2">
      <c r="A899" s="259" t="s">
        <v>1720</v>
      </c>
      <c r="B899" s="1" t="s">
        <v>892</v>
      </c>
      <c r="C899" s="1" t="str">
        <f t="shared" si="39"/>
        <v>Livingston - Merced</v>
      </c>
      <c r="D899" s="512">
        <f t="shared" si="40"/>
        <v>9.6416666666666678E-2</v>
      </c>
      <c r="E899" s="261">
        <f t="shared" si="41"/>
        <v>1.0829999999999999E-2</v>
      </c>
    </row>
    <row r="900" spans="1:5" ht="12.75" x14ac:dyDescent="0.2">
      <c r="A900" s="259" t="s">
        <v>1721</v>
      </c>
      <c r="B900" s="1" t="s">
        <v>732</v>
      </c>
      <c r="C900" s="1" t="str">
        <f t="shared" si="39"/>
        <v>Llano - Los Angeles</v>
      </c>
      <c r="D900" s="512">
        <f t="shared" si="40"/>
        <v>5.4833333333333331E-2</v>
      </c>
      <c r="E900" s="261">
        <f t="shared" si="41"/>
        <v>1.1599999999999999E-2</v>
      </c>
    </row>
    <row r="901" spans="1:5" ht="12.75" x14ac:dyDescent="0.2">
      <c r="A901" s="259" t="s">
        <v>1722</v>
      </c>
      <c r="B901" s="1" t="s">
        <v>1154</v>
      </c>
      <c r="C901" s="1" t="str">
        <f t="shared" si="39"/>
        <v>Loch Lomond - Lake</v>
      </c>
      <c r="D901" s="512">
        <f t="shared" si="40"/>
        <v>6.1750000000000006E-2</v>
      </c>
      <c r="E901" s="261">
        <f t="shared" si="41"/>
        <v>1.1160000000000002E-2</v>
      </c>
    </row>
    <row r="902" spans="1:5" ht="12.75" x14ac:dyDescent="0.2">
      <c r="A902" s="259" t="s">
        <v>1723</v>
      </c>
      <c r="B902" s="1" t="s">
        <v>843</v>
      </c>
      <c r="C902" s="1" t="str">
        <f t="shared" si="39"/>
        <v>Locke - Sacramento</v>
      </c>
      <c r="D902" s="512">
        <f t="shared" si="40"/>
        <v>4.8833333333333326E-2</v>
      </c>
      <c r="E902" s="261">
        <f t="shared" si="41"/>
        <v>1.1519999999999999E-2</v>
      </c>
    </row>
    <row r="903" spans="1:5" ht="12.75" x14ac:dyDescent="0.2">
      <c r="A903" s="259" t="s">
        <v>1724</v>
      </c>
      <c r="B903" s="1" t="s">
        <v>729</v>
      </c>
      <c r="C903" s="1" t="str">
        <f t="shared" si="39"/>
        <v>Lockeford - San Joaquin</v>
      </c>
      <c r="D903" s="512">
        <f t="shared" si="40"/>
        <v>6.699999999999999E-2</v>
      </c>
      <c r="E903" s="261">
        <f t="shared" si="41"/>
        <v>1.1299999999999999E-2</v>
      </c>
    </row>
    <row r="904" spans="1:5" ht="12.75" x14ac:dyDescent="0.2">
      <c r="A904" s="259" t="s">
        <v>1725</v>
      </c>
      <c r="B904" s="1" t="s">
        <v>856</v>
      </c>
      <c r="C904" s="1" t="str">
        <f t="shared" ref="C904:C967" si="42">A904&amp;" - "&amp;B904</f>
        <v>Lockheed - Santa Cruz</v>
      </c>
      <c r="D904" s="512">
        <f t="shared" si="40"/>
        <v>6.2416666666666669E-2</v>
      </c>
      <c r="E904" s="261">
        <f t="shared" si="41"/>
        <v>1.106E-2</v>
      </c>
    </row>
    <row r="905" spans="1:5" ht="12.75" x14ac:dyDescent="0.2">
      <c r="A905" s="259" t="s">
        <v>1726</v>
      </c>
      <c r="B905" s="1" t="s">
        <v>876</v>
      </c>
      <c r="C905" s="1" t="str">
        <f t="shared" si="42"/>
        <v>Lockwood - Monterey</v>
      </c>
      <c r="D905" s="512">
        <f t="shared" ref="D905:D968" si="43">VLOOKUP(B905,unemployment_rates,2, FALSE)</f>
        <v>7.425000000000001E-2</v>
      </c>
      <c r="E905" s="261">
        <f t="shared" ref="E905:E968" si="44">VLOOKUP(B905,Prop_Tax_Rates,2,FALSE)</f>
        <v>1.098E-2</v>
      </c>
    </row>
    <row r="906" spans="1:5" ht="12.75" x14ac:dyDescent="0.2">
      <c r="A906" s="259" t="s">
        <v>1727</v>
      </c>
      <c r="B906" s="1" t="s">
        <v>729</v>
      </c>
      <c r="C906" s="1" t="str">
        <f t="shared" si="42"/>
        <v>Lodi - San Joaquin</v>
      </c>
      <c r="D906" s="512">
        <f t="shared" si="43"/>
        <v>6.699999999999999E-2</v>
      </c>
      <c r="E906" s="261">
        <f t="shared" si="44"/>
        <v>1.1299999999999999E-2</v>
      </c>
    </row>
    <row r="907" spans="1:5" ht="12.75" x14ac:dyDescent="0.2">
      <c r="A907" s="259" t="s">
        <v>1728</v>
      </c>
      <c r="B907" s="1" t="s">
        <v>777</v>
      </c>
      <c r="C907" s="1" t="str">
        <f t="shared" si="42"/>
        <v>Loleta - Humboldt</v>
      </c>
      <c r="D907" s="512">
        <f t="shared" si="43"/>
        <v>5.1583333333333321E-2</v>
      </c>
      <c r="E907" s="261">
        <f t="shared" si="44"/>
        <v>1.115E-2</v>
      </c>
    </row>
    <row r="908" spans="1:5" ht="12.75" x14ac:dyDescent="0.2">
      <c r="A908" s="259" t="s">
        <v>1729</v>
      </c>
      <c r="B908" s="1" t="s">
        <v>738</v>
      </c>
      <c r="C908" s="1" t="str">
        <f t="shared" si="42"/>
        <v>Loma Linda - San Bernardino</v>
      </c>
      <c r="D908" s="512">
        <f t="shared" si="43"/>
        <v>5.1583333333333342E-2</v>
      </c>
      <c r="E908" s="261">
        <f t="shared" si="44"/>
        <v>1.1379999999999999E-2</v>
      </c>
    </row>
    <row r="909" spans="1:5" ht="12.75" x14ac:dyDescent="0.2">
      <c r="A909" s="259" t="s">
        <v>1730</v>
      </c>
      <c r="B909" s="1" t="s">
        <v>890</v>
      </c>
      <c r="C909" s="1" t="str">
        <f t="shared" si="42"/>
        <v>Loma Mar - San Mateo</v>
      </c>
      <c r="D909" s="512">
        <f t="shared" si="43"/>
        <v>3.5000000000000003E-2</v>
      </c>
      <c r="E909" s="261">
        <f t="shared" si="44"/>
        <v>1.1089999999999999E-2</v>
      </c>
    </row>
    <row r="910" spans="1:5" ht="12.75" x14ac:dyDescent="0.2">
      <c r="A910" s="259" t="s">
        <v>1731</v>
      </c>
      <c r="B910" s="1" t="s">
        <v>932</v>
      </c>
      <c r="C910" s="1" t="str">
        <f t="shared" si="42"/>
        <v>Loma Rica - Yuba</v>
      </c>
      <c r="D910" s="512">
        <f t="shared" si="43"/>
        <v>7.2416666666666657E-2</v>
      </c>
      <c r="E910" s="261">
        <f t="shared" si="44"/>
        <v>1.102E-2</v>
      </c>
    </row>
    <row r="911" spans="1:5" ht="12.75" x14ac:dyDescent="0.2">
      <c r="A911" s="259" t="s">
        <v>1732</v>
      </c>
      <c r="B911" s="1" t="s">
        <v>732</v>
      </c>
      <c r="C911" s="1" t="str">
        <f t="shared" si="42"/>
        <v>Lomita - Los Angeles</v>
      </c>
      <c r="D911" s="512">
        <f t="shared" si="43"/>
        <v>5.4833333333333331E-2</v>
      </c>
      <c r="E911" s="261">
        <f t="shared" si="44"/>
        <v>1.1599999999999999E-2</v>
      </c>
    </row>
    <row r="912" spans="1:5" ht="12.75" x14ac:dyDescent="0.2">
      <c r="A912" s="259" t="s">
        <v>1733</v>
      </c>
      <c r="B912" s="1" t="s">
        <v>911</v>
      </c>
      <c r="C912" s="1" t="str">
        <f t="shared" si="42"/>
        <v>Lompoc - Santa Barbara</v>
      </c>
      <c r="D912" s="512">
        <f t="shared" si="43"/>
        <v>4.5333333333333344E-2</v>
      </c>
      <c r="E912" s="261">
        <f t="shared" si="44"/>
        <v>1.0740000000000001E-2</v>
      </c>
    </row>
    <row r="913" spans="1:5" ht="12.75" x14ac:dyDescent="0.2">
      <c r="A913" s="259" t="s">
        <v>1734</v>
      </c>
      <c r="B913" s="1" t="s">
        <v>798</v>
      </c>
      <c r="C913" s="1" t="str">
        <f t="shared" si="42"/>
        <v>London - Tulare</v>
      </c>
      <c r="D913" s="512">
        <f t="shared" si="43"/>
        <v>0.10691666666666669</v>
      </c>
      <c r="E913" s="261">
        <f t="shared" si="44"/>
        <v>1.0869999999999999E-2</v>
      </c>
    </row>
    <row r="914" spans="1:5" ht="12.75" x14ac:dyDescent="0.2">
      <c r="A914" s="259" t="s">
        <v>1735</v>
      </c>
      <c r="B914" s="1" t="s">
        <v>822</v>
      </c>
      <c r="C914" s="1" t="str">
        <f t="shared" si="42"/>
        <v>Lone Pine - Inyo</v>
      </c>
      <c r="D914" s="512">
        <f t="shared" si="43"/>
        <v>3.9833333333333339E-2</v>
      </c>
      <c r="E914" s="261">
        <f t="shared" si="44"/>
        <v>1.065E-2</v>
      </c>
    </row>
    <row r="915" spans="1:5" ht="12.75" x14ac:dyDescent="0.2">
      <c r="A915" s="259" t="s">
        <v>1736</v>
      </c>
      <c r="B915" s="1" t="s">
        <v>968</v>
      </c>
      <c r="C915" s="1" t="str">
        <f t="shared" si="42"/>
        <v>Long Barn - Tuolumne</v>
      </c>
      <c r="D915" s="512">
        <f t="shared" si="43"/>
        <v>5.4333333333333338E-2</v>
      </c>
      <c r="E915" s="261">
        <f t="shared" si="44"/>
        <v>1.0780000000000001E-2</v>
      </c>
    </row>
    <row r="916" spans="1:5" ht="12.75" x14ac:dyDescent="0.2">
      <c r="A916" s="259" t="s">
        <v>1737</v>
      </c>
      <c r="B916" s="1" t="s">
        <v>732</v>
      </c>
      <c r="C916" s="1" t="str">
        <f t="shared" si="42"/>
        <v>Long Beach - Los Angeles</v>
      </c>
      <c r="D916" s="512">
        <f t="shared" si="43"/>
        <v>5.4833333333333331E-2</v>
      </c>
      <c r="E916" s="261">
        <f t="shared" si="44"/>
        <v>1.1599999999999999E-2</v>
      </c>
    </row>
    <row r="917" spans="1:5" ht="12.75" x14ac:dyDescent="0.2">
      <c r="A917" s="259" t="s">
        <v>1738</v>
      </c>
      <c r="B917" s="1" t="s">
        <v>732</v>
      </c>
      <c r="C917" s="1" t="str">
        <f t="shared" si="42"/>
        <v>Longview - Los Angeles</v>
      </c>
      <c r="D917" s="512">
        <f t="shared" si="43"/>
        <v>5.4833333333333331E-2</v>
      </c>
      <c r="E917" s="261">
        <f t="shared" si="44"/>
        <v>1.1599999999999999E-2</v>
      </c>
    </row>
    <row r="918" spans="1:5" ht="12.75" x14ac:dyDescent="0.2">
      <c r="A918" s="259" t="s">
        <v>1739</v>
      </c>
      <c r="B918" s="1" t="s">
        <v>741</v>
      </c>
      <c r="C918" s="1" t="str">
        <f t="shared" si="42"/>
        <v>Lookout - Modoc</v>
      </c>
      <c r="D918" s="512">
        <f t="shared" si="43"/>
        <v>6.8499999999999991E-2</v>
      </c>
      <c r="E918" s="261">
        <f t="shared" si="44"/>
        <v>0.01</v>
      </c>
    </row>
    <row r="919" spans="1:5" ht="12.75" x14ac:dyDescent="0.2">
      <c r="A919" s="259" t="s">
        <v>1740</v>
      </c>
      <c r="B919" s="1" t="s">
        <v>803</v>
      </c>
      <c r="C919" s="1" t="str">
        <f t="shared" si="42"/>
        <v>Loomis - Placer</v>
      </c>
      <c r="D919" s="512">
        <f t="shared" si="43"/>
        <v>4.1833333333333347E-2</v>
      </c>
      <c r="E919" s="261">
        <f t="shared" si="44"/>
        <v>1.0880000000000001E-2</v>
      </c>
    </row>
    <row r="920" spans="1:5" ht="12.75" x14ac:dyDescent="0.2">
      <c r="A920" s="259" t="s">
        <v>1741</v>
      </c>
      <c r="B920" s="1" t="s">
        <v>788</v>
      </c>
      <c r="C920" s="1" t="str">
        <f t="shared" si="42"/>
        <v>Lorre Estates - Santa Clara</v>
      </c>
      <c r="D920" s="512">
        <f t="shared" si="43"/>
        <v>4.0750000000000001E-2</v>
      </c>
      <c r="E920" s="261">
        <f t="shared" si="44"/>
        <v>1.2110000000000001E-2</v>
      </c>
    </row>
    <row r="921" spans="1:5" ht="12.75" x14ac:dyDescent="0.2">
      <c r="A921" s="259" t="s">
        <v>1742</v>
      </c>
      <c r="B921" s="1" t="s">
        <v>782</v>
      </c>
      <c r="C921" s="1" t="str">
        <f t="shared" si="42"/>
        <v>Los Alamitos - Orange</v>
      </c>
      <c r="D921" s="512">
        <f t="shared" si="43"/>
        <v>3.9749999999999994E-2</v>
      </c>
      <c r="E921" s="261">
        <f t="shared" si="44"/>
        <v>1.0660000000000001E-2</v>
      </c>
    </row>
    <row r="922" spans="1:5" ht="12.75" x14ac:dyDescent="0.2">
      <c r="A922" s="259" t="s">
        <v>1743</v>
      </c>
      <c r="B922" s="1" t="s">
        <v>911</v>
      </c>
      <c r="C922" s="1" t="str">
        <f t="shared" si="42"/>
        <v>Los Alamos - Santa Barbara</v>
      </c>
      <c r="D922" s="512">
        <f t="shared" si="43"/>
        <v>4.5333333333333344E-2</v>
      </c>
      <c r="E922" s="261">
        <f t="shared" si="44"/>
        <v>1.0740000000000001E-2</v>
      </c>
    </row>
    <row r="923" spans="1:5" ht="12.75" x14ac:dyDescent="0.2">
      <c r="A923" s="259" t="s">
        <v>1744</v>
      </c>
      <c r="B923" s="1" t="s">
        <v>788</v>
      </c>
      <c r="C923" s="1" t="str">
        <f t="shared" si="42"/>
        <v>Los Altos - Santa Clara</v>
      </c>
      <c r="D923" s="512">
        <f t="shared" si="43"/>
        <v>4.0750000000000001E-2</v>
      </c>
      <c r="E923" s="261">
        <f t="shared" si="44"/>
        <v>1.2110000000000001E-2</v>
      </c>
    </row>
    <row r="924" spans="1:5" ht="12.75" x14ac:dyDescent="0.2">
      <c r="A924" s="259" t="s">
        <v>1745</v>
      </c>
      <c r="B924" s="1" t="s">
        <v>788</v>
      </c>
      <c r="C924" s="1" t="str">
        <f t="shared" si="42"/>
        <v>Los Altos Hills - Santa Clara</v>
      </c>
      <c r="D924" s="512">
        <f t="shared" si="43"/>
        <v>4.0750000000000001E-2</v>
      </c>
      <c r="E924" s="261">
        <f t="shared" si="44"/>
        <v>1.2110000000000001E-2</v>
      </c>
    </row>
    <row r="925" spans="1:5" ht="12.75" x14ac:dyDescent="0.2">
      <c r="A925" s="259" t="s">
        <v>732</v>
      </c>
      <c r="B925" s="1" t="s">
        <v>732</v>
      </c>
      <c r="C925" s="1" t="str">
        <f t="shared" si="42"/>
        <v>Los Angeles - Los Angeles</v>
      </c>
      <c r="D925" s="512">
        <f t="shared" si="43"/>
        <v>5.4833333333333331E-2</v>
      </c>
      <c r="E925" s="261">
        <f t="shared" si="44"/>
        <v>1.1599999999999999E-2</v>
      </c>
    </row>
    <row r="926" spans="1:5" ht="12.75" x14ac:dyDescent="0.2">
      <c r="A926" s="259" t="s">
        <v>1746</v>
      </c>
      <c r="B926" s="1" t="s">
        <v>892</v>
      </c>
      <c r="C926" s="1" t="str">
        <f t="shared" si="42"/>
        <v>Los Banos - Merced</v>
      </c>
      <c r="D926" s="512">
        <f t="shared" si="43"/>
        <v>9.6416666666666678E-2</v>
      </c>
      <c r="E926" s="261">
        <f t="shared" si="44"/>
        <v>1.0829999999999999E-2</v>
      </c>
    </row>
    <row r="927" spans="1:5" ht="12.75" x14ac:dyDescent="0.2">
      <c r="A927" s="259" t="s">
        <v>1747</v>
      </c>
      <c r="B927" s="1" t="s">
        <v>788</v>
      </c>
      <c r="C927" s="1" t="str">
        <f t="shared" si="42"/>
        <v>Los Gatos - Santa Clara</v>
      </c>
      <c r="D927" s="512">
        <f t="shared" si="43"/>
        <v>4.0750000000000001E-2</v>
      </c>
      <c r="E927" s="261">
        <f t="shared" si="44"/>
        <v>1.2110000000000001E-2</v>
      </c>
    </row>
    <row r="928" spans="1:5" ht="12.75" x14ac:dyDescent="0.2">
      <c r="A928" s="259" t="s">
        <v>1748</v>
      </c>
      <c r="B928" s="1" t="s">
        <v>1188</v>
      </c>
      <c r="C928" s="1" t="str">
        <f t="shared" si="42"/>
        <v>Los Molinos - Tehama</v>
      </c>
      <c r="D928" s="512">
        <f t="shared" si="43"/>
        <v>6.3083333333333325E-2</v>
      </c>
      <c r="E928" s="261">
        <f t="shared" si="44"/>
        <v>1.057E-2</v>
      </c>
    </row>
    <row r="929" spans="1:5" ht="12.75" x14ac:dyDescent="0.2">
      <c r="A929" s="259" t="s">
        <v>1749</v>
      </c>
      <c r="B929" s="1" t="s">
        <v>732</v>
      </c>
      <c r="C929" s="1" t="str">
        <f t="shared" si="42"/>
        <v>Los Nietos - Los Angeles</v>
      </c>
      <c r="D929" s="512">
        <f t="shared" si="43"/>
        <v>5.4833333333333331E-2</v>
      </c>
      <c r="E929" s="261">
        <f t="shared" si="44"/>
        <v>1.1599999999999999E-2</v>
      </c>
    </row>
    <row r="930" spans="1:5" ht="12.75" x14ac:dyDescent="0.2">
      <c r="A930" s="259" t="s">
        <v>1750</v>
      </c>
      <c r="B930" s="1" t="s">
        <v>911</v>
      </c>
      <c r="C930" s="1" t="str">
        <f t="shared" si="42"/>
        <v>Los Olivos - Santa Barbara</v>
      </c>
      <c r="D930" s="512">
        <f t="shared" si="43"/>
        <v>4.5333333333333344E-2</v>
      </c>
      <c r="E930" s="261">
        <f t="shared" si="44"/>
        <v>1.0740000000000001E-2</v>
      </c>
    </row>
    <row r="931" spans="1:5" ht="12.75" x14ac:dyDescent="0.2">
      <c r="A931" s="259" t="s">
        <v>1751</v>
      </c>
      <c r="B931" s="1" t="s">
        <v>735</v>
      </c>
      <c r="C931" s="1" t="str">
        <f t="shared" si="42"/>
        <v>Los Osos - San Luis Obispo</v>
      </c>
      <c r="D931" s="512">
        <f t="shared" si="43"/>
        <v>3.8833333333333331E-2</v>
      </c>
      <c r="E931" s="261">
        <f t="shared" si="44"/>
        <v>1.085E-2</v>
      </c>
    </row>
    <row r="932" spans="1:5" ht="12.75" x14ac:dyDescent="0.2">
      <c r="A932" s="259" t="s">
        <v>1752</v>
      </c>
      <c r="B932" s="1" t="s">
        <v>735</v>
      </c>
      <c r="C932" s="1" t="str">
        <f t="shared" si="42"/>
        <v>Los Padres - San Luis Obispo</v>
      </c>
      <c r="D932" s="512">
        <f t="shared" si="43"/>
        <v>3.8833333333333331E-2</v>
      </c>
      <c r="E932" s="261">
        <f t="shared" si="44"/>
        <v>1.085E-2</v>
      </c>
    </row>
    <row r="933" spans="1:5" ht="12.75" x14ac:dyDescent="0.2">
      <c r="A933" s="259" t="s">
        <v>1753</v>
      </c>
      <c r="B933" s="1" t="s">
        <v>738</v>
      </c>
      <c r="C933" s="1" t="str">
        <f t="shared" si="42"/>
        <v>Los Serranos  - San Bernardino</v>
      </c>
      <c r="D933" s="512">
        <f t="shared" si="43"/>
        <v>5.1583333333333342E-2</v>
      </c>
      <c r="E933" s="261">
        <f t="shared" si="44"/>
        <v>1.1379999999999999E-2</v>
      </c>
    </row>
    <row r="934" spans="1:5" ht="12.75" x14ac:dyDescent="0.2">
      <c r="A934" s="259" t="s">
        <v>1754</v>
      </c>
      <c r="B934" s="1" t="s">
        <v>884</v>
      </c>
      <c r="C934" s="1" t="str">
        <f t="shared" si="42"/>
        <v>Lost Hills - Kern</v>
      </c>
      <c r="D934" s="512">
        <f t="shared" si="43"/>
        <v>8.9333333333333334E-2</v>
      </c>
      <c r="E934" s="261">
        <f t="shared" si="44"/>
        <v>1.238E-2</v>
      </c>
    </row>
    <row r="935" spans="1:5" ht="12.75" x14ac:dyDescent="0.2">
      <c r="A935" s="259" t="s">
        <v>1755</v>
      </c>
      <c r="B935" s="1" t="s">
        <v>756</v>
      </c>
      <c r="C935" s="1" t="str">
        <f t="shared" si="42"/>
        <v>Lost Lake - Riverside</v>
      </c>
      <c r="D935" s="512">
        <f t="shared" si="43"/>
        <v>5.3749999999999999E-2</v>
      </c>
      <c r="E935" s="261">
        <f t="shared" si="44"/>
        <v>1.1859999999999999E-2</v>
      </c>
    </row>
    <row r="936" spans="1:5" ht="12.75" x14ac:dyDescent="0.2">
      <c r="A936" s="259" t="s">
        <v>1756</v>
      </c>
      <c r="B936" s="1" t="s">
        <v>762</v>
      </c>
      <c r="C936" s="1" t="str">
        <f t="shared" si="42"/>
        <v>Lotus - El Dorado</v>
      </c>
      <c r="D936" s="512">
        <f t="shared" si="43"/>
        <v>4.466666666666666E-2</v>
      </c>
      <c r="E936" s="261">
        <f t="shared" si="44"/>
        <v>1.0660000000000001E-2</v>
      </c>
    </row>
    <row r="937" spans="1:5" ht="12.75" x14ac:dyDescent="0.2">
      <c r="A937" s="259" t="s">
        <v>1757</v>
      </c>
      <c r="B937" s="1" t="s">
        <v>1154</v>
      </c>
      <c r="C937" s="1" t="str">
        <f t="shared" si="42"/>
        <v>Lower Lake - Lake</v>
      </c>
      <c r="D937" s="512">
        <f t="shared" si="43"/>
        <v>6.1750000000000006E-2</v>
      </c>
      <c r="E937" s="261">
        <f t="shared" si="44"/>
        <v>1.1160000000000002E-2</v>
      </c>
    </row>
    <row r="938" spans="1:5" ht="12.75" x14ac:dyDescent="0.2">
      <c r="A938" s="259" t="s">
        <v>1758</v>
      </c>
      <c r="B938" s="1" t="s">
        <v>785</v>
      </c>
      <c r="C938" s="1" t="str">
        <f t="shared" si="42"/>
        <v>Loyalton - Sierra</v>
      </c>
      <c r="D938" s="512">
        <f t="shared" si="43"/>
        <v>5.2250000000000005E-2</v>
      </c>
      <c r="E938" s="261">
        <f t="shared" si="44"/>
        <v>0.01</v>
      </c>
    </row>
    <row r="939" spans="1:5" ht="12.75" x14ac:dyDescent="0.2">
      <c r="A939" s="259" t="s">
        <v>1759</v>
      </c>
      <c r="B939" s="1" t="s">
        <v>1154</v>
      </c>
      <c r="C939" s="1" t="str">
        <f t="shared" si="42"/>
        <v>Lucerne - Lake</v>
      </c>
      <c r="D939" s="512">
        <f t="shared" si="43"/>
        <v>6.1750000000000006E-2</v>
      </c>
      <c r="E939" s="261">
        <f t="shared" si="44"/>
        <v>1.1160000000000002E-2</v>
      </c>
    </row>
    <row r="940" spans="1:5" ht="12.75" x14ac:dyDescent="0.2">
      <c r="A940" s="259" t="s">
        <v>1760</v>
      </c>
      <c r="B940" s="1" t="s">
        <v>738</v>
      </c>
      <c r="C940" s="1" t="str">
        <f t="shared" si="42"/>
        <v>Lucerne Valley - San Bernardino</v>
      </c>
      <c r="D940" s="512">
        <f t="shared" si="43"/>
        <v>5.1583333333333342E-2</v>
      </c>
      <c r="E940" s="261">
        <f t="shared" si="44"/>
        <v>1.1379999999999999E-2</v>
      </c>
    </row>
    <row r="941" spans="1:5" ht="12.75" x14ac:dyDescent="0.2">
      <c r="A941" s="259" t="s">
        <v>1761</v>
      </c>
      <c r="B941" s="1" t="s">
        <v>876</v>
      </c>
      <c r="C941" s="1" t="str">
        <f t="shared" si="42"/>
        <v>Lucia - Monterey</v>
      </c>
      <c r="D941" s="512">
        <f t="shared" si="43"/>
        <v>7.425000000000001E-2</v>
      </c>
      <c r="E941" s="261">
        <f t="shared" si="44"/>
        <v>1.098E-2</v>
      </c>
    </row>
    <row r="942" spans="1:5" ht="12.75" x14ac:dyDescent="0.2">
      <c r="A942" s="259" t="s">
        <v>1762</v>
      </c>
      <c r="B942" s="1" t="s">
        <v>738</v>
      </c>
      <c r="C942" s="1" t="str">
        <f t="shared" si="42"/>
        <v>Ludlow - San Bernardino</v>
      </c>
      <c r="D942" s="512">
        <f t="shared" si="43"/>
        <v>5.1583333333333342E-2</v>
      </c>
      <c r="E942" s="261">
        <f t="shared" si="44"/>
        <v>1.1379999999999999E-2</v>
      </c>
    </row>
    <row r="943" spans="1:5" ht="12.75" x14ac:dyDescent="0.2">
      <c r="A943" s="259" t="s">
        <v>1763</v>
      </c>
      <c r="B943" s="1" t="s">
        <v>732</v>
      </c>
      <c r="C943" s="1" t="str">
        <f t="shared" si="42"/>
        <v>Lugo - Los Angeles</v>
      </c>
      <c r="D943" s="512">
        <f t="shared" si="43"/>
        <v>5.4833333333333331E-2</v>
      </c>
      <c r="E943" s="261">
        <f t="shared" si="44"/>
        <v>1.1599999999999999E-2</v>
      </c>
    </row>
    <row r="944" spans="1:5" ht="12.75" x14ac:dyDescent="0.2">
      <c r="A944" s="259" t="s">
        <v>1764</v>
      </c>
      <c r="B944" s="1" t="s">
        <v>732</v>
      </c>
      <c r="C944" s="1" t="str">
        <f t="shared" si="42"/>
        <v>Lynwood - Los Angeles</v>
      </c>
      <c r="D944" s="512">
        <f t="shared" si="43"/>
        <v>5.4833333333333331E-2</v>
      </c>
      <c r="E944" s="261">
        <f t="shared" si="44"/>
        <v>1.1599999999999999E-2</v>
      </c>
    </row>
    <row r="945" spans="1:5" ht="12.75" x14ac:dyDescent="0.2">
      <c r="A945" s="259" t="s">
        <v>1765</v>
      </c>
      <c r="B945" s="1" t="s">
        <v>738</v>
      </c>
      <c r="C945" s="1" t="str">
        <f t="shared" si="42"/>
        <v>Lytle Creek - San Bernardino</v>
      </c>
      <c r="D945" s="512">
        <f t="shared" si="43"/>
        <v>5.1583333333333342E-2</v>
      </c>
      <c r="E945" s="261">
        <f t="shared" si="44"/>
        <v>1.1379999999999999E-2</v>
      </c>
    </row>
    <row r="946" spans="1:5" ht="12.75" x14ac:dyDescent="0.2">
      <c r="A946" s="259" t="s">
        <v>1766</v>
      </c>
      <c r="B946" s="1" t="s">
        <v>1053</v>
      </c>
      <c r="C946" s="1" t="str">
        <f t="shared" si="42"/>
        <v>Macdoel - Siskiyou</v>
      </c>
      <c r="D946" s="512">
        <f t="shared" si="43"/>
        <v>6.883333333333333E-2</v>
      </c>
      <c r="E946" s="261">
        <f t="shared" si="44"/>
        <v>1.0460000000000001E-2</v>
      </c>
    </row>
    <row r="947" spans="1:5" ht="12.75" x14ac:dyDescent="0.2">
      <c r="A947" s="259" t="s">
        <v>1767</v>
      </c>
      <c r="B947" s="1" t="s">
        <v>732</v>
      </c>
      <c r="C947" s="1" t="str">
        <f t="shared" si="42"/>
        <v>Maclay - Los Angeles</v>
      </c>
      <c r="D947" s="512">
        <f t="shared" si="43"/>
        <v>5.4833333333333331E-2</v>
      </c>
      <c r="E947" s="261">
        <f t="shared" si="44"/>
        <v>1.1599999999999999E-2</v>
      </c>
    </row>
    <row r="948" spans="1:5" ht="12.75" x14ac:dyDescent="0.2">
      <c r="A948" s="259" t="s">
        <v>1768</v>
      </c>
      <c r="B948" s="1" t="s">
        <v>961</v>
      </c>
      <c r="C948" s="1" t="str">
        <f t="shared" si="42"/>
        <v>Mad River - Trinity</v>
      </c>
      <c r="D948" s="512">
        <f t="shared" si="43"/>
        <v>5.916666666666668E-2</v>
      </c>
      <c r="E948" s="261">
        <f t="shared" si="44"/>
        <v>1.043E-2</v>
      </c>
    </row>
    <row r="949" spans="1:5" ht="12.75" x14ac:dyDescent="0.2">
      <c r="A949" s="259" t="s">
        <v>1769</v>
      </c>
      <c r="B949" s="1" t="s">
        <v>959</v>
      </c>
      <c r="C949" s="1" t="str">
        <f t="shared" si="42"/>
        <v>Madeline - Lassen</v>
      </c>
      <c r="D949" s="512">
        <f t="shared" si="43"/>
        <v>5.8083333333333327E-2</v>
      </c>
      <c r="E949" s="261">
        <f t="shared" si="44"/>
        <v>1.018E-2</v>
      </c>
    </row>
    <row r="950" spans="1:5" ht="12.75" x14ac:dyDescent="0.2">
      <c r="A950" s="259" t="s">
        <v>759</v>
      </c>
      <c r="B950" s="1" t="s">
        <v>759</v>
      </c>
      <c r="C950" s="1" t="str">
        <f t="shared" si="42"/>
        <v>Madera - Madera</v>
      </c>
      <c r="D950" s="512">
        <f t="shared" si="43"/>
        <v>7.8166666666666662E-2</v>
      </c>
      <c r="E950" s="261">
        <f t="shared" si="44"/>
        <v>1.098E-2</v>
      </c>
    </row>
    <row r="951" spans="1:5" ht="12.75" x14ac:dyDescent="0.2">
      <c r="A951" s="259" t="s">
        <v>1770</v>
      </c>
      <c r="B951" s="1" t="s">
        <v>1018</v>
      </c>
      <c r="C951" s="1" t="str">
        <f t="shared" si="42"/>
        <v>Madison - Yolo</v>
      </c>
      <c r="D951" s="512">
        <f t="shared" si="43"/>
        <v>5.2666666666666667E-2</v>
      </c>
      <c r="E951" s="261">
        <f t="shared" si="44"/>
        <v>1.11E-2</v>
      </c>
    </row>
    <row r="952" spans="1:5" ht="12.75" x14ac:dyDescent="0.2">
      <c r="A952" s="259" t="s">
        <v>1771</v>
      </c>
      <c r="B952" s="1" t="s">
        <v>915</v>
      </c>
      <c r="C952" s="1" t="str">
        <f t="shared" si="42"/>
        <v>Magalia - Butte</v>
      </c>
      <c r="D952" s="512">
        <f t="shared" si="43"/>
        <v>5.8999999999999983E-2</v>
      </c>
      <c r="E952" s="261">
        <f t="shared" si="44"/>
        <v>1.1169999999999999E-2</v>
      </c>
    </row>
    <row r="953" spans="1:5" ht="12.75" x14ac:dyDescent="0.2">
      <c r="A953" s="259" t="s">
        <v>1772</v>
      </c>
      <c r="B953" s="1" t="s">
        <v>895</v>
      </c>
      <c r="C953" s="1" t="str">
        <f t="shared" si="42"/>
        <v>Malaga - Fresno</v>
      </c>
      <c r="D953" s="512">
        <f t="shared" si="43"/>
        <v>8.0416666666666664E-2</v>
      </c>
      <c r="E953" s="261">
        <f t="shared" si="44"/>
        <v>1.2110000000000001E-2</v>
      </c>
    </row>
    <row r="954" spans="1:5" ht="12.75" x14ac:dyDescent="0.2">
      <c r="A954" s="259" t="s">
        <v>1773</v>
      </c>
      <c r="B954" s="1" t="s">
        <v>732</v>
      </c>
      <c r="C954" s="1" t="str">
        <f t="shared" si="42"/>
        <v>Malibu - Los Angeles</v>
      </c>
      <c r="D954" s="512">
        <f t="shared" si="43"/>
        <v>5.4833333333333331E-2</v>
      </c>
      <c r="E954" s="261">
        <f t="shared" si="44"/>
        <v>1.1599999999999999E-2</v>
      </c>
    </row>
    <row r="955" spans="1:5" ht="12.75" x14ac:dyDescent="0.2">
      <c r="A955" s="259" t="s">
        <v>1774</v>
      </c>
      <c r="B955" s="1" t="s">
        <v>951</v>
      </c>
      <c r="C955" s="1" t="str">
        <f t="shared" si="42"/>
        <v>Mammoth Lakes - Mono</v>
      </c>
      <c r="D955" s="512">
        <f t="shared" si="43"/>
        <v>4.0166666666666663E-2</v>
      </c>
      <c r="E955" s="261">
        <f t="shared" si="44"/>
        <v>1.154E-2</v>
      </c>
    </row>
    <row r="956" spans="1:5" ht="12.75" x14ac:dyDescent="0.2">
      <c r="A956" s="259" t="s">
        <v>1775</v>
      </c>
      <c r="B956" s="1" t="s">
        <v>732</v>
      </c>
      <c r="C956" s="1" t="str">
        <f t="shared" si="42"/>
        <v>Manhattan Beach - Los Angeles</v>
      </c>
      <c r="D956" s="512">
        <f t="shared" si="43"/>
        <v>5.4833333333333331E-2</v>
      </c>
      <c r="E956" s="261">
        <f t="shared" si="44"/>
        <v>1.1599999999999999E-2</v>
      </c>
    </row>
    <row r="957" spans="1:5" ht="12.75" x14ac:dyDescent="0.2">
      <c r="A957" s="259" t="s">
        <v>1776</v>
      </c>
      <c r="B957" s="1" t="s">
        <v>729</v>
      </c>
      <c r="C957" s="1" t="str">
        <f t="shared" si="42"/>
        <v>Manteca - San Joaquin</v>
      </c>
      <c r="D957" s="512">
        <f t="shared" si="43"/>
        <v>6.699999999999999E-2</v>
      </c>
      <c r="E957" s="261">
        <f t="shared" si="44"/>
        <v>1.1299999999999999E-2</v>
      </c>
    </row>
    <row r="958" spans="1:5" ht="12.75" x14ac:dyDescent="0.2">
      <c r="A958" s="259" t="s">
        <v>1777</v>
      </c>
      <c r="B958" s="1" t="s">
        <v>1188</v>
      </c>
      <c r="C958" s="1" t="str">
        <f t="shared" si="42"/>
        <v>Manton - Tehama</v>
      </c>
      <c r="D958" s="512">
        <f t="shared" si="43"/>
        <v>6.3083333333333325E-2</v>
      </c>
      <c r="E958" s="261">
        <f t="shared" si="44"/>
        <v>1.057E-2</v>
      </c>
    </row>
    <row r="959" spans="1:5" ht="12.75" x14ac:dyDescent="0.2">
      <c r="A959" s="259" t="s">
        <v>1778</v>
      </c>
      <c r="B959" s="1" t="s">
        <v>832</v>
      </c>
      <c r="C959" s="1" t="str">
        <f t="shared" si="42"/>
        <v>Manzanita Lake - Shasta</v>
      </c>
      <c r="D959" s="512">
        <f t="shared" si="43"/>
        <v>5.6416666666666657E-2</v>
      </c>
      <c r="E959" s="261">
        <f t="shared" si="44"/>
        <v>1.099E-2</v>
      </c>
    </row>
    <row r="960" spans="1:5" ht="12.75" x14ac:dyDescent="0.2">
      <c r="A960" s="259" t="s">
        <v>1779</v>
      </c>
      <c r="B960" s="1" t="s">
        <v>732</v>
      </c>
      <c r="C960" s="1" t="str">
        <f t="shared" si="42"/>
        <v>Mar Vista - Los Angeles</v>
      </c>
      <c r="D960" s="512">
        <f t="shared" si="43"/>
        <v>5.4833333333333331E-2</v>
      </c>
      <c r="E960" s="261">
        <f t="shared" si="44"/>
        <v>1.1599999999999999E-2</v>
      </c>
    </row>
    <row r="961" spans="1:5" ht="12.75" x14ac:dyDescent="0.2">
      <c r="A961" s="259" t="s">
        <v>1780</v>
      </c>
      <c r="B961" s="1" t="s">
        <v>732</v>
      </c>
      <c r="C961" s="1" t="str">
        <f t="shared" si="42"/>
        <v>Marcelina - Los Angeles</v>
      </c>
      <c r="D961" s="512">
        <f t="shared" si="43"/>
        <v>5.4833333333333331E-2</v>
      </c>
      <c r="E961" s="261">
        <f t="shared" si="44"/>
        <v>1.1599999999999999E-2</v>
      </c>
    </row>
    <row r="962" spans="1:5" ht="12.75" x14ac:dyDescent="0.2">
      <c r="A962" s="259" t="s">
        <v>1781</v>
      </c>
      <c r="B962" s="1" t="s">
        <v>756</v>
      </c>
      <c r="C962" s="1" t="str">
        <f t="shared" si="42"/>
        <v>March A.F.B. - Riverside</v>
      </c>
      <c r="D962" s="512">
        <f t="shared" si="43"/>
        <v>5.3749999999999999E-2</v>
      </c>
      <c r="E962" s="261">
        <f t="shared" si="44"/>
        <v>1.1859999999999999E-2</v>
      </c>
    </row>
    <row r="963" spans="1:5" ht="12.75" x14ac:dyDescent="0.2">
      <c r="A963" s="259" t="s">
        <v>1782</v>
      </c>
      <c r="B963" s="1" t="s">
        <v>949</v>
      </c>
      <c r="C963" s="1" t="str">
        <f t="shared" si="42"/>
        <v>Mare Island  - Solano</v>
      </c>
      <c r="D963" s="512">
        <f t="shared" si="43"/>
        <v>5.1916666666666673E-2</v>
      </c>
      <c r="E963" s="261">
        <f t="shared" si="44"/>
        <v>1.18E-2</v>
      </c>
    </row>
    <row r="964" spans="1:5" ht="12.75" x14ac:dyDescent="0.2">
      <c r="A964" s="259" t="s">
        <v>1783</v>
      </c>
      <c r="B964" s="1" t="s">
        <v>884</v>
      </c>
      <c r="C964" s="1" t="str">
        <f t="shared" si="42"/>
        <v>Maricopa - Kern</v>
      </c>
      <c r="D964" s="512">
        <f t="shared" si="43"/>
        <v>8.9333333333333334E-2</v>
      </c>
      <c r="E964" s="261">
        <f t="shared" si="44"/>
        <v>1.238E-2</v>
      </c>
    </row>
    <row r="965" spans="1:5" ht="12.75" x14ac:dyDescent="0.2">
      <c r="A965" s="259" t="s">
        <v>1784</v>
      </c>
      <c r="B965" s="1" t="s">
        <v>946</v>
      </c>
      <c r="C965" s="1" t="str">
        <f t="shared" si="42"/>
        <v>Marin City - Marin</v>
      </c>
      <c r="D965" s="512">
        <f t="shared" si="43"/>
        <v>3.7749999999999999E-2</v>
      </c>
      <c r="E965" s="261">
        <f t="shared" si="44"/>
        <v>1.1299999999999999E-2</v>
      </c>
    </row>
    <row r="966" spans="1:5" ht="12.75" x14ac:dyDescent="0.2">
      <c r="A966" s="259" t="s">
        <v>1785</v>
      </c>
      <c r="B966" s="1" t="s">
        <v>876</v>
      </c>
      <c r="C966" s="1" t="str">
        <f t="shared" si="42"/>
        <v>Marina - Monterey</v>
      </c>
      <c r="D966" s="512">
        <f t="shared" si="43"/>
        <v>7.425000000000001E-2</v>
      </c>
      <c r="E966" s="261">
        <f t="shared" si="44"/>
        <v>1.098E-2</v>
      </c>
    </row>
    <row r="967" spans="1:5" ht="12.75" x14ac:dyDescent="0.2">
      <c r="A967" s="259" t="s">
        <v>1786</v>
      </c>
      <c r="B967" s="1" t="s">
        <v>732</v>
      </c>
      <c r="C967" s="1" t="str">
        <f t="shared" si="42"/>
        <v>Marina Del Rey - Los Angeles</v>
      </c>
      <c r="D967" s="512">
        <f t="shared" si="43"/>
        <v>5.4833333333333331E-2</v>
      </c>
      <c r="E967" s="261">
        <f t="shared" si="44"/>
        <v>1.1599999999999999E-2</v>
      </c>
    </row>
    <row r="968" spans="1:5" ht="12.75" x14ac:dyDescent="0.2">
      <c r="A968" s="259" t="s">
        <v>1787</v>
      </c>
      <c r="B968" s="1" t="s">
        <v>738</v>
      </c>
      <c r="C968" s="1" t="str">
        <f t="shared" ref="C968:C1031" si="45">A968&amp;" - "&amp;B968</f>
        <v>Marine Corps  - San Bernardino</v>
      </c>
      <c r="D968" s="512">
        <f t="shared" si="43"/>
        <v>5.1583333333333342E-2</v>
      </c>
      <c r="E968" s="261">
        <f t="shared" si="44"/>
        <v>1.1379999999999999E-2</v>
      </c>
    </row>
    <row r="969" spans="1:5" ht="12.75" x14ac:dyDescent="0.2">
      <c r="A969" s="259" t="s">
        <v>1788</v>
      </c>
      <c r="B969" s="1" t="s">
        <v>782</v>
      </c>
      <c r="C969" s="1" t="str">
        <f t="shared" si="45"/>
        <v>Mariner - Orange</v>
      </c>
      <c r="D969" s="512">
        <f t="shared" ref="D969:D1032" si="46">VLOOKUP(B969,unemployment_rates,2, FALSE)</f>
        <v>3.9749999999999994E-2</v>
      </c>
      <c r="E969" s="261">
        <f t="shared" ref="E969:E1032" si="47">VLOOKUP(B969,Prop_Tax_Rates,2,FALSE)</f>
        <v>1.0660000000000001E-2</v>
      </c>
    </row>
    <row r="970" spans="1:5" ht="12.75" x14ac:dyDescent="0.2">
      <c r="A970" s="259" t="s">
        <v>935</v>
      </c>
      <c r="B970" s="1" t="s">
        <v>935</v>
      </c>
      <c r="C970" s="1" t="str">
        <f t="shared" si="45"/>
        <v>Mariposa - Mariposa</v>
      </c>
      <c r="D970" s="512">
        <f t="shared" si="46"/>
        <v>5.2833333333333329E-2</v>
      </c>
      <c r="E970" s="261">
        <f t="shared" si="47"/>
        <v>1.0369999999999999E-2</v>
      </c>
    </row>
    <row r="971" spans="1:5" ht="12.75" x14ac:dyDescent="0.2">
      <c r="A971" s="259" t="s">
        <v>1789</v>
      </c>
      <c r="B971" s="1" t="s">
        <v>800</v>
      </c>
      <c r="C971" s="1" t="str">
        <f t="shared" si="45"/>
        <v>Markleeville - Alpine</v>
      </c>
      <c r="D971" s="512">
        <f t="shared" si="46"/>
        <v>6.8916666666666654E-2</v>
      </c>
      <c r="E971" s="261">
        <f t="shared" si="47"/>
        <v>1.03E-2</v>
      </c>
    </row>
    <row r="972" spans="1:5" ht="12.75" x14ac:dyDescent="0.2">
      <c r="A972" s="259" t="s">
        <v>1790</v>
      </c>
      <c r="B972" s="1" t="s">
        <v>890</v>
      </c>
      <c r="C972" s="1" t="str">
        <f t="shared" si="45"/>
        <v>Marsh Manor - San Mateo</v>
      </c>
      <c r="D972" s="512">
        <f t="shared" si="46"/>
        <v>3.5000000000000003E-2</v>
      </c>
      <c r="E972" s="261">
        <f t="shared" si="47"/>
        <v>1.1089999999999999E-2</v>
      </c>
    </row>
    <row r="973" spans="1:5" ht="12.75" x14ac:dyDescent="0.2">
      <c r="A973" s="259" t="s">
        <v>1791</v>
      </c>
      <c r="B973" s="1" t="s">
        <v>946</v>
      </c>
      <c r="C973" s="1" t="str">
        <f t="shared" si="45"/>
        <v>Marshall - Marin</v>
      </c>
      <c r="D973" s="512">
        <f t="shared" si="46"/>
        <v>3.7749999999999999E-2</v>
      </c>
      <c r="E973" s="261">
        <f t="shared" si="47"/>
        <v>1.1299999999999999E-2</v>
      </c>
    </row>
    <row r="974" spans="1:5" ht="12.75" x14ac:dyDescent="0.2">
      <c r="A974" s="259" t="s">
        <v>1792</v>
      </c>
      <c r="B974" s="1" t="s">
        <v>819</v>
      </c>
      <c r="C974" s="1" t="str">
        <f t="shared" si="45"/>
        <v>Martell - Amador</v>
      </c>
      <c r="D974" s="512">
        <f t="shared" si="46"/>
        <v>5.3500000000000006E-2</v>
      </c>
      <c r="E974" s="261">
        <f t="shared" si="47"/>
        <v>1.014E-2</v>
      </c>
    </row>
    <row r="975" spans="1:5" ht="12.75" x14ac:dyDescent="0.2">
      <c r="A975" s="259" t="s">
        <v>1793</v>
      </c>
      <c r="B975" s="1" t="s">
        <v>767</v>
      </c>
      <c r="C975" s="1" t="str">
        <f t="shared" si="45"/>
        <v>Martinez - Contra Costa</v>
      </c>
      <c r="D975" s="512">
        <f t="shared" si="46"/>
        <v>4.7250000000000007E-2</v>
      </c>
      <c r="E975" s="261">
        <f t="shared" si="47"/>
        <v>1.163E-2</v>
      </c>
    </row>
    <row r="976" spans="1:5" ht="12.75" x14ac:dyDescent="0.2">
      <c r="A976" s="259" t="s">
        <v>1794</v>
      </c>
      <c r="B976" s="1" t="s">
        <v>932</v>
      </c>
      <c r="C976" s="1" t="str">
        <f t="shared" si="45"/>
        <v>Marysville - Yuba</v>
      </c>
      <c r="D976" s="512">
        <f t="shared" si="46"/>
        <v>7.2416666666666657E-2</v>
      </c>
      <c r="E976" s="261">
        <f t="shared" si="47"/>
        <v>1.102E-2</v>
      </c>
    </row>
    <row r="977" spans="1:5" ht="12.75" x14ac:dyDescent="0.2">
      <c r="A977" s="259" t="s">
        <v>1795</v>
      </c>
      <c r="B977" s="1" t="s">
        <v>843</v>
      </c>
      <c r="C977" s="1" t="str">
        <f t="shared" si="45"/>
        <v>Mather  - Sacramento</v>
      </c>
      <c r="D977" s="512">
        <f t="shared" si="46"/>
        <v>4.8833333333333326E-2</v>
      </c>
      <c r="E977" s="261">
        <f t="shared" si="47"/>
        <v>1.1519999999999999E-2</v>
      </c>
    </row>
    <row r="978" spans="1:5" ht="12.75" x14ac:dyDescent="0.2">
      <c r="A978" s="259" t="s">
        <v>1796</v>
      </c>
      <c r="B978" s="1" t="s">
        <v>968</v>
      </c>
      <c r="C978" s="1" t="str">
        <f t="shared" si="45"/>
        <v>Mather - Tuolumne</v>
      </c>
      <c r="D978" s="512">
        <f t="shared" si="46"/>
        <v>5.4333333333333338E-2</v>
      </c>
      <c r="E978" s="261">
        <f t="shared" si="47"/>
        <v>1.0780000000000001E-2</v>
      </c>
    </row>
    <row r="979" spans="1:5" ht="12.75" x14ac:dyDescent="0.2">
      <c r="A979" s="259" t="s">
        <v>1797</v>
      </c>
      <c r="B979" s="1" t="s">
        <v>859</v>
      </c>
      <c r="C979" s="1" t="str">
        <f t="shared" si="45"/>
        <v>Maxwell - Colusa</v>
      </c>
      <c r="D979" s="512">
        <f t="shared" si="46"/>
        <v>0.13600000000000001</v>
      </c>
      <c r="E979" s="261">
        <f t="shared" si="47"/>
        <v>1.098E-2</v>
      </c>
    </row>
    <row r="980" spans="1:5" ht="12.75" x14ac:dyDescent="0.2">
      <c r="A980" s="259" t="s">
        <v>1798</v>
      </c>
      <c r="B980" s="1" t="s">
        <v>732</v>
      </c>
      <c r="C980" s="1" t="str">
        <f t="shared" si="45"/>
        <v>Maywood - Los Angeles</v>
      </c>
      <c r="D980" s="512">
        <f t="shared" si="46"/>
        <v>5.4833333333333331E-2</v>
      </c>
      <c r="E980" s="261">
        <f t="shared" si="47"/>
        <v>1.1599999999999999E-2</v>
      </c>
    </row>
    <row r="981" spans="1:5" ht="12.75" x14ac:dyDescent="0.2">
      <c r="A981" s="259" t="s">
        <v>1799</v>
      </c>
      <c r="B981" s="1" t="s">
        <v>832</v>
      </c>
      <c r="C981" s="1" t="str">
        <f t="shared" si="45"/>
        <v>McArthur - Shasta</v>
      </c>
      <c r="D981" s="512">
        <f t="shared" si="46"/>
        <v>5.6416666666666657E-2</v>
      </c>
      <c r="E981" s="261">
        <f t="shared" si="47"/>
        <v>1.099E-2</v>
      </c>
    </row>
    <row r="982" spans="1:5" ht="12.75" x14ac:dyDescent="0.2">
      <c r="A982" s="259" t="s">
        <v>1800</v>
      </c>
      <c r="B982" s="1" t="s">
        <v>843</v>
      </c>
      <c r="C982" s="1" t="str">
        <f t="shared" si="45"/>
        <v>McClellan  - Sacramento</v>
      </c>
      <c r="D982" s="512">
        <f t="shared" si="46"/>
        <v>4.8833333333333326E-2</v>
      </c>
      <c r="E982" s="261">
        <f t="shared" si="47"/>
        <v>1.1519999999999999E-2</v>
      </c>
    </row>
    <row r="983" spans="1:5" ht="12.75" x14ac:dyDescent="0.2">
      <c r="A983" s="259" t="s">
        <v>1801</v>
      </c>
      <c r="B983" s="1" t="s">
        <v>1053</v>
      </c>
      <c r="C983" s="1" t="str">
        <f t="shared" si="45"/>
        <v>McCloud - Siskiyou</v>
      </c>
      <c r="D983" s="512">
        <f t="shared" si="46"/>
        <v>6.883333333333333E-2</v>
      </c>
      <c r="E983" s="261">
        <f t="shared" si="47"/>
        <v>1.0460000000000001E-2</v>
      </c>
    </row>
    <row r="984" spans="1:5" ht="12.75" x14ac:dyDescent="0.2">
      <c r="A984" s="259" t="s">
        <v>1802</v>
      </c>
      <c r="B984" s="1" t="s">
        <v>884</v>
      </c>
      <c r="C984" s="1" t="str">
        <f t="shared" si="45"/>
        <v>McFarland - Kern</v>
      </c>
      <c r="D984" s="512">
        <f t="shared" si="46"/>
        <v>8.9333333333333334E-2</v>
      </c>
      <c r="E984" s="261">
        <f t="shared" si="47"/>
        <v>1.238E-2</v>
      </c>
    </row>
    <row r="985" spans="1:5" ht="12.75" x14ac:dyDescent="0.2">
      <c r="A985" s="259" t="s">
        <v>1803</v>
      </c>
      <c r="B985" s="1" t="s">
        <v>777</v>
      </c>
      <c r="C985" s="1" t="str">
        <f t="shared" si="45"/>
        <v>McKinleyville - Humboldt</v>
      </c>
      <c r="D985" s="512">
        <f t="shared" si="46"/>
        <v>5.1583333333333321E-2</v>
      </c>
      <c r="E985" s="261">
        <f t="shared" si="47"/>
        <v>1.115E-2</v>
      </c>
    </row>
    <row r="986" spans="1:5" ht="12.75" x14ac:dyDescent="0.2">
      <c r="A986" s="259" t="s">
        <v>1804</v>
      </c>
      <c r="B986" s="1" t="s">
        <v>884</v>
      </c>
      <c r="C986" s="1" t="str">
        <f t="shared" si="45"/>
        <v>McKittrick - Kern</v>
      </c>
      <c r="D986" s="512">
        <f t="shared" si="46"/>
        <v>8.9333333333333334E-2</v>
      </c>
      <c r="E986" s="261">
        <f t="shared" si="47"/>
        <v>1.238E-2</v>
      </c>
    </row>
    <row r="987" spans="1:5" ht="12.75" x14ac:dyDescent="0.2">
      <c r="A987" s="259" t="s">
        <v>1805</v>
      </c>
      <c r="B987" s="1" t="s">
        <v>756</v>
      </c>
      <c r="C987" s="1" t="str">
        <f t="shared" si="45"/>
        <v>Mead Valley - Riverside</v>
      </c>
      <c r="D987" s="512">
        <f t="shared" si="46"/>
        <v>5.3749999999999999E-2</v>
      </c>
      <c r="E987" s="261">
        <f t="shared" si="47"/>
        <v>1.1859999999999999E-2</v>
      </c>
    </row>
    <row r="988" spans="1:5" ht="12.75" x14ac:dyDescent="0.2">
      <c r="A988" s="259" t="s">
        <v>1806</v>
      </c>
      <c r="B988" s="1" t="s">
        <v>791</v>
      </c>
      <c r="C988" s="1" t="str">
        <f t="shared" si="45"/>
        <v>Meadow Valley - Plumas</v>
      </c>
      <c r="D988" s="512">
        <f t="shared" si="46"/>
        <v>7.7250000000000013E-2</v>
      </c>
      <c r="E988" s="261">
        <f t="shared" si="47"/>
        <v>1.099E-2</v>
      </c>
    </row>
    <row r="989" spans="1:5" ht="12.75" x14ac:dyDescent="0.2">
      <c r="A989" s="259" t="s">
        <v>1807</v>
      </c>
      <c r="B989" s="1" t="s">
        <v>803</v>
      </c>
      <c r="C989" s="1" t="str">
        <f t="shared" si="45"/>
        <v>Meadow Vista - Placer</v>
      </c>
      <c r="D989" s="512">
        <f t="shared" si="46"/>
        <v>4.1833333333333347E-2</v>
      </c>
      <c r="E989" s="261">
        <f t="shared" si="47"/>
        <v>1.0880000000000001E-2</v>
      </c>
    </row>
    <row r="990" spans="1:5" ht="12.75" x14ac:dyDescent="0.2">
      <c r="A990" s="259" t="s">
        <v>1808</v>
      </c>
      <c r="B990" s="1" t="s">
        <v>756</v>
      </c>
      <c r="C990" s="1" t="str">
        <f t="shared" si="45"/>
        <v>Meadowbrook - Riverside</v>
      </c>
      <c r="D990" s="512">
        <f t="shared" si="46"/>
        <v>5.3749999999999999E-2</v>
      </c>
      <c r="E990" s="261">
        <f t="shared" si="47"/>
        <v>1.1859999999999999E-2</v>
      </c>
    </row>
    <row r="991" spans="1:5" ht="12.75" x14ac:dyDescent="0.2">
      <c r="A991" s="259" t="s">
        <v>1809</v>
      </c>
      <c r="B991" s="1" t="s">
        <v>756</v>
      </c>
      <c r="C991" s="1" t="str">
        <f t="shared" si="45"/>
        <v>Mecca - Riverside</v>
      </c>
      <c r="D991" s="512">
        <f t="shared" si="46"/>
        <v>5.3749999999999999E-2</v>
      </c>
      <c r="E991" s="261">
        <f t="shared" si="47"/>
        <v>1.1859999999999999E-2</v>
      </c>
    </row>
    <row r="992" spans="1:5" ht="12.75" x14ac:dyDescent="0.2">
      <c r="A992" s="259" t="s">
        <v>1810</v>
      </c>
      <c r="B992" s="1" t="s">
        <v>762</v>
      </c>
      <c r="C992" s="1" t="str">
        <f t="shared" si="45"/>
        <v>Meeks Bay - El Dorado</v>
      </c>
      <c r="D992" s="512">
        <f t="shared" si="46"/>
        <v>4.466666666666666E-2</v>
      </c>
      <c r="E992" s="261">
        <f t="shared" si="47"/>
        <v>1.0660000000000001E-2</v>
      </c>
    </row>
    <row r="993" spans="1:5" ht="12.75" x14ac:dyDescent="0.2">
      <c r="A993" s="259" t="s">
        <v>1811</v>
      </c>
      <c r="B993" s="1" t="s">
        <v>1058</v>
      </c>
      <c r="C993" s="1" t="str">
        <f t="shared" si="45"/>
        <v>Meiners Oaks - Ventura</v>
      </c>
      <c r="D993" s="512">
        <f t="shared" si="46"/>
        <v>4.7250000000000007E-2</v>
      </c>
      <c r="E993" s="261">
        <f t="shared" si="47"/>
        <v>1.098E-2</v>
      </c>
    </row>
    <row r="994" spans="1:5" ht="12.75" x14ac:dyDescent="0.2">
      <c r="A994" s="259" t="s">
        <v>774</v>
      </c>
      <c r="B994" s="1" t="s">
        <v>774</v>
      </c>
      <c r="C994" s="1" t="str">
        <f t="shared" si="45"/>
        <v>Mendocino - Mendocino</v>
      </c>
      <c r="D994" s="512">
        <f t="shared" si="46"/>
        <v>5.1916666666666667E-2</v>
      </c>
      <c r="E994" s="261">
        <f t="shared" si="47"/>
        <v>1.1650000000000001E-2</v>
      </c>
    </row>
    <row r="995" spans="1:5" ht="12.75" x14ac:dyDescent="0.2">
      <c r="A995" s="259" t="s">
        <v>1812</v>
      </c>
      <c r="B995" s="1" t="s">
        <v>895</v>
      </c>
      <c r="C995" s="1" t="str">
        <f t="shared" si="45"/>
        <v>Mendota - Fresno</v>
      </c>
      <c r="D995" s="512">
        <f t="shared" si="46"/>
        <v>8.0416666666666664E-2</v>
      </c>
      <c r="E995" s="261">
        <f t="shared" si="47"/>
        <v>1.2110000000000001E-2</v>
      </c>
    </row>
    <row r="996" spans="1:5" ht="12.75" x14ac:dyDescent="0.2">
      <c r="A996" s="259" t="s">
        <v>1813</v>
      </c>
      <c r="B996" s="1" t="s">
        <v>756</v>
      </c>
      <c r="C996" s="1" t="str">
        <f t="shared" si="45"/>
        <v>Menifee - Riverside</v>
      </c>
      <c r="D996" s="512">
        <f t="shared" si="46"/>
        <v>5.3749999999999999E-2</v>
      </c>
      <c r="E996" s="261">
        <f t="shared" si="47"/>
        <v>1.1859999999999999E-2</v>
      </c>
    </row>
    <row r="997" spans="1:5" ht="12.75" x14ac:dyDescent="0.2">
      <c r="A997" s="259" t="s">
        <v>1814</v>
      </c>
      <c r="B997" s="1" t="s">
        <v>890</v>
      </c>
      <c r="C997" s="1" t="str">
        <f t="shared" si="45"/>
        <v>Menlo Park - San Mateo</v>
      </c>
      <c r="D997" s="512">
        <f t="shared" si="46"/>
        <v>3.5000000000000003E-2</v>
      </c>
      <c r="E997" s="261">
        <f t="shared" si="47"/>
        <v>1.1089999999999999E-2</v>
      </c>
    </row>
    <row r="998" spans="1:5" ht="12.75" x14ac:dyDescent="0.2">
      <c r="A998" s="259" t="s">
        <v>1815</v>
      </c>
      <c r="B998" s="1" t="s">
        <v>738</v>
      </c>
      <c r="C998" s="1" t="str">
        <f t="shared" si="45"/>
        <v>Mentone - San Bernardino</v>
      </c>
      <c r="D998" s="512">
        <f t="shared" si="46"/>
        <v>5.1583333333333342E-2</v>
      </c>
      <c r="E998" s="261">
        <f t="shared" si="47"/>
        <v>1.1379999999999999E-2</v>
      </c>
    </row>
    <row r="999" spans="1:5" ht="12.75" x14ac:dyDescent="0.2">
      <c r="A999" s="259" t="s">
        <v>892</v>
      </c>
      <c r="B999" s="1" t="s">
        <v>892</v>
      </c>
      <c r="C999" s="1" t="str">
        <f t="shared" si="45"/>
        <v>Merced - Merced</v>
      </c>
      <c r="D999" s="512">
        <f t="shared" si="46"/>
        <v>9.6416666666666678E-2</v>
      </c>
      <c r="E999" s="261">
        <f t="shared" si="47"/>
        <v>1.0829999999999999E-2</v>
      </c>
    </row>
    <row r="1000" spans="1:5" ht="12.75" x14ac:dyDescent="0.2">
      <c r="A1000" s="259" t="s">
        <v>1816</v>
      </c>
      <c r="B1000" s="1" t="s">
        <v>1300</v>
      </c>
      <c r="C1000" s="1" t="str">
        <f t="shared" si="45"/>
        <v>Meridian - Sutter</v>
      </c>
      <c r="D1000" s="512">
        <f t="shared" si="46"/>
        <v>8.2583333333333328E-2</v>
      </c>
      <c r="E1000" s="261">
        <f t="shared" si="47"/>
        <v>1.099E-2</v>
      </c>
    </row>
    <row r="1001" spans="1:5" ht="12.75" x14ac:dyDescent="0.2">
      <c r="A1001" s="259" t="s">
        <v>1817</v>
      </c>
      <c r="B1001" s="1" t="s">
        <v>884</v>
      </c>
      <c r="C1001" s="1" t="str">
        <f t="shared" si="45"/>
        <v>Mettler - Kern</v>
      </c>
      <c r="D1001" s="512">
        <f t="shared" si="46"/>
        <v>8.9333333333333334E-2</v>
      </c>
      <c r="E1001" s="261">
        <f t="shared" si="47"/>
        <v>1.238E-2</v>
      </c>
    </row>
    <row r="1002" spans="1:5" ht="14.25" customHeight="1" x14ac:dyDescent="0.2">
      <c r="A1002" s="259" t="s">
        <v>1818</v>
      </c>
      <c r="B1002" s="1" t="s">
        <v>762</v>
      </c>
      <c r="C1002" s="1" t="str">
        <f t="shared" si="45"/>
        <v>Meyers - El Dorado</v>
      </c>
      <c r="D1002" s="512">
        <f t="shared" si="46"/>
        <v>4.466666666666666E-2</v>
      </c>
      <c r="E1002" s="261">
        <f t="shared" si="47"/>
        <v>1.0660000000000001E-2</v>
      </c>
    </row>
    <row r="1003" spans="1:5" ht="12.75" x14ac:dyDescent="0.2">
      <c r="A1003" s="259" t="s">
        <v>1819</v>
      </c>
      <c r="B1003" s="1" t="s">
        <v>1154</v>
      </c>
      <c r="C1003" s="1" t="str">
        <f t="shared" si="45"/>
        <v>Middletown - Lake</v>
      </c>
      <c r="D1003" s="512">
        <f t="shared" si="46"/>
        <v>6.1750000000000006E-2</v>
      </c>
      <c r="E1003" s="261">
        <f t="shared" si="47"/>
        <v>1.1160000000000002E-2</v>
      </c>
    </row>
    <row r="1004" spans="1:5" ht="12.75" x14ac:dyDescent="0.2">
      <c r="A1004" s="259" t="s">
        <v>1820</v>
      </c>
      <c r="B1004" s="1" t="s">
        <v>756</v>
      </c>
      <c r="C1004" s="1" t="str">
        <f t="shared" si="45"/>
        <v>Midland - Riverside</v>
      </c>
      <c r="D1004" s="512">
        <f t="shared" si="46"/>
        <v>5.3749999999999999E-2</v>
      </c>
      <c r="E1004" s="261">
        <f t="shared" si="47"/>
        <v>1.1859999999999999E-2</v>
      </c>
    </row>
    <row r="1005" spans="1:5" ht="12.75" x14ac:dyDescent="0.2">
      <c r="A1005" s="259" t="s">
        <v>1821</v>
      </c>
      <c r="B1005" s="1" t="s">
        <v>935</v>
      </c>
      <c r="C1005" s="1" t="str">
        <f t="shared" si="45"/>
        <v>Midpines - Mariposa</v>
      </c>
      <c r="D1005" s="512">
        <f t="shared" si="46"/>
        <v>5.2833333333333329E-2</v>
      </c>
      <c r="E1005" s="261">
        <f t="shared" si="47"/>
        <v>1.0369999999999999E-2</v>
      </c>
    </row>
    <row r="1006" spans="1:5" ht="12.75" x14ac:dyDescent="0.2">
      <c r="A1006" s="259" t="s">
        <v>1822</v>
      </c>
      <c r="B1006" s="1" t="s">
        <v>782</v>
      </c>
      <c r="C1006" s="1" t="str">
        <f t="shared" si="45"/>
        <v>Midway City - Orange</v>
      </c>
      <c r="D1006" s="512">
        <f t="shared" si="46"/>
        <v>3.9749999999999994E-2</v>
      </c>
      <c r="E1006" s="261">
        <f t="shared" si="47"/>
        <v>1.0660000000000001E-2</v>
      </c>
    </row>
    <row r="1007" spans="1:5" ht="16.5" customHeight="1" x14ac:dyDescent="0.2">
      <c r="A1007" s="259" t="s">
        <v>1823</v>
      </c>
      <c r="B1007" s="1" t="s">
        <v>959</v>
      </c>
      <c r="C1007" s="1" t="str">
        <f t="shared" si="45"/>
        <v>Milford - Lassen</v>
      </c>
      <c r="D1007" s="512">
        <f t="shared" si="46"/>
        <v>5.8083333333333327E-2</v>
      </c>
      <c r="E1007" s="261">
        <f t="shared" si="47"/>
        <v>1.018E-2</v>
      </c>
    </row>
    <row r="1008" spans="1:5" ht="12.75" x14ac:dyDescent="0.2">
      <c r="A1008" s="259" t="s">
        <v>1824</v>
      </c>
      <c r="B1008" s="1" t="s">
        <v>1188</v>
      </c>
      <c r="C1008" s="1" t="str">
        <f t="shared" si="45"/>
        <v>Mill Creek - Tehama</v>
      </c>
      <c r="D1008" s="512">
        <f t="shared" si="46"/>
        <v>6.3083333333333325E-2</v>
      </c>
      <c r="E1008" s="261">
        <f t="shared" si="47"/>
        <v>1.057E-2</v>
      </c>
    </row>
    <row r="1009" spans="1:5" ht="12.75" x14ac:dyDescent="0.2">
      <c r="A1009" s="259" t="s">
        <v>1825</v>
      </c>
      <c r="B1009" s="1" t="s">
        <v>946</v>
      </c>
      <c r="C1009" s="1" t="str">
        <f t="shared" si="45"/>
        <v>Mill Valley - Marin</v>
      </c>
      <c r="D1009" s="512">
        <f t="shared" si="46"/>
        <v>3.7749999999999999E-2</v>
      </c>
      <c r="E1009" s="261">
        <f t="shared" si="47"/>
        <v>1.1299999999999999E-2</v>
      </c>
    </row>
    <row r="1010" spans="1:5" ht="12.75" x14ac:dyDescent="0.2">
      <c r="A1010" s="259" t="s">
        <v>1826</v>
      </c>
      <c r="B1010" s="1" t="s">
        <v>890</v>
      </c>
      <c r="C1010" s="1" t="str">
        <f t="shared" si="45"/>
        <v>Millbrae - San Mateo</v>
      </c>
      <c r="D1010" s="512">
        <f t="shared" si="46"/>
        <v>3.5000000000000003E-2</v>
      </c>
      <c r="E1010" s="261">
        <f t="shared" si="47"/>
        <v>1.1089999999999999E-2</v>
      </c>
    </row>
    <row r="1011" spans="1:5" ht="12.75" x14ac:dyDescent="0.2">
      <c r="A1011" s="259" t="s">
        <v>1827</v>
      </c>
      <c r="B1011" s="1" t="s">
        <v>832</v>
      </c>
      <c r="C1011" s="1" t="str">
        <f t="shared" si="45"/>
        <v>Millville - Shasta</v>
      </c>
      <c r="D1011" s="512">
        <f t="shared" si="46"/>
        <v>5.6416666666666657E-2</v>
      </c>
      <c r="E1011" s="261">
        <f t="shared" si="47"/>
        <v>1.099E-2</v>
      </c>
    </row>
    <row r="1012" spans="1:5" ht="12.75" x14ac:dyDescent="0.2">
      <c r="A1012" s="259" t="s">
        <v>1828</v>
      </c>
      <c r="B1012" s="1" t="s">
        <v>788</v>
      </c>
      <c r="C1012" s="1" t="str">
        <f t="shared" si="45"/>
        <v>Milpitas - Santa Clara</v>
      </c>
      <c r="D1012" s="512">
        <f t="shared" si="46"/>
        <v>4.0750000000000001E-2</v>
      </c>
      <c r="E1012" s="261">
        <f t="shared" si="47"/>
        <v>1.2110000000000001E-2</v>
      </c>
    </row>
    <row r="1013" spans="1:5" ht="12.75" x14ac:dyDescent="0.2">
      <c r="A1013" s="259" t="s">
        <v>1829</v>
      </c>
      <c r="B1013" s="1" t="s">
        <v>1188</v>
      </c>
      <c r="C1013" s="1" t="str">
        <f t="shared" si="45"/>
        <v>Mineral - Tehama</v>
      </c>
      <c r="D1013" s="512">
        <f t="shared" si="46"/>
        <v>6.3083333333333325E-2</v>
      </c>
      <c r="E1013" s="261">
        <f t="shared" si="47"/>
        <v>1.057E-2</v>
      </c>
    </row>
    <row r="1014" spans="1:5" ht="12.75" x14ac:dyDescent="0.2">
      <c r="A1014" s="259" t="s">
        <v>1830</v>
      </c>
      <c r="B1014" s="1" t="s">
        <v>798</v>
      </c>
      <c r="C1014" s="1" t="str">
        <f t="shared" si="45"/>
        <v>Mineral King - Tulare</v>
      </c>
      <c r="D1014" s="512">
        <f t="shared" si="46"/>
        <v>0.10691666666666669</v>
      </c>
      <c r="E1014" s="261">
        <f t="shared" si="47"/>
        <v>1.0869999999999999E-2</v>
      </c>
    </row>
    <row r="1015" spans="1:5" ht="12.75" x14ac:dyDescent="0.2">
      <c r="A1015" s="259" t="s">
        <v>1831</v>
      </c>
      <c r="B1015" s="1" t="s">
        <v>732</v>
      </c>
      <c r="C1015" s="1" t="str">
        <f t="shared" si="45"/>
        <v>Mint Canyon - Los Angeles</v>
      </c>
      <c r="D1015" s="512">
        <f t="shared" si="46"/>
        <v>5.4833333333333331E-2</v>
      </c>
      <c r="E1015" s="261">
        <f t="shared" si="47"/>
        <v>1.1599999999999999E-2</v>
      </c>
    </row>
    <row r="1016" spans="1:5" ht="12.75" x14ac:dyDescent="0.2">
      <c r="A1016" s="259" t="s">
        <v>1832</v>
      </c>
      <c r="B1016" s="1" t="s">
        <v>756</v>
      </c>
      <c r="C1016" s="1" t="str">
        <f t="shared" si="45"/>
        <v>Mira Loma - Riverside</v>
      </c>
      <c r="D1016" s="512">
        <f t="shared" si="46"/>
        <v>5.3749999999999999E-2</v>
      </c>
      <c r="E1016" s="261">
        <f t="shared" si="47"/>
        <v>1.1859999999999999E-2</v>
      </c>
    </row>
    <row r="1017" spans="1:5" ht="12.75" x14ac:dyDescent="0.2">
      <c r="A1017" s="259" t="s">
        <v>1833</v>
      </c>
      <c r="B1017" s="1" t="s">
        <v>767</v>
      </c>
      <c r="C1017" s="1" t="str">
        <f t="shared" si="45"/>
        <v>Mira Vista - Contra Costa</v>
      </c>
      <c r="D1017" s="512">
        <f t="shared" si="46"/>
        <v>4.7250000000000007E-2</v>
      </c>
      <c r="E1017" s="261">
        <f t="shared" si="47"/>
        <v>1.163E-2</v>
      </c>
    </row>
    <row r="1018" spans="1:5" ht="12.75" x14ac:dyDescent="0.2">
      <c r="A1018" s="259" t="s">
        <v>1834</v>
      </c>
      <c r="B1018" s="1" t="s">
        <v>884</v>
      </c>
      <c r="C1018" s="1" t="str">
        <f t="shared" si="45"/>
        <v>Miracle Hot Springs - Kern</v>
      </c>
      <c r="D1018" s="512">
        <f t="shared" si="46"/>
        <v>8.9333333333333334E-2</v>
      </c>
      <c r="E1018" s="261">
        <f t="shared" si="47"/>
        <v>1.238E-2</v>
      </c>
    </row>
    <row r="1019" spans="1:5" ht="12.75" x14ac:dyDescent="0.2">
      <c r="A1019" s="259" t="s">
        <v>1835</v>
      </c>
      <c r="B1019" s="1" t="s">
        <v>751</v>
      </c>
      <c r="C1019" s="1" t="str">
        <f t="shared" si="45"/>
        <v>Miramar  - San Diego</v>
      </c>
      <c r="D1019" s="512">
        <f t="shared" si="46"/>
        <v>4.4750000000000005E-2</v>
      </c>
      <c r="E1019" s="261">
        <f t="shared" si="47"/>
        <v>1.167E-2</v>
      </c>
    </row>
    <row r="1020" spans="1:5" ht="12.75" x14ac:dyDescent="0.2">
      <c r="A1020" s="259" t="s">
        <v>1836</v>
      </c>
      <c r="B1020" s="1" t="s">
        <v>895</v>
      </c>
      <c r="C1020" s="1" t="str">
        <f t="shared" si="45"/>
        <v>Miramonte - Fresno</v>
      </c>
      <c r="D1020" s="512">
        <f t="shared" si="46"/>
        <v>8.0416666666666664E-2</v>
      </c>
      <c r="E1020" s="261">
        <f t="shared" si="47"/>
        <v>1.2110000000000001E-2</v>
      </c>
    </row>
    <row r="1021" spans="1:5" ht="12.75" x14ac:dyDescent="0.2">
      <c r="A1021" s="259" t="s">
        <v>1837</v>
      </c>
      <c r="B1021" s="1" t="s">
        <v>777</v>
      </c>
      <c r="C1021" s="1" t="str">
        <f t="shared" si="45"/>
        <v>Miranda - Humboldt</v>
      </c>
      <c r="D1021" s="512">
        <f t="shared" si="46"/>
        <v>5.1583333333333321E-2</v>
      </c>
      <c r="E1021" s="261">
        <f t="shared" si="47"/>
        <v>1.115E-2</v>
      </c>
    </row>
    <row r="1022" spans="1:5" ht="12.75" x14ac:dyDescent="0.2">
      <c r="A1022" s="259" t="s">
        <v>1838</v>
      </c>
      <c r="B1022" s="1" t="s">
        <v>732</v>
      </c>
      <c r="C1022" s="1" t="str">
        <f t="shared" si="45"/>
        <v>Mission Hills  - Los Angeles</v>
      </c>
      <c r="D1022" s="512">
        <f t="shared" si="46"/>
        <v>5.4833333333333331E-2</v>
      </c>
      <c r="E1022" s="261">
        <f t="shared" si="47"/>
        <v>1.1599999999999999E-2</v>
      </c>
    </row>
    <row r="1023" spans="1:5" ht="12.75" x14ac:dyDescent="0.2">
      <c r="A1023" s="259" t="s">
        <v>1839</v>
      </c>
      <c r="B1023" s="1" t="s">
        <v>782</v>
      </c>
      <c r="C1023" s="1" t="str">
        <f t="shared" si="45"/>
        <v>Mission Viejo - Orange</v>
      </c>
      <c r="D1023" s="512">
        <f t="shared" si="46"/>
        <v>3.9749999999999994E-2</v>
      </c>
      <c r="E1023" s="261">
        <f t="shared" si="47"/>
        <v>1.0660000000000001E-2</v>
      </c>
    </row>
    <row r="1024" spans="1:5" ht="12.75" x14ac:dyDescent="0.2">
      <c r="A1024" s="259" t="s">
        <v>1840</v>
      </c>
      <c r="B1024" s="1" t="s">
        <v>968</v>
      </c>
      <c r="C1024" s="1" t="str">
        <f t="shared" si="45"/>
        <v>Mi-Wuk Village - Tuolumne</v>
      </c>
      <c r="D1024" s="512">
        <f t="shared" si="46"/>
        <v>5.4333333333333338E-2</v>
      </c>
      <c r="E1024" s="261">
        <f t="shared" si="47"/>
        <v>1.0780000000000001E-2</v>
      </c>
    </row>
    <row r="1025" spans="1:5" ht="12.75" x14ac:dyDescent="0.2">
      <c r="A1025" s="259" t="s">
        <v>1841</v>
      </c>
      <c r="B1025" s="1" t="s">
        <v>968</v>
      </c>
      <c r="C1025" s="1" t="str">
        <f t="shared" si="45"/>
        <v>Moccasin - Tuolumne</v>
      </c>
      <c r="D1025" s="512">
        <f t="shared" si="46"/>
        <v>5.4333333333333338E-2</v>
      </c>
      <c r="E1025" s="261">
        <f t="shared" si="47"/>
        <v>1.0780000000000001E-2</v>
      </c>
    </row>
    <row r="1026" spans="1:5" ht="12.75" x14ac:dyDescent="0.2">
      <c r="A1026" s="259" t="s">
        <v>1842</v>
      </c>
      <c r="B1026" s="1" t="s">
        <v>1124</v>
      </c>
      <c r="C1026" s="1" t="str">
        <f t="shared" si="45"/>
        <v>Modesto - Stanislaus</v>
      </c>
      <c r="D1026" s="512">
        <f t="shared" si="46"/>
        <v>6.9833333333333331E-2</v>
      </c>
      <c r="E1026" s="261">
        <f t="shared" si="47"/>
        <v>1.1080000000000001E-2</v>
      </c>
    </row>
    <row r="1027" spans="1:5" ht="12.75" x14ac:dyDescent="0.2">
      <c r="A1027" s="259" t="s">
        <v>1843</v>
      </c>
      <c r="B1027" s="1" t="s">
        <v>788</v>
      </c>
      <c r="C1027" s="1" t="str">
        <f t="shared" si="45"/>
        <v>Moffett Field - Santa Clara</v>
      </c>
      <c r="D1027" s="512">
        <f t="shared" si="46"/>
        <v>4.0750000000000001E-2</v>
      </c>
      <c r="E1027" s="261">
        <f t="shared" si="47"/>
        <v>1.2110000000000001E-2</v>
      </c>
    </row>
    <row r="1028" spans="1:5" ht="12.75" x14ac:dyDescent="0.2">
      <c r="A1028" s="259" t="s">
        <v>1844</v>
      </c>
      <c r="B1028" s="1" t="s">
        <v>884</v>
      </c>
      <c r="C1028" s="1" t="str">
        <f t="shared" si="45"/>
        <v>Mojave - Kern</v>
      </c>
      <c r="D1028" s="512">
        <f t="shared" si="46"/>
        <v>8.9333333333333334E-2</v>
      </c>
      <c r="E1028" s="261">
        <f t="shared" si="47"/>
        <v>1.238E-2</v>
      </c>
    </row>
    <row r="1029" spans="1:5" ht="12.75" x14ac:dyDescent="0.2">
      <c r="A1029" s="259" t="s">
        <v>1845</v>
      </c>
      <c r="B1029" s="1" t="s">
        <v>810</v>
      </c>
      <c r="C1029" s="1" t="str">
        <f t="shared" si="45"/>
        <v>Mokelumne Hill - Calaveras</v>
      </c>
      <c r="D1029" s="512">
        <f t="shared" si="46"/>
        <v>4.7166666666666662E-2</v>
      </c>
      <c r="E1029" s="261">
        <f t="shared" si="47"/>
        <v>1.0920000000000001E-2</v>
      </c>
    </row>
    <row r="1030" spans="1:5" ht="12.75" x14ac:dyDescent="0.2">
      <c r="A1030" s="259" t="s">
        <v>1846</v>
      </c>
      <c r="B1030" s="1" t="s">
        <v>782</v>
      </c>
      <c r="C1030" s="1" t="str">
        <f t="shared" si="45"/>
        <v>Monarch Beach  - Orange</v>
      </c>
      <c r="D1030" s="512">
        <f t="shared" si="46"/>
        <v>3.9749999999999994E-2</v>
      </c>
      <c r="E1030" s="261">
        <f t="shared" si="47"/>
        <v>1.0660000000000001E-2</v>
      </c>
    </row>
    <row r="1031" spans="1:5" ht="12.75" x14ac:dyDescent="0.2">
      <c r="A1031" s="259" t="s">
        <v>1847</v>
      </c>
      <c r="B1031" s="1" t="s">
        <v>732</v>
      </c>
      <c r="C1031" s="1" t="str">
        <f t="shared" si="45"/>
        <v>Moneta - Los Angeles</v>
      </c>
      <c r="D1031" s="512">
        <f t="shared" si="46"/>
        <v>5.4833333333333331E-2</v>
      </c>
      <c r="E1031" s="261">
        <f t="shared" si="47"/>
        <v>1.1599999999999999E-2</v>
      </c>
    </row>
    <row r="1032" spans="1:5" ht="12.75" x14ac:dyDescent="0.2">
      <c r="A1032" s="259" t="s">
        <v>1848</v>
      </c>
      <c r="B1032" s="1" t="s">
        <v>895</v>
      </c>
      <c r="C1032" s="1" t="str">
        <f t="shared" ref="C1032:C1095" si="48">A1032&amp;" - "&amp;B1032</f>
        <v>Mono Hot Springs - Fresno</v>
      </c>
      <c r="D1032" s="512">
        <f t="shared" si="46"/>
        <v>8.0416666666666664E-2</v>
      </c>
      <c r="E1032" s="261">
        <f t="shared" si="47"/>
        <v>1.2110000000000001E-2</v>
      </c>
    </row>
    <row r="1033" spans="1:5" ht="12.75" x14ac:dyDescent="0.2">
      <c r="A1033" s="259" t="s">
        <v>1849</v>
      </c>
      <c r="B1033" s="1" t="s">
        <v>951</v>
      </c>
      <c r="C1033" s="1" t="str">
        <f t="shared" si="48"/>
        <v>Mono Lake - Mono</v>
      </c>
      <c r="D1033" s="512">
        <f t="shared" ref="D1033:D1096" si="49">VLOOKUP(B1033,unemployment_rates,2, FALSE)</f>
        <v>4.0166666666666663E-2</v>
      </c>
      <c r="E1033" s="261">
        <f t="shared" ref="E1033:E1096" si="50">VLOOKUP(B1033,Prop_Tax_Rates,2,FALSE)</f>
        <v>1.154E-2</v>
      </c>
    </row>
    <row r="1034" spans="1:5" ht="12.75" x14ac:dyDescent="0.2">
      <c r="A1034" s="259" t="s">
        <v>1850</v>
      </c>
      <c r="B1034" s="1" t="s">
        <v>884</v>
      </c>
      <c r="C1034" s="1" t="str">
        <f t="shared" si="48"/>
        <v>Monolith - Kern</v>
      </c>
      <c r="D1034" s="512">
        <f t="shared" si="49"/>
        <v>8.9333333333333334E-2</v>
      </c>
      <c r="E1034" s="261">
        <f t="shared" si="50"/>
        <v>1.238E-2</v>
      </c>
    </row>
    <row r="1035" spans="1:5" ht="12.75" x14ac:dyDescent="0.2">
      <c r="A1035" s="259" t="s">
        <v>1851</v>
      </c>
      <c r="B1035" s="1" t="s">
        <v>732</v>
      </c>
      <c r="C1035" s="1" t="str">
        <f t="shared" si="48"/>
        <v>Monrovia - Los Angeles</v>
      </c>
      <c r="D1035" s="512">
        <f t="shared" si="49"/>
        <v>5.4833333333333331E-2</v>
      </c>
      <c r="E1035" s="261">
        <f t="shared" si="50"/>
        <v>1.1599999999999999E-2</v>
      </c>
    </row>
    <row r="1036" spans="1:5" ht="12.75" x14ac:dyDescent="0.2">
      <c r="A1036" s="259" t="s">
        <v>1852</v>
      </c>
      <c r="B1036" s="1" t="s">
        <v>788</v>
      </c>
      <c r="C1036" s="1" t="str">
        <f t="shared" si="48"/>
        <v>Monta Vista - Santa Clara</v>
      </c>
      <c r="D1036" s="512">
        <f t="shared" si="49"/>
        <v>4.0750000000000001E-2</v>
      </c>
      <c r="E1036" s="261">
        <f t="shared" si="50"/>
        <v>1.2110000000000001E-2</v>
      </c>
    </row>
    <row r="1037" spans="1:5" ht="12.75" x14ac:dyDescent="0.2">
      <c r="A1037" s="259" t="s">
        <v>1853</v>
      </c>
      <c r="B1037" s="1" t="s">
        <v>1053</v>
      </c>
      <c r="C1037" s="1" t="str">
        <f t="shared" si="48"/>
        <v>Montague - Siskiyou</v>
      </c>
      <c r="D1037" s="512">
        <f t="shared" si="49"/>
        <v>6.883333333333333E-2</v>
      </c>
      <c r="E1037" s="261">
        <f t="shared" si="50"/>
        <v>1.0460000000000001E-2</v>
      </c>
    </row>
    <row r="1038" spans="1:5" ht="12.75" x14ac:dyDescent="0.2">
      <c r="A1038" s="259" t="s">
        <v>1854</v>
      </c>
      <c r="B1038" s="1" t="s">
        <v>1058</v>
      </c>
      <c r="C1038" s="1" t="str">
        <f t="shared" si="48"/>
        <v>Montalvo  - Ventura</v>
      </c>
      <c r="D1038" s="512">
        <f t="shared" si="49"/>
        <v>4.7250000000000007E-2</v>
      </c>
      <c r="E1038" s="261">
        <f t="shared" si="50"/>
        <v>1.098E-2</v>
      </c>
    </row>
    <row r="1039" spans="1:5" ht="12.75" x14ac:dyDescent="0.2">
      <c r="A1039" s="259" t="s">
        <v>1855</v>
      </c>
      <c r="B1039" s="1" t="s">
        <v>890</v>
      </c>
      <c r="C1039" s="1" t="str">
        <f t="shared" si="48"/>
        <v>Montara - San Mateo</v>
      </c>
      <c r="D1039" s="512">
        <f t="shared" si="49"/>
        <v>3.5000000000000003E-2</v>
      </c>
      <c r="E1039" s="261">
        <f t="shared" si="50"/>
        <v>1.1089999999999999E-2</v>
      </c>
    </row>
    <row r="1040" spans="1:5" ht="12.75" x14ac:dyDescent="0.2">
      <c r="A1040" s="259" t="s">
        <v>1856</v>
      </c>
      <c r="B1040" s="1" t="s">
        <v>738</v>
      </c>
      <c r="C1040" s="1" t="str">
        <f t="shared" si="48"/>
        <v>Montclair - San Bernardino</v>
      </c>
      <c r="D1040" s="512">
        <f t="shared" si="49"/>
        <v>5.1583333333333342E-2</v>
      </c>
      <c r="E1040" s="261">
        <f t="shared" si="50"/>
        <v>1.1379999999999999E-2</v>
      </c>
    </row>
    <row r="1041" spans="1:5" ht="12.75" x14ac:dyDescent="0.2">
      <c r="A1041" s="259" t="s">
        <v>1857</v>
      </c>
      <c r="B1041" s="1" t="s">
        <v>748</v>
      </c>
      <c r="C1041" s="1" t="str">
        <f t="shared" si="48"/>
        <v>Monte Rio - Sonoma</v>
      </c>
      <c r="D1041" s="512">
        <f t="shared" si="49"/>
        <v>4.0583333333333325E-2</v>
      </c>
      <c r="E1041" s="261">
        <f t="shared" si="50"/>
        <v>1.133E-2</v>
      </c>
    </row>
    <row r="1042" spans="1:5" ht="12.75" x14ac:dyDescent="0.2">
      <c r="A1042" s="259" t="s">
        <v>1858</v>
      </c>
      <c r="B1042" s="1" t="s">
        <v>788</v>
      </c>
      <c r="C1042" s="1" t="str">
        <f t="shared" si="48"/>
        <v>Monte Sereno - Santa Clara</v>
      </c>
      <c r="D1042" s="512">
        <f t="shared" si="49"/>
        <v>4.0750000000000001E-2</v>
      </c>
      <c r="E1042" s="261">
        <f t="shared" si="50"/>
        <v>1.2110000000000001E-2</v>
      </c>
    </row>
    <row r="1043" spans="1:5" ht="12.75" x14ac:dyDescent="0.2">
      <c r="A1043" s="259" t="s">
        <v>1859</v>
      </c>
      <c r="B1043" s="1" t="s">
        <v>732</v>
      </c>
      <c r="C1043" s="1" t="str">
        <f t="shared" si="48"/>
        <v>Montebello - Los Angeles</v>
      </c>
      <c r="D1043" s="512">
        <f t="shared" si="49"/>
        <v>5.4833333333333331E-2</v>
      </c>
      <c r="E1043" s="261">
        <f t="shared" si="50"/>
        <v>1.1599999999999999E-2</v>
      </c>
    </row>
    <row r="1044" spans="1:5" ht="12.75" x14ac:dyDescent="0.2">
      <c r="A1044" s="259" t="s">
        <v>1860</v>
      </c>
      <c r="B1044" s="1" t="s">
        <v>911</v>
      </c>
      <c r="C1044" s="1" t="str">
        <f t="shared" si="48"/>
        <v>Montecito - Santa Barbara</v>
      </c>
      <c r="D1044" s="512">
        <f t="shared" si="49"/>
        <v>4.5333333333333344E-2</v>
      </c>
      <c r="E1044" s="261">
        <f t="shared" si="50"/>
        <v>1.0740000000000001E-2</v>
      </c>
    </row>
    <row r="1045" spans="1:5" ht="12.75" x14ac:dyDescent="0.2">
      <c r="A1045" s="259" t="s">
        <v>876</v>
      </c>
      <c r="B1045" s="1" t="s">
        <v>876</v>
      </c>
      <c r="C1045" s="1" t="str">
        <f t="shared" si="48"/>
        <v>Monterey - Monterey</v>
      </c>
      <c r="D1045" s="512">
        <f t="shared" si="49"/>
        <v>7.425000000000001E-2</v>
      </c>
      <c r="E1045" s="261">
        <f t="shared" si="50"/>
        <v>1.098E-2</v>
      </c>
    </row>
    <row r="1046" spans="1:5" ht="12.75" x14ac:dyDescent="0.2">
      <c r="A1046" s="259" t="s">
        <v>1861</v>
      </c>
      <c r="B1046" s="1" t="s">
        <v>856</v>
      </c>
      <c r="C1046" s="1" t="str">
        <f t="shared" si="48"/>
        <v>Monterey Bay Academy - Santa Cruz</v>
      </c>
      <c r="D1046" s="512">
        <f t="shared" si="49"/>
        <v>6.2416666666666669E-2</v>
      </c>
      <c r="E1046" s="261">
        <f t="shared" si="50"/>
        <v>1.106E-2</v>
      </c>
    </row>
    <row r="1047" spans="1:5" ht="12.75" x14ac:dyDescent="0.2">
      <c r="A1047" s="259" t="s">
        <v>1862</v>
      </c>
      <c r="B1047" s="1" t="s">
        <v>732</v>
      </c>
      <c r="C1047" s="1" t="str">
        <f t="shared" si="48"/>
        <v>Monterey Park - Los Angeles</v>
      </c>
      <c r="D1047" s="512">
        <f t="shared" si="49"/>
        <v>5.4833333333333331E-2</v>
      </c>
      <c r="E1047" s="261">
        <f t="shared" si="50"/>
        <v>1.1599999999999999E-2</v>
      </c>
    </row>
    <row r="1048" spans="1:5" ht="12.75" x14ac:dyDescent="0.2">
      <c r="A1048" s="259" t="s">
        <v>1863</v>
      </c>
      <c r="B1048" s="1" t="s">
        <v>832</v>
      </c>
      <c r="C1048" s="1" t="str">
        <f t="shared" si="48"/>
        <v>Montgomery Creek - Shasta</v>
      </c>
      <c r="D1048" s="512">
        <f t="shared" si="49"/>
        <v>5.6416666666666657E-2</v>
      </c>
      <c r="E1048" s="261">
        <f t="shared" si="50"/>
        <v>1.099E-2</v>
      </c>
    </row>
    <row r="1049" spans="1:5" ht="12.75" x14ac:dyDescent="0.2">
      <c r="A1049" s="259" t="s">
        <v>1864</v>
      </c>
      <c r="B1049" s="1" t="s">
        <v>732</v>
      </c>
      <c r="C1049" s="1" t="str">
        <f t="shared" si="48"/>
        <v>Montrose - Los Angeles</v>
      </c>
      <c r="D1049" s="512">
        <f t="shared" si="49"/>
        <v>5.4833333333333331E-2</v>
      </c>
      <c r="E1049" s="261">
        <f t="shared" si="50"/>
        <v>1.1599999999999999E-2</v>
      </c>
    </row>
    <row r="1050" spans="1:5" ht="12.75" x14ac:dyDescent="0.2">
      <c r="A1050" s="259" t="s">
        <v>1865</v>
      </c>
      <c r="B1050" s="1" t="s">
        <v>798</v>
      </c>
      <c r="C1050" s="1" t="str">
        <f t="shared" si="48"/>
        <v>Mooney - Tulare</v>
      </c>
      <c r="D1050" s="512">
        <f t="shared" si="49"/>
        <v>0.10691666666666669</v>
      </c>
      <c r="E1050" s="261">
        <f t="shared" si="50"/>
        <v>1.0869999999999999E-2</v>
      </c>
    </row>
    <row r="1051" spans="1:5" ht="12.75" x14ac:dyDescent="0.2">
      <c r="A1051" s="259" t="s">
        <v>1866</v>
      </c>
      <c r="B1051" s="1" t="s">
        <v>738</v>
      </c>
      <c r="C1051" s="1" t="str">
        <f t="shared" si="48"/>
        <v>Moonridge - San Bernardino</v>
      </c>
      <c r="D1051" s="512">
        <f t="shared" si="49"/>
        <v>5.1583333333333342E-2</v>
      </c>
      <c r="E1051" s="261">
        <f t="shared" si="50"/>
        <v>1.1379999999999999E-2</v>
      </c>
    </row>
    <row r="1052" spans="1:5" ht="12.75" x14ac:dyDescent="0.2">
      <c r="A1052" s="259" t="s">
        <v>1867</v>
      </c>
      <c r="B1052" s="1" t="s">
        <v>1058</v>
      </c>
      <c r="C1052" s="1" t="str">
        <f t="shared" si="48"/>
        <v>Moorpark - Ventura</v>
      </c>
      <c r="D1052" s="512">
        <f t="shared" si="49"/>
        <v>4.7250000000000007E-2</v>
      </c>
      <c r="E1052" s="261">
        <f t="shared" si="50"/>
        <v>1.098E-2</v>
      </c>
    </row>
    <row r="1053" spans="1:5" ht="12.75" x14ac:dyDescent="0.2">
      <c r="A1053" s="259" t="s">
        <v>1868</v>
      </c>
      <c r="B1053" s="1" t="s">
        <v>767</v>
      </c>
      <c r="C1053" s="1" t="str">
        <f t="shared" si="48"/>
        <v>Moraga - Contra Costa</v>
      </c>
      <c r="D1053" s="512">
        <f t="shared" si="49"/>
        <v>4.7250000000000007E-2</v>
      </c>
      <c r="E1053" s="261">
        <f t="shared" si="50"/>
        <v>1.163E-2</v>
      </c>
    </row>
    <row r="1054" spans="1:5" ht="12.75" x14ac:dyDescent="0.2">
      <c r="A1054" s="259" t="s">
        <v>1869</v>
      </c>
      <c r="B1054" s="1" t="s">
        <v>756</v>
      </c>
      <c r="C1054" s="1" t="str">
        <f t="shared" si="48"/>
        <v>Moreno Valley - Riverside</v>
      </c>
      <c r="D1054" s="512">
        <f t="shared" si="49"/>
        <v>5.3749999999999999E-2</v>
      </c>
      <c r="E1054" s="261">
        <f t="shared" si="50"/>
        <v>1.1859999999999999E-2</v>
      </c>
    </row>
    <row r="1055" spans="1:5" ht="12.75" x14ac:dyDescent="0.2">
      <c r="A1055" s="259" t="s">
        <v>1870</v>
      </c>
      <c r="B1055" s="1" t="s">
        <v>788</v>
      </c>
      <c r="C1055" s="1" t="str">
        <f t="shared" si="48"/>
        <v>Morgan Hill - Santa Clara</v>
      </c>
      <c r="D1055" s="512">
        <f t="shared" si="49"/>
        <v>4.0750000000000001E-2</v>
      </c>
      <c r="E1055" s="261">
        <f t="shared" si="50"/>
        <v>1.2110000000000001E-2</v>
      </c>
    </row>
    <row r="1056" spans="1:5" ht="12.75" x14ac:dyDescent="0.2">
      <c r="A1056" s="259" t="s">
        <v>1871</v>
      </c>
      <c r="B1056" s="1" t="s">
        <v>738</v>
      </c>
      <c r="C1056" s="1" t="str">
        <f t="shared" si="48"/>
        <v>Morongo Valley - San Bernardino</v>
      </c>
      <c r="D1056" s="512">
        <f t="shared" si="49"/>
        <v>5.1583333333333342E-2</v>
      </c>
      <c r="E1056" s="261">
        <f t="shared" si="50"/>
        <v>1.1379999999999999E-2</v>
      </c>
    </row>
    <row r="1057" spans="1:5" ht="12.75" x14ac:dyDescent="0.2">
      <c r="A1057" s="259" t="s">
        <v>1872</v>
      </c>
      <c r="B1057" s="1" t="s">
        <v>735</v>
      </c>
      <c r="C1057" s="1" t="str">
        <f t="shared" si="48"/>
        <v>Morro Bay - San Luis Obispo</v>
      </c>
      <c r="D1057" s="512">
        <f t="shared" si="49"/>
        <v>3.8833333333333331E-2</v>
      </c>
      <c r="E1057" s="261">
        <f t="shared" si="50"/>
        <v>1.085E-2</v>
      </c>
    </row>
    <row r="1058" spans="1:5" ht="12.75" x14ac:dyDescent="0.2">
      <c r="A1058" s="259" t="s">
        <v>1873</v>
      </c>
      <c r="B1058" s="1" t="s">
        <v>735</v>
      </c>
      <c r="C1058" s="1" t="str">
        <f t="shared" si="48"/>
        <v>Morro Plaza - San Luis Obispo</v>
      </c>
      <c r="D1058" s="512">
        <f t="shared" si="49"/>
        <v>3.8833333333333331E-2</v>
      </c>
      <c r="E1058" s="261">
        <f t="shared" si="50"/>
        <v>1.085E-2</v>
      </c>
    </row>
    <row r="1059" spans="1:5" ht="12.75" x14ac:dyDescent="0.2">
      <c r="A1059" s="259" t="s">
        <v>1874</v>
      </c>
      <c r="B1059" s="1" t="s">
        <v>890</v>
      </c>
      <c r="C1059" s="1" t="str">
        <f t="shared" si="48"/>
        <v>Moss Beach - San Mateo</v>
      </c>
      <c r="D1059" s="512">
        <f t="shared" si="49"/>
        <v>3.5000000000000003E-2</v>
      </c>
      <c r="E1059" s="261">
        <f t="shared" si="50"/>
        <v>1.1089999999999999E-2</v>
      </c>
    </row>
    <row r="1060" spans="1:5" ht="12.75" x14ac:dyDescent="0.2">
      <c r="A1060" s="259" t="s">
        <v>1875</v>
      </c>
      <c r="B1060" s="1" t="s">
        <v>876</v>
      </c>
      <c r="C1060" s="1" t="str">
        <f t="shared" si="48"/>
        <v>Moss Landing - Monterey</v>
      </c>
      <c r="D1060" s="512">
        <f t="shared" si="49"/>
        <v>7.425000000000001E-2</v>
      </c>
      <c r="E1060" s="261">
        <f t="shared" si="50"/>
        <v>1.098E-2</v>
      </c>
    </row>
    <row r="1061" spans="1:5" ht="12.75" x14ac:dyDescent="0.2">
      <c r="A1061" s="259" t="s">
        <v>1876</v>
      </c>
      <c r="B1061" s="1" t="s">
        <v>788</v>
      </c>
      <c r="C1061" s="1" t="str">
        <f t="shared" si="48"/>
        <v>Mount Hamilton - Santa Clara</v>
      </c>
      <c r="D1061" s="512">
        <f t="shared" si="49"/>
        <v>4.0750000000000001E-2</v>
      </c>
      <c r="E1061" s="261">
        <f t="shared" si="50"/>
        <v>1.2110000000000001E-2</v>
      </c>
    </row>
    <row r="1062" spans="1:5" ht="12.75" x14ac:dyDescent="0.2">
      <c r="A1062" s="259" t="s">
        <v>1877</v>
      </c>
      <c r="B1062" s="1" t="s">
        <v>1053</v>
      </c>
      <c r="C1062" s="1" t="str">
        <f t="shared" si="48"/>
        <v>Mount Hebron - Siskiyou</v>
      </c>
      <c r="D1062" s="512">
        <f t="shared" si="49"/>
        <v>6.883333333333333E-2</v>
      </c>
      <c r="E1062" s="261">
        <f t="shared" si="50"/>
        <v>1.0460000000000001E-2</v>
      </c>
    </row>
    <row r="1063" spans="1:5" ht="12.75" x14ac:dyDescent="0.2">
      <c r="A1063" s="259" t="s">
        <v>1878</v>
      </c>
      <c r="B1063" s="1" t="s">
        <v>856</v>
      </c>
      <c r="C1063" s="1" t="str">
        <f t="shared" si="48"/>
        <v>Mount Hermon - Santa Cruz</v>
      </c>
      <c r="D1063" s="512">
        <f t="shared" si="49"/>
        <v>6.2416666666666669E-2</v>
      </c>
      <c r="E1063" s="261">
        <f t="shared" si="50"/>
        <v>1.106E-2</v>
      </c>
    </row>
    <row r="1064" spans="1:5" ht="12.75" x14ac:dyDescent="0.2">
      <c r="A1064" s="259" t="s">
        <v>1879</v>
      </c>
      <c r="B1064" s="1" t="s">
        <v>751</v>
      </c>
      <c r="C1064" s="1" t="str">
        <f t="shared" si="48"/>
        <v>Mount Laguna - San Diego</v>
      </c>
      <c r="D1064" s="512">
        <f t="shared" si="49"/>
        <v>4.4750000000000005E-2</v>
      </c>
      <c r="E1064" s="261">
        <f t="shared" si="50"/>
        <v>1.167E-2</v>
      </c>
    </row>
    <row r="1065" spans="1:5" ht="12.75" x14ac:dyDescent="0.2">
      <c r="A1065" s="259" t="s">
        <v>1880</v>
      </c>
      <c r="B1065" s="1" t="s">
        <v>1053</v>
      </c>
      <c r="C1065" s="1" t="str">
        <f t="shared" si="48"/>
        <v>Mount Shasta - Siskiyou</v>
      </c>
      <c r="D1065" s="512">
        <f t="shared" si="49"/>
        <v>6.883333333333333E-2</v>
      </c>
      <c r="E1065" s="261">
        <f t="shared" si="50"/>
        <v>1.0460000000000001E-2</v>
      </c>
    </row>
    <row r="1066" spans="1:5" ht="12.75" x14ac:dyDescent="0.2">
      <c r="A1066" s="259" t="s">
        <v>1881</v>
      </c>
      <c r="B1066" s="1" t="s">
        <v>732</v>
      </c>
      <c r="C1066" s="1" t="str">
        <f t="shared" si="48"/>
        <v>Mount Wilson - Los Angeles</v>
      </c>
      <c r="D1066" s="512">
        <f t="shared" si="49"/>
        <v>5.4833333333333331E-2</v>
      </c>
      <c r="E1066" s="261">
        <f t="shared" si="50"/>
        <v>1.1599999999999999E-2</v>
      </c>
    </row>
    <row r="1067" spans="1:5" ht="12.75" x14ac:dyDescent="0.2">
      <c r="A1067" s="259" t="s">
        <v>1882</v>
      </c>
      <c r="B1067" s="1" t="s">
        <v>756</v>
      </c>
      <c r="C1067" s="1" t="str">
        <f t="shared" si="48"/>
        <v>Mountain Center - Riverside</v>
      </c>
      <c r="D1067" s="512">
        <f t="shared" si="49"/>
        <v>5.3749999999999999E-2</v>
      </c>
      <c r="E1067" s="261">
        <f t="shared" si="50"/>
        <v>1.1859999999999999E-2</v>
      </c>
    </row>
    <row r="1068" spans="1:5" ht="12.75" x14ac:dyDescent="0.2">
      <c r="A1068" s="259" t="s">
        <v>1883</v>
      </c>
      <c r="B1068" s="1" t="s">
        <v>884</v>
      </c>
      <c r="C1068" s="1" t="str">
        <f t="shared" si="48"/>
        <v>Mountain Mesa - Kern</v>
      </c>
      <c r="D1068" s="512">
        <f t="shared" si="49"/>
        <v>8.9333333333333334E-2</v>
      </c>
      <c r="E1068" s="261">
        <f t="shared" si="50"/>
        <v>1.238E-2</v>
      </c>
    </row>
    <row r="1069" spans="1:5" ht="12.75" x14ac:dyDescent="0.2">
      <c r="A1069" s="259" t="s">
        <v>1884</v>
      </c>
      <c r="B1069" s="1" t="s">
        <v>738</v>
      </c>
      <c r="C1069" s="1" t="str">
        <f t="shared" si="48"/>
        <v>Mountain Pass - San Bernardino</v>
      </c>
      <c r="D1069" s="512">
        <f t="shared" si="49"/>
        <v>5.1583333333333342E-2</v>
      </c>
      <c r="E1069" s="261">
        <f t="shared" si="50"/>
        <v>1.1379999999999999E-2</v>
      </c>
    </row>
    <row r="1070" spans="1:5" ht="12.75" x14ac:dyDescent="0.2">
      <c r="A1070" s="259" t="s">
        <v>1885</v>
      </c>
      <c r="B1070" s="1" t="s">
        <v>810</v>
      </c>
      <c r="C1070" s="1" t="str">
        <f t="shared" si="48"/>
        <v>Mountain Ranch - Calaveras</v>
      </c>
      <c r="D1070" s="512">
        <f t="shared" si="49"/>
        <v>4.7166666666666662E-2</v>
      </c>
      <c r="E1070" s="261">
        <f t="shared" si="50"/>
        <v>1.0920000000000001E-2</v>
      </c>
    </row>
    <row r="1071" spans="1:5" ht="12.75" x14ac:dyDescent="0.2">
      <c r="A1071" s="259" t="s">
        <v>1886</v>
      </c>
      <c r="B1071" s="1" t="s">
        <v>788</v>
      </c>
      <c r="C1071" s="1" t="str">
        <f t="shared" si="48"/>
        <v>Mountain View - Santa Clara</v>
      </c>
      <c r="D1071" s="512">
        <f t="shared" si="49"/>
        <v>4.0750000000000001E-2</v>
      </c>
      <c r="E1071" s="261">
        <f t="shared" si="50"/>
        <v>1.2110000000000001E-2</v>
      </c>
    </row>
    <row r="1072" spans="1:5" ht="12.75" x14ac:dyDescent="0.2">
      <c r="A1072" s="259" t="s">
        <v>1887</v>
      </c>
      <c r="B1072" s="1" t="s">
        <v>762</v>
      </c>
      <c r="C1072" s="1" t="str">
        <f t="shared" si="48"/>
        <v>Mt. Aukum - El Dorado</v>
      </c>
      <c r="D1072" s="512">
        <f t="shared" si="49"/>
        <v>4.466666666666666E-2</v>
      </c>
      <c r="E1072" s="261">
        <f t="shared" si="50"/>
        <v>1.0660000000000001E-2</v>
      </c>
    </row>
    <row r="1073" spans="1:5" ht="12.75" x14ac:dyDescent="0.2">
      <c r="A1073" s="259" t="s">
        <v>1888</v>
      </c>
      <c r="B1073" s="1" t="s">
        <v>738</v>
      </c>
      <c r="C1073" s="1" t="str">
        <f t="shared" si="48"/>
        <v>Mt. Baldy - San Bernardino</v>
      </c>
      <c r="D1073" s="512">
        <f t="shared" si="49"/>
        <v>5.1583333333333342E-2</v>
      </c>
      <c r="E1073" s="261">
        <f t="shared" si="50"/>
        <v>1.1379999999999999E-2</v>
      </c>
    </row>
    <row r="1074" spans="1:5" ht="12.75" x14ac:dyDescent="0.2">
      <c r="A1074" s="259" t="s">
        <v>1889</v>
      </c>
      <c r="B1074" s="1" t="s">
        <v>810</v>
      </c>
      <c r="C1074" s="1" t="str">
        <f t="shared" si="48"/>
        <v>Murphys - Calaveras</v>
      </c>
      <c r="D1074" s="512">
        <f t="shared" si="49"/>
        <v>4.7166666666666662E-2</v>
      </c>
      <c r="E1074" s="261">
        <f t="shared" si="50"/>
        <v>1.0920000000000001E-2</v>
      </c>
    </row>
    <row r="1075" spans="1:5" ht="12.75" x14ac:dyDescent="0.2">
      <c r="A1075" s="259" t="s">
        <v>1890</v>
      </c>
      <c r="B1075" s="1" t="s">
        <v>756</v>
      </c>
      <c r="C1075" s="1" t="str">
        <f t="shared" si="48"/>
        <v>Murrieta - Riverside</v>
      </c>
      <c r="D1075" s="512">
        <f t="shared" si="49"/>
        <v>5.3749999999999999E-2</v>
      </c>
      <c r="E1075" s="261">
        <f t="shared" si="50"/>
        <v>1.1859999999999999E-2</v>
      </c>
    </row>
    <row r="1076" spans="1:5" ht="12.75" x14ac:dyDescent="0.2">
      <c r="A1076" s="259" t="s">
        <v>1891</v>
      </c>
      <c r="B1076" s="1" t="s">
        <v>738</v>
      </c>
      <c r="C1076" s="1" t="str">
        <f t="shared" si="48"/>
        <v>Muscoy - San Bernardino</v>
      </c>
      <c r="D1076" s="512">
        <f t="shared" si="49"/>
        <v>5.1583333333333342E-2</v>
      </c>
      <c r="E1076" s="261">
        <f t="shared" si="50"/>
        <v>1.1379999999999999E-2</v>
      </c>
    </row>
    <row r="1077" spans="1:5" ht="12.75" x14ac:dyDescent="0.2">
      <c r="A1077" s="259" t="s">
        <v>1892</v>
      </c>
      <c r="B1077" s="1" t="s">
        <v>777</v>
      </c>
      <c r="C1077" s="1" t="str">
        <f t="shared" si="48"/>
        <v>Myers Flat - Humboldt</v>
      </c>
      <c r="D1077" s="512">
        <f t="shared" si="49"/>
        <v>5.1583333333333321E-2</v>
      </c>
      <c r="E1077" s="261">
        <f t="shared" si="50"/>
        <v>1.115E-2</v>
      </c>
    </row>
    <row r="1078" spans="1:5" ht="12.75" x14ac:dyDescent="0.2">
      <c r="A1078" s="259" t="s">
        <v>827</v>
      </c>
      <c r="B1078" s="1" t="s">
        <v>827</v>
      </c>
      <c r="C1078" s="1" t="str">
        <f t="shared" si="48"/>
        <v>Napa - Napa</v>
      </c>
      <c r="D1078" s="512">
        <f t="shared" si="49"/>
        <v>0.04</v>
      </c>
      <c r="E1078" s="261">
        <f t="shared" si="50"/>
        <v>1.102E-2</v>
      </c>
    </row>
    <row r="1079" spans="1:5" ht="12.75" x14ac:dyDescent="0.2">
      <c r="A1079" s="259" t="s">
        <v>1893</v>
      </c>
      <c r="B1079" s="1" t="s">
        <v>732</v>
      </c>
      <c r="C1079" s="1" t="str">
        <f t="shared" si="48"/>
        <v>Naples - Los Angeles</v>
      </c>
      <c r="D1079" s="512">
        <f t="shared" si="49"/>
        <v>5.4833333333333331E-2</v>
      </c>
      <c r="E1079" s="261">
        <f t="shared" si="50"/>
        <v>1.1599999999999999E-2</v>
      </c>
    </row>
    <row r="1080" spans="1:5" ht="12.75" x14ac:dyDescent="0.2">
      <c r="A1080" s="259" t="s">
        <v>1894</v>
      </c>
      <c r="B1080" s="1" t="s">
        <v>762</v>
      </c>
      <c r="C1080" s="1" t="str">
        <f t="shared" si="48"/>
        <v>Nashville - El Dorado</v>
      </c>
      <c r="D1080" s="512">
        <f t="shared" si="49"/>
        <v>4.466666666666666E-2</v>
      </c>
      <c r="E1080" s="261">
        <f t="shared" si="50"/>
        <v>1.0660000000000001E-2</v>
      </c>
    </row>
    <row r="1081" spans="1:5" ht="12.75" x14ac:dyDescent="0.2">
      <c r="A1081" s="259" t="s">
        <v>1895</v>
      </c>
      <c r="B1081" s="1" t="s">
        <v>751</v>
      </c>
      <c r="C1081" s="1" t="str">
        <f t="shared" si="48"/>
        <v>National City - San Diego</v>
      </c>
      <c r="D1081" s="512">
        <f t="shared" si="49"/>
        <v>4.4750000000000005E-2</v>
      </c>
      <c r="E1081" s="261">
        <f t="shared" si="50"/>
        <v>1.167E-2</v>
      </c>
    </row>
    <row r="1082" spans="1:5" ht="12.75" x14ac:dyDescent="0.2">
      <c r="A1082" s="259" t="s">
        <v>1896</v>
      </c>
      <c r="B1082" s="1" t="s">
        <v>751</v>
      </c>
      <c r="C1082" s="1" t="str">
        <f t="shared" si="48"/>
        <v>Naval  - San Diego</v>
      </c>
      <c r="D1082" s="512">
        <f t="shared" si="49"/>
        <v>4.4750000000000005E-2</v>
      </c>
      <c r="E1082" s="261">
        <f t="shared" si="50"/>
        <v>1.167E-2</v>
      </c>
    </row>
    <row r="1083" spans="1:5" ht="12.75" x14ac:dyDescent="0.2">
      <c r="A1083" s="259" t="s">
        <v>1896</v>
      </c>
      <c r="B1083" s="1" t="s">
        <v>1058</v>
      </c>
      <c r="C1083" s="1" t="str">
        <f t="shared" si="48"/>
        <v>Naval  - Ventura</v>
      </c>
      <c r="D1083" s="512">
        <f t="shared" si="49"/>
        <v>4.7250000000000007E-2</v>
      </c>
      <c r="E1083" s="261">
        <f t="shared" si="50"/>
        <v>1.098E-2</v>
      </c>
    </row>
    <row r="1084" spans="1:5" ht="12.75" x14ac:dyDescent="0.2">
      <c r="A1084" s="259" t="s">
        <v>1897</v>
      </c>
      <c r="B1084" s="1" t="s">
        <v>872</v>
      </c>
      <c r="C1084" s="1" t="str">
        <f t="shared" si="48"/>
        <v>Naval Air Station  - Kings</v>
      </c>
      <c r="D1084" s="512">
        <f t="shared" si="49"/>
        <v>8.7083333333333346E-2</v>
      </c>
      <c r="E1084" s="261">
        <f t="shared" si="50"/>
        <v>1.0820000000000001E-2</v>
      </c>
    </row>
    <row r="1085" spans="1:5" ht="12.75" x14ac:dyDescent="0.2">
      <c r="A1085" s="259" t="s">
        <v>1897</v>
      </c>
      <c r="B1085" s="1" t="s">
        <v>751</v>
      </c>
      <c r="C1085" s="1" t="str">
        <f t="shared" si="48"/>
        <v>Naval Air Station  - San Diego</v>
      </c>
      <c r="D1085" s="512">
        <f t="shared" si="49"/>
        <v>4.4750000000000005E-2</v>
      </c>
      <c r="E1085" s="261">
        <f t="shared" si="50"/>
        <v>1.167E-2</v>
      </c>
    </row>
    <row r="1086" spans="1:5" ht="12.75" x14ac:dyDescent="0.2">
      <c r="A1086" s="259" t="s">
        <v>1898</v>
      </c>
      <c r="B1086" s="1" t="s">
        <v>764</v>
      </c>
      <c r="C1086" s="1" t="str">
        <f t="shared" si="48"/>
        <v>Naval Air Station - Alameda</v>
      </c>
      <c r="D1086" s="512">
        <f t="shared" si="49"/>
        <v>4.7E-2</v>
      </c>
      <c r="E1086" s="261">
        <f t="shared" si="50"/>
        <v>1.2430000000000002E-2</v>
      </c>
    </row>
    <row r="1087" spans="1:5" ht="12.75" x14ac:dyDescent="0.2">
      <c r="A1087" s="259" t="s">
        <v>1899</v>
      </c>
      <c r="B1087" s="1" t="s">
        <v>764</v>
      </c>
      <c r="C1087" s="1" t="str">
        <f t="shared" si="48"/>
        <v>Naval Hospital  - Alameda</v>
      </c>
      <c r="D1087" s="512">
        <f t="shared" si="49"/>
        <v>4.7E-2</v>
      </c>
      <c r="E1087" s="261">
        <f t="shared" si="50"/>
        <v>1.2430000000000002E-2</v>
      </c>
    </row>
    <row r="1088" spans="1:5" ht="12.75" x14ac:dyDescent="0.2">
      <c r="A1088" s="259" t="s">
        <v>1899</v>
      </c>
      <c r="B1088" s="1" t="s">
        <v>751</v>
      </c>
      <c r="C1088" s="1" t="str">
        <f t="shared" si="48"/>
        <v>Naval Hospital  - San Diego</v>
      </c>
      <c r="D1088" s="512">
        <f t="shared" si="49"/>
        <v>4.4750000000000005E-2</v>
      </c>
      <c r="E1088" s="261">
        <f t="shared" si="50"/>
        <v>1.167E-2</v>
      </c>
    </row>
    <row r="1089" spans="1:5" ht="12.75" x14ac:dyDescent="0.2">
      <c r="A1089" s="259" t="s">
        <v>1900</v>
      </c>
      <c r="B1089" s="1" t="s">
        <v>764</v>
      </c>
      <c r="C1089" s="1" t="str">
        <f t="shared" si="48"/>
        <v>Naval Supply Center  - Alameda</v>
      </c>
      <c r="D1089" s="512">
        <f t="shared" si="49"/>
        <v>4.7E-2</v>
      </c>
      <c r="E1089" s="261">
        <f t="shared" si="50"/>
        <v>1.2430000000000002E-2</v>
      </c>
    </row>
    <row r="1090" spans="1:5" ht="12.75" x14ac:dyDescent="0.2">
      <c r="A1090" s="259" t="s">
        <v>1901</v>
      </c>
      <c r="B1090" s="1" t="s">
        <v>751</v>
      </c>
      <c r="C1090" s="1" t="str">
        <f t="shared" si="48"/>
        <v>Naval Training Center  - San Diego</v>
      </c>
      <c r="D1090" s="512">
        <f t="shared" si="49"/>
        <v>4.4750000000000005E-2</v>
      </c>
      <c r="E1090" s="261">
        <f t="shared" si="50"/>
        <v>1.167E-2</v>
      </c>
    </row>
    <row r="1091" spans="1:5" ht="12.75" x14ac:dyDescent="0.2">
      <c r="A1091" s="259" t="s">
        <v>1902</v>
      </c>
      <c r="B1091" s="1" t="s">
        <v>774</v>
      </c>
      <c r="C1091" s="1" t="str">
        <f t="shared" si="48"/>
        <v>Navarro - Mendocino</v>
      </c>
      <c r="D1091" s="512">
        <f t="shared" si="49"/>
        <v>5.1916666666666667E-2</v>
      </c>
      <c r="E1091" s="261">
        <f t="shared" si="50"/>
        <v>1.1650000000000001E-2</v>
      </c>
    </row>
    <row r="1092" spans="1:5" ht="12.75" x14ac:dyDescent="0.2">
      <c r="A1092" s="259" t="s">
        <v>1903</v>
      </c>
      <c r="B1092" s="1" t="s">
        <v>738</v>
      </c>
      <c r="C1092" s="1" t="str">
        <f t="shared" si="48"/>
        <v>Needles - San Bernardino</v>
      </c>
      <c r="D1092" s="512">
        <f t="shared" si="49"/>
        <v>5.1583333333333342E-2</v>
      </c>
      <c r="E1092" s="261">
        <f t="shared" si="50"/>
        <v>1.1379999999999999E-2</v>
      </c>
    </row>
    <row r="1093" spans="1:5" ht="12.75" x14ac:dyDescent="0.2">
      <c r="A1093" s="259" t="s">
        <v>1904</v>
      </c>
      <c r="B1093" s="1" t="s">
        <v>915</v>
      </c>
      <c r="C1093" s="1" t="str">
        <f t="shared" si="48"/>
        <v>Nelson - Butte</v>
      </c>
      <c r="D1093" s="512">
        <f t="shared" si="49"/>
        <v>5.8999999999999983E-2</v>
      </c>
      <c r="E1093" s="261">
        <f t="shared" si="50"/>
        <v>1.1169999999999999E-2</v>
      </c>
    </row>
    <row r="1094" spans="1:5" ht="12.75" x14ac:dyDescent="0.2">
      <c r="A1094" s="259" t="s">
        <v>1905</v>
      </c>
      <c r="B1094" s="1" t="s">
        <v>1118</v>
      </c>
      <c r="C1094" s="1" t="str">
        <f t="shared" si="48"/>
        <v>Nevada City - Nevada</v>
      </c>
      <c r="D1094" s="512">
        <f t="shared" si="49"/>
        <v>4.3166666666666673E-2</v>
      </c>
      <c r="E1094" s="261">
        <f t="shared" si="50"/>
        <v>1.0620000000000001E-2</v>
      </c>
    </row>
    <row r="1095" spans="1:5" ht="12.75" x14ac:dyDescent="0.2">
      <c r="A1095" s="259" t="s">
        <v>1906</v>
      </c>
      <c r="B1095" s="1" t="s">
        <v>788</v>
      </c>
      <c r="C1095" s="1" t="str">
        <f t="shared" si="48"/>
        <v>New Almaden - Santa Clara</v>
      </c>
      <c r="D1095" s="512">
        <f t="shared" si="49"/>
        <v>4.0750000000000001E-2</v>
      </c>
      <c r="E1095" s="261">
        <f t="shared" si="50"/>
        <v>1.2110000000000001E-2</v>
      </c>
    </row>
    <row r="1096" spans="1:5" ht="12.75" x14ac:dyDescent="0.2">
      <c r="A1096" s="259" t="s">
        <v>1907</v>
      </c>
      <c r="B1096" s="1" t="s">
        <v>911</v>
      </c>
      <c r="C1096" s="1" t="str">
        <f t="shared" ref="C1096:C1159" si="51">A1096&amp;" - "&amp;B1096</f>
        <v>New Cuyama - Santa Barbara</v>
      </c>
      <c r="D1096" s="512">
        <f t="shared" si="49"/>
        <v>4.5333333333333344E-2</v>
      </c>
      <c r="E1096" s="261">
        <f t="shared" si="50"/>
        <v>1.0740000000000001E-2</v>
      </c>
    </row>
    <row r="1097" spans="1:5" ht="12.75" x14ac:dyDescent="0.2">
      <c r="A1097" s="259" t="s">
        <v>1908</v>
      </c>
      <c r="B1097" s="1" t="s">
        <v>1530</v>
      </c>
      <c r="C1097" s="1" t="str">
        <f t="shared" si="51"/>
        <v>New Idria - San Benito</v>
      </c>
      <c r="D1097" s="512">
        <f t="shared" ref="D1097:D1160" si="52">VLOOKUP(B1097,unemployment_rates,2, FALSE)</f>
        <v>6.5999999999999989E-2</v>
      </c>
      <c r="E1097" s="261">
        <f t="shared" ref="E1097:E1160" si="53">VLOOKUP(B1097,Prop_Tax_Rates,2,FALSE)</f>
        <v>1.2119999999999999E-2</v>
      </c>
    </row>
    <row r="1098" spans="1:5" ht="12.75" x14ac:dyDescent="0.2">
      <c r="A1098" s="259" t="s">
        <v>1909</v>
      </c>
      <c r="B1098" s="1" t="s">
        <v>764</v>
      </c>
      <c r="C1098" s="1" t="str">
        <f t="shared" si="51"/>
        <v>Newark - Alameda</v>
      </c>
      <c r="D1098" s="512">
        <f t="shared" si="52"/>
        <v>4.7E-2</v>
      </c>
      <c r="E1098" s="261">
        <f t="shared" si="53"/>
        <v>1.2430000000000002E-2</v>
      </c>
    </row>
    <row r="1099" spans="1:5" ht="12.75" x14ac:dyDescent="0.2">
      <c r="A1099" s="259" t="s">
        <v>1910</v>
      </c>
      <c r="B1099" s="1" t="s">
        <v>738</v>
      </c>
      <c r="C1099" s="1" t="str">
        <f t="shared" si="51"/>
        <v>Newberry - San Bernardino</v>
      </c>
      <c r="D1099" s="512">
        <f t="shared" si="52"/>
        <v>5.1583333333333342E-2</v>
      </c>
      <c r="E1099" s="261">
        <f t="shared" si="53"/>
        <v>1.1379999999999999E-2</v>
      </c>
    </row>
    <row r="1100" spans="1:5" ht="12.75" x14ac:dyDescent="0.2">
      <c r="A1100" s="259" t="s">
        <v>1911</v>
      </c>
      <c r="B1100" s="1" t="s">
        <v>738</v>
      </c>
      <c r="C1100" s="1" t="str">
        <f t="shared" si="51"/>
        <v>Newberry Springs - San Bernardino</v>
      </c>
      <c r="D1100" s="512">
        <f t="shared" si="52"/>
        <v>5.1583333333333342E-2</v>
      </c>
      <c r="E1100" s="261">
        <f t="shared" si="53"/>
        <v>1.1379999999999999E-2</v>
      </c>
    </row>
    <row r="1101" spans="1:5" ht="12.75" x14ac:dyDescent="0.2">
      <c r="A1101" s="259" t="s">
        <v>1912</v>
      </c>
      <c r="B1101" s="1" t="s">
        <v>1058</v>
      </c>
      <c r="C1101" s="1" t="str">
        <f t="shared" si="51"/>
        <v>Newbury Park  - Ventura</v>
      </c>
      <c r="D1101" s="512">
        <f t="shared" si="52"/>
        <v>4.7250000000000007E-2</v>
      </c>
      <c r="E1101" s="261">
        <f t="shared" si="53"/>
        <v>1.098E-2</v>
      </c>
    </row>
    <row r="1102" spans="1:5" ht="12.75" x14ac:dyDescent="0.2">
      <c r="A1102" s="259" t="s">
        <v>1913</v>
      </c>
      <c r="B1102" s="1" t="s">
        <v>803</v>
      </c>
      <c r="C1102" s="1" t="str">
        <f t="shared" si="51"/>
        <v>Newcastle - Placer</v>
      </c>
      <c r="D1102" s="512">
        <f t="shared" si="52"/>
        <v>4.1833333333333347E-2</v>
      </c>
      <c r="E1102" s="261">
        <f t="shared" si="53"/>
        <v>1.0880000000000001E-2</v>
      </c>
    </row>
    <row r="1103" spans="1:5" ht="12.75" x14ac:dyDescent="0.2">
      <c r="A1103" s="259" t="s">
        <v>1914</v>
      </c>
      <c r="B1103" s="1" t="s">
        <v>732</v>
      </c>
      <c r="C1103" s="1" t="str">
        <f t="shared" si="51"/>
        <v>Newhall  - Los Angeles</v>
      </c>
      <c r="D1103" s="512">
        <f t="shared" si="52"/>
        <v>5.4833333333333331E-2</v>
      </c>
      <c r="E1103" s="261">
        <f t="shared" si="53"/>
        <v>1.1599999999999999E-2</v>
      </c>
    </row>
    <row r="1104" spans="1:5" ht="12.75" x14ac:dyDescent="0.2">
      <c r="A1104" s="259" t="s">
        <v>1915</v>
      </c>
      <c r="B1104" s="1" t="s">
        <v>1124</v>
      </c>
      <c r="C1104" s="1" t="str">
        <f t="shared" si="51"/>
        <v>Newman - Stanislaus</v>
      </c>
      <c r="D1104" s="512">
        <f t="shared" si="52"/>
        <v>6.9833333333333331E-2</v>
      </c>
      <c r="E1104" s="261">
        <f t="shared" si="53"/>
        <v>1.1080000000000001E-2</v>
      </c>
    </row>
    <row r="1105" spans="1:5" ht="12.75" x14ac:dyDescent="0.2">
      <c r="A1105" s="259" t="s">
        <v>1916</v>
      </c>
      <c r="B1105" s="1" t="s">
        <v>782</v>
      </c>
      <c r="C1105" s="1" t="str">
        <f t="shared" si="51"/>
        <v>Newport Beach - Orange</v>
      </c>
      <c r="D1105" s="512">
        <f t="shared" si="52"/>
        <v>3.9749999999999994E-2</v>
      </c>
      <c r="E1105" s="261">
        <f t="shared" si="53"/>
        <v>1.0660000000000001E-2</v>
      </c>
    </row>
    <row r="1106" spans="1:5" ht="12.75" x14ac:dyDescent="0.2">
      <c r="A1106" s="259" t="s">
        <v>1917</v>
      </c>
      <c r="B1106" s="1" t="s">
        <v>946</v>
      </c>
      <c r="C1106" s="1" t="str">
        <f t="shared" si="51"/>
        <v>Nicasio - Marin</v>
      </c>
      <c r="D1106" s="512">
        <f t="shared" si="52"/>
        <v>3.7749999999999999E-2</v>
      </c>
      <c r="E1106" s="261">
        <f t="shared" si="53"/>
        <v>1.1299999999999999E-2</v>
      </c>
    </row>
    <row r="1107" spans="1:5" ht="12.75" x14ac:dyDescent="0.2">
      <c r="A1107" s="259" t="s">
        <v>1918</v>
      </c>
      <c r="B1107" s="1" t="s">
        <v>1154</v>
      </c>
      <c r="C1107" s="1" t="str">
        <f t="shared" si="51"/>
        <v>Nice - Lake</v>
      </c>
      <c r="D1107" s="512">
        <f t="shared" si="52"/>
        <v>6.1750000000000006E-2</v>
      </c>
      <c r="E1107" s="261">
        <f t="shared" si="53"/>
        <v>1.1160000000000002E-2</v>
      </c>
    </row>
    <row r="1108" spans="1:5" ht="12.75" x14ac:dyDescent="0.2">
      <c r="A1108" s="259" t="s">
        <v>1919</v>
      </c>
      <c r="B1108" s="1" t="s">
        <v>1300</v>
      </c>
      <c r="C1108" s="1" t="str">
        <f t="shared" si="51"/>
        <v>Nicolaus - Sutter</v>
      </c>
      <c r="D1108" s="512">
        <f t="shared" si="52"/>
        <v>8.2583333333333328E-2</v>
      </c>
      <c r="E1108" s="261">
        <f t="shared" si="53"/>
        <v>1.099E-2</v>
      </c>
    </row>
    <row r="1109" spans="1:5" ht="12.75" x14ac:dyDescent="0.2">
      <c r="A1109" s="259" t="s">
        <v>1920</v>
      </c>
      <c r="B1109" s="1" t="s">
        <v>919</v>
      </c>
      <c r="C1109" s="1" t="str">
        <f t="shared" si="51"/>
        <v>Niland - Imperial</v>
      </c>
      <c r="D1109" s="512">
        <f t="shared" si="52"/>
        <v>0.17949999999999999</v>
      </c>
      <c r="E1109" s="261">
        <f t="shared" si="53"/>
        <v>1.206E-2</v>
      </c>
    </row>
    <row r="1110" spans="1:5" ht="12.75" x14ac:dyDescent="0.2">
      <c r="A1110" s="259" t="s">
        <v>1921</v>
      </c>
      <c r="B1110" s="1" t="s">
        <v>735</v>
      </c>
      <c r="C1110" s="1" t="str">
        <f t="shared" si="51"/>
        <v>Nipomo - San Luis Obispo</v>
      </c>
      <c r="D1110" s="512">
        <f t="shared" si="52"/>
        <v>3.8833333333333331E-2</v>
      </c>
      <c r="E1110" s="261">
        <f t="shared" si="53"/>
        <v>1.085E-2</v>
      </c>
    </row>
    <row r="1111" spans="1:5" ht="12.75" x14ac:dyDescent="0.2">
      <c r="A1111" s="259" t="s">
        <v>1922</v>
      </c>
      <c r="B1111" s="1" t="s">
        <v>738</v>
      </c>
      <c r="C1111" s="1" t="str">
        <f t="shared" si="51"/>
        <v>Nipton - San Bernardino</v>
      </c>
      <c r="D1111" s="512">
        <f t="shared" si="52"/>
        <v>5.1583333333333342E-2</v>
      </c>
      <c r="E1111" s="261">
        <f t="shared" si="53"/>
        <v>1.1379999999999999E-2</v>
      </c>
    </row>
    <row r="1112" spans="1:5" ht="12.75" x14ac:dyDescent="0.2">
      <c r="A1112" s="259" t="s">
        <v>1923</v>
      </c>
      <c r="B1112" s="1" t="s">
        <v>756</v>
      </c>
      <c r="C1112" s="1" t="str">
        <f t="shared" si="51"/>
        <v>Norco - Riverside</v>
      </c>
      <c r="D1112" s="512">
        <f t="shared" si="52"/>
        <v>5.3749999999999999E-2</v>
      </c>
      <c r="E1112" s="261">
        <f t="shared" si="53"/>
        <v>1.1859999999999999E-2</v>
      </c>
    </row>
    <row r="1113" spans="1:5" ht="12.75" x14ac:dyDescent="0.2">
      <c r="A1113" s="259" t="s">
        <v>1924</v>
      </c>
      <c r="B1113" s="1" t="s">
        <v>1118</v>
      </c>
      <c r="C1113" s="1" t="str">
        <f t="shared" si="51"/>
        <v>Norden - Nevada</v>
      </c>
      <c r="D1113" s="512">
        <f t="shared" si="52"/>
        <v>4.3166666666666673E-2</v>
      </c>
      <c r="E1113" s="261">
        <f t="shared" si="53"/>
        <v>1.0620000000000001E-2</v>
      </c>
    </row>
    <row r="1114" spans="1:5" ht="12.75" x14ac:dyDescent="0.2">
      <c r="A1114" s="259" t="s">
        <v>1925</v>
      </c>
      <c r="B1114" s="1" t="s">
        <v>884</v>
      </c>
      <c r="C1114" s="1" t="str">
        <f t="shared" si="51"/>
        <v>North Edwards - Kern</v>
      </c>
      <c r="D1114" s="512">
        <f t="shared" si="52"/>
        <v>8.9333333333333334E-2</v>
      </c>
      <c r="E1114" s="261">
        <f t="shared" si="53"/>
        <v>1.238E-2</v>
      </c>
    </row>
    <row r="1115" spans="1:5" ht="12.75" x14ac:dyDescent="0.2">
      <c r="A1115" s="259" t="s">
        <v>1926</v>
      </c>
      <c r="B1115" s="1" t="s">
        <v>759</v>
      </c>
      <c r="C1115" s="1" t="str">
        <f t="shared" si="51"/>
        <v>North Fork - Madera</v>
      </c>
      <c r="D1115" s="512">
        <f t="shared" si="52"/>
        <v>7.8166666666666662E-2</v>
      </c>
      <c r="E1115" s="261">
        <f t="shared" si="53"/>
        <v>1.098E-2</v>
      </c>
    </row>
    <row r="1116" spans="1:5" ht="12.75" x14ac:dyDescent="0.2">
      <c r="A1116" s="259" t="s">
        <v>1927</v>
      </c>
      <c r="B1116" s="1" t="s">
        <v>732</v>
      </c>
      <c r="C1116" s="1" t="str">
        <f t="shared" si="51"/>
        <v>North Gardena - Los Angeles</v>
      </c>
      <c r="D1116" s="512">
        <f t="shared" si="52"/>
        <v>5.4833333333333331E-2</v>
      </c>
      <c r="E1116" s="261">
        <f t="shared" si="53"/>
        <v>1.1599999999999999E-2</v>
      </c>
    </row>
    <row r="1117" spans="1:5" ht="12.75" x14ac:dyDescent="0.2">
      <c r="A1117" s="259" t="s">
        <v>1928</v>
      </c>
      <c r="B1117" s="1" t="s">
        <v>843</v>
      </c>
      <c r="C1117" s="1" t="str">
        <f t="shared" si="51"/>
        <v>North Highlands - Sacramento</v>
      </c>
      <c r="D1117" s="512">
        <f t="shared" si="52"/>
        <v>4.8833333333333326E-2</v>
      </c>
      <c r="E1117" s="261">
        <f t="shared" si="53"/>
        <v>1.1519999999999999E-2</v>
      </c>
    </row>
    <row r="1118" spans="1:5" ht="12.75" x14ac:dyDescent="0.2">
      <c r="A1118" s="259" t="s">
        <v>1929</v>
      </c>
      <c r="B1118" s="1" t="s">
        <v>732</v>
      </c>
      <c r="C1118" s="1" t="str">
        <f t="shared" si="51"/>
        <v>North Hills  - Los Angeles</v>
      </c>
      <c r="D1118" s="512">
        <f t="shared" si="52"/>
        <v>5.4833333333333331E-2</v>
      </c>
      <c r="E1118" s="261">
        <f t="shared" si="53"/>
        <v>1.1599999999999999E-2</v>
      </c>
    </row>
    <row r="1119" spans="1:5" ht="12.75" x14ac:dyDescent="0.2">
      <c r="A1119" s="259" t="s">
        <v>1930</v>
      </c>
      <c r="B1119" s="1" t="s">
        <v>732</v>
      </c>
      <c r="C1119" s="1" t="str">
        <f t="shared" si="51"/>
        <v>North Hollywood  - Los Angeles</v>
      </c>
      <c r="D1119" s="512">
        <f t="shared" si="52"/>
        <v>5.4833333333333331E-2</v>
      </c>
      <c r="E1119" s="261">
        <f t="shared" si="53"/>
        <v>1.1599999999999999E-2</v>
      </c>
    </row>
    <row r="1120" spans="1:5" ht="12.75" x14ac:dyDescent="0.2">
      <c r="A1120" s="259" t="s">
        <v>1931</v>
      </c>
      <c r="B1120" s="1" t="s">
        <v>756</v>
      </c>
      <c r="C1120" s="1" t="str">
        <f t="shared" si="51"/>
        <v>North Palm Springs - Riverside</v>
      </c>
      <c r="D1120" s="512">
        <f t="shared" si="52"/>
        <v>5.3749999999999999E-2</v>
      </c>
      <c r="E1120" s="261">
        <f t="shared" si="53"/>
        <v>1.1859999999999999E-2</v>
      </c>
    </row>
    <row r="1121" spans="1:5" ht="12.75" x14ac:dyDescent="0.2">
      <c r="A1121" s="259" t="s">
        <v>1932</v>
      </c>
      <c r="B1121" s="1" t="s">
        <v>1118</v>
      </c>
      <c r="C1121" s="1" t="str">
        <f t="shared" si="51"/>
        <v>North San Juan - Nevada</v>
      </c>
      <c r="D1121" s="512">
        <f t="shared" si="52"/>
        <v>4.3166666666666673E-2</v>
      </c>
      <c r="E1121" s="261">
        <f t="shared" si="53"/>
        <v>1.0620000000000001E-2</v>
      </c>
    </row>
    <row r="1122" spans="1:5" ht="12.75" x14ac:dyDescent="0.2">
      <c r="A1122" s="259" t="s">
        <v>1933</v>
      </c>
      <c r="B1122" s="1" t="s">
        <v>756</v>
      </c>
      <c r="C1122" s="1" t="str">
        <f t="shared" si="51"/>
        <v>North Shore - Riverside</v>
      </c>
      <c r="D1122" s="512">
        <f t="shared" si="52"/>
        <v>5.3749999999999999E-2</v>
      </c>
      <c r="E1122" s="261">
        <f t="shared" si="53"/>
        <v>1.1859999999999999E-2</v>
      </c>
    </row>
    <row r="1123" spans="1:5" ht="12.75" x14ac:dyDescent="0.2">
      <c r="A1123" s="259" t="s">
        <v>1934</v>
      </c>
      <c r="B1123" s="1" t="s">
        <v>732</v>
      </c>
      <c r="C1123" s="1" t="str">
        <f t="shared" si="51"/>
        <v>Northridge  - Los Angeles</v>
      </c>
      <c r="D1123" s="512">
        <f t="shared" si="52"/>
        <v>5.4833333333333331E-2</v>
      </c>
      <c r="E1123" s="261">
        <f t="shared" si="53"/>
        <v>1.1599999999999999E-2</v>
      </c>
    </row>
    <row r="1124" spans="1:5" ht="12.75" x14ac:dyDescent="0.2">
      <c r="A1124" s="259" t="s">
        <v>1935</v>
      </c>
      <c r="B1124" s="1" t="s">
        <v>738</v>
      </c>
      <c r="C1124" s="1" t="str">
        <f t="shared" si="51"/>
        <v>Norton A.F.B. - San Bernardino</v>
      </c>
      <c r="D1124" s="512">
        <f t="shared" si="52"/>
        <v>5.1583333333333342E-2</v>
      </c>
      <c r="E1124" s="261">
        <f t="shared" si="53"/>
        <v>1.1379999999999999E-2</v>
      </c>
    </row>
    <row r="1125" spans="1:5" ht="12.75" x14ac:dyDescent="0.2">
      <c r="A1125" s="259" t="s">
        <v>1936</v>
      </c>
      <c r="B1125" s="1" t="s">
        <v>732</v>
      </c>
      <c r="C1125" s="1" t="str">
        <f t="shared" si="51"/>
        <v>Norwalk - Los Angeles</v>
      </c>
      <c r="D1125" s="512">
        <f t="shared" si="52"/>
        <v>5.4833333333333331E-2</v>
      </c>
      <c r="E1125" s="261">
        <f t="shared" si="53"/>
        <v>1.1599999999999999E-2</v>
      </c>
    </row>
    <row r="1126" spans="1:5" ht="12.75" x14ac:dyDescent="0.2">
      <c r="A1126" s="259" t="s">
        <v>1937</v>
      </c>
      <c r="B1126" s="1" t="s">
        <v>946</v>
      </c>
      <c r="C1126" s="1" t="str">
        <f t="shared" si="51"/>
        <v>Novato - Marin</v>
      </c>
      <c r="D1126" s="512">
        <f t="shared" si="52"/>
        <v>3.7749999999999999E-2</v>
      </c>
      <c r="E1126" s="261">
        <f t="shared" si="53"/>
        <v>1.1299999999999999E-2</v>
      </c>
    </row>
    <row r="1127" spans="1:5" ht="12.75" x14ac:dyDescent="0.2">
      <c r="A1127" s="259" t="s">
        <v>1938</v>
      </c>
      <c r="B1127" s="1" t="s">
        <v>959</v>
      </c>
      <c r="C1127" s="1" t="str">
        <f t="shared" si="51"/>
        <v>Nubieber - Lassen</v>
      </c>
      <c r="D1127" s="512">
        <f t="shared" si="52"/>
        <v>5.8083333333333327E-2</v>
      </c>
      <c r="E1127" s="261">
        <f t="shared" si="53"/>
        <v>1.018E-2</v>
      </c>
    </row>
    <row r="1128" spans="1:5" ht="12.75" x14ac:dyDescent="0.2">
      <c r="A1128" s="259" t="s">
        <v>1939</v>
      </c>
      <c r="B1128" s="1" t="s">
        <v>756</v>
      </c>
      <c r="C1128" s="1" t="str">
        <f t="shared" si="51"/>
        <v>Nuevo - Riverside</v>
      </c>
      <c r="D1128" s="512">
        <f t="shared" si="52"/>
        <v>5.3749999999999999E-2</v>
      </c>
      <c r="E1128" s="261">
        <f t="shared" si="53"/>
        <v>1.1859999999999999E-2</v>
      </c>
    </row>
    <row r="1129" spans="1:5" ht="12.75" x14ac:dyDescent="0.2">
      <c r="A1129" s="259" t="s">
        <v>1940</v>
      </c>
      <c r="B1129" s="1" t="s">
        <v>1058</v>
      </c>
      <c r="C1129" s="1" t="str">
        <f t="shared" si="51"/>
        <v>Nyeland Acres - Ventura</v>
      </c>
      <c r="D1129" s="512">
        <f t="shared" si="52"/>
        <v>4.7250000000000007E-2</v>
      </c>
      <c r="E1129" s="261">
        <f t="shared" si="53"/>
        <v>1.098E-2</v>
      </c>
    </row>
    <row r="1130" spans="1:5" ht="12.75" x14ac:dyDescent="0.2">
      <c r="A1130" s="259" t="s">
        <v>1941</v>
      </c>
      <c r="B1130" s="1" t="s">
        <v>1058</v>
      </c>
      <c r="C1130" s="1" t="str">
        <f t="shared" si="51"/>
        <v>Oak Park - Ventura</v>
      </c>
      <c r="D1130" s="512">
        <f t="shared" si="52"/>
        <v>4.7250000000000007E-2</v>
      </c>
      <c r="E1130" s="261">
        <f t="shared" si="53"/>
        <v>1.098E-2</v>
      </c>
    </row>
    <row r="1131" spans="1:5" ht="12.75" x14ac:dyDescent="0.2">
      <c r="A1131" s="259" t="s">
        <v>1942</v>
      </c>
      <c r="B1131" s="1" t="s">
        <v>832</v>
      </c>
      <c r="C1131" s="1" t="str">
        <f t="shared" si="51"/>
        <v>Oak Run - Shasta</v>
      </c>
      <c r="D1131" s="512">
        <f t="shared" si="52"/>
        <v>5.6416666666666657E-2</v>
      </c>
      <c r="E1131" s="261">
        <f t="shared" si="53"/>
        <v>1.099E-2</v>
      </c>
    </row>
    <row r="1132" spans="1:5" ht="12.75" x14ac:dyDescent="0.2">
      <c r="A1132" s="259" t="s">
        <v>1943</v>
      </c>
      <c r="B1132" s="1" t="s">
        <v>1058</v>
      </c>
      <c r="C1132" s="1" t="str">
        <f t="shared" si="51"/>
        <v>Oak View - Ventura</v>
      </c>
      <c r="D1132" s="512">
        <f t="shared" si="52"/>
        <v>4.7250000000000007E-2</v>
      </c>
      <c r="E1132" s="261">
        <f t="shared" si="53"/>
        <v>1.098E-2</v>
      </c>
    </row>
    <row r="1133" spans="1:5" ht="12.75" x14ac:dyDescent="0.2">
      <c r="A1133" s="259" t="s">
        <v>1944</v>
      </c>
      <c r="B1133" s="1" t="s">
        <v>1124</v>
      </c>
      <c r="C1133" s="1" t="str">
        <f t="shared" si="51"/>
        <v>Oakdale - Stanislaus</v>
      </c>
      <c r="D1133" s="512">
        <f t="shared" si="52"/>
        <v>6.9833333333333331E-2</v>
      </c>
      <c r="E1133" s="261">
        <f t="shared" si="53"/>
        <v>1.1080000000000001E-2</v>
      </c>
    </row>
    <row r="1134" spans="1:5" ht="12.75" x14ac:dyDescent="0.2">
      <c r="A1134" s="259" t="s">
        <v>1945</v>
      </c>
      <c r="B1134" s="1" t="s">
        <v>759</v>
      </c>
      <c r="C1134" s="1" t="str">
        <f t="shared" si="51"/>
        <v>Oakhurst - Madera</v>
      </c>
      <c r="D1134" s="512">
        <f t="shared" si="52"/>
        <v>7.8166666666666662E-2</v>
      </c>
      <c r="E1134" s="261">
        <f t="shared" si="53"/>
        <v>1.098E-2</v>
      </c>
    </row>
    <row r="1135" spans="1:5" ht="12.75" x14ac:dyDescent="0.2">
      <c r="A1135" s="256" t="s">
        <v>1946</v>
      </c>
      <c r="B1135" s="1" t="s">
        <v>764</v>
      </c>
      <c r="C1135" s="1" t="str">
        <f t="shared" si="51"/>
        <v>Oakland - Alameda</v>
      </c>
      <c r="D1135" s="512">
        <f t="shared" si="52"/>
        <v>4.7E-2</v>
      </c>
      <c r="E1135" s="261">
        <f t="shared" si="53"/>
        <v>1.2430000000000002E-2</v>
      </c>
    </row>
    <row r="1136" spans="1:5" ht="12.75" x14ac:dyDescent="0.2">
      <c r="A1136" s="259" t="s">
        <v>1947</v>
      </c>
      <c r="B1136" s="1" t="s">
        <v>767</v>
      </c>
      <c r="C1136" s="1" t="str">
        <f t="shared" si="51"/>
        <v>Oakley - Contra Costa</v>
      </c>
      <c r="D1136" s="512">
        <f t="shared" si="52"/>
        <v>4.7250000000000007E-2</v>
      </c>
      <c r="E1136" s="261">
        <f t="shared" si="53"/>
        <v>1.163E-2</v>
      </c>
    </row>
    <row r="1137" spans="1:5" ht="12.75" x14ac:dyDescent="0.2">
      <c r="A1137" s="259" t="s">
        <v>1948</v>
      </c>
      <c r="B1137" s="1" t="s">
        <v>827</v>
      </c>
      <c r="C1137" s="1" t="str">
        <f t="shared" si="51"/>
        <v>Oakville - Napa</v>
      </c>
      <c r="D1137" s="512">
        <f t="shared" si="52"/>
        <v>0.04</v>
      </c>
      <c r="E1137" s="261">
        <f t="shared" si="53"/>
        <v>1.102E-2</v>
      </c>
    </row>
    <row r="1138" spans="1:5" ht="12.75" x14ac:dyDescent="0.2">
      <c r="A1138" s="259" t="s">
        <v>1949</v>
      </c>
      <c r="B1138" s="1" t="s">
        <v>756</v>
      </c>
      <c r="C1138" s="1" t="str">
        <f t="shared" si="51"/>
        <v>Oasis - Riverside</v>
      </c>
      <c r="D1138" s="512">
        <f t="shared" si="52"/>
        <v>5.3749999999999999E-2</v>
      </c>
      <c r="E1138" s="261">
        <f t="shared" si="53"/>
        <v>1.1859999999999999E-2</v>
      </c>
    </row>
    <row r="1139" spans="1:5" ht="12.75" x14ac:dyDescent="0.2">
      <c r="A1139" s="259" t="s">
        <v>1950</v>
      </c>
      <c r="B1139" s="1" t="s">
        <v>732</v>
      </c>
      <c r="C1139" s="1" t="str">
        <f t="shared" si="51"/>
        <v>Oban - Los Angeles</v>
      </c>
      <c r="D1139" s="512">
        <f t="shared" si="52"/>
        <v>5.4833333333333331E-2</v>
      </c>
      <c r="E1139" s="261">
        <f t="shared" si="53"/>
        <v>1.1599999999999999E-2</v>
      </c>
    </row>
    <row r="1140" spans="1:5" ht="12.75" x14ac:dyDescent="0.2">
      <c r="A1140" s="259" t="s">
        <v>1951</v>
      </c>
      <c r="B1140" s="1" t="s">
        <v>832</v>
      </c>
      <c r="C1140" s="1" t="str">
        <f t="shared" si="51"/>
        <v>O'Brien - Shasta</v>
      </c>
      <c r="D1140" s="512">
        <f t="shared" si="52"/>
        <v>5.6416666666666657E-2</v>
      </c>
      <c r="E1140" s="261">
        <f t="shared" si="53"/>
        <v>1.099E-2</v>
      </c>
    </row>
    <row r="1141" spans="1:5" ht="12.75" x14ac:dyDescent="0.2">
      <c r="A1141" s="259" t="s">
        <v>1952</v>
      </c>
      <c r="B1141" s="1" t="s">
        <v>748</v>
      </c>
      <c r="C1141" s="1" t="str">
        <f t="shared" si="51"/>
        <v>Occidental - Sonoma</v>
      </c>
      <c r="D1141" s="512">
        <f t="shared" si="52"/>
        <v>4.0583333333333325E-2</v>
      </c>
      <c r="E1141" s="261">
        <f t="shared" si="53"/>
        <v>1.133E-2</v>
      </c>
    </row>
    <row r="1142" spans="1:5" ht="12.75" x14ac:dyDescent="0.2">
      <c r="A1142" s="259" t="s">
        <v>1953</v>
      </c>
      <c r="B1142" s="1" t="s">
        <v>735</v>
      </c>
      <c r="C1142" s="1" t="str">
        <f t="shared" si="51"/>
        <v>Oceano - San Luis Obispo</v>
      </c>
      <c r="D1142" s="512">
        <f t="shared" si="52"/>
        <v>3.8833333333333331E-2</v>
      </c>
      <c r="E1142" s="261">
        <f t="shared" si="53"/>
        <v>1.085E-2</v>
      </c>
    </row>
    <row r="1143" spans="1:5" ht="12.75" x14ac:dyDescent="0.2">
      <c r="A1143" s="259" t="s">
        <v>1954</v>
      </c>
      <c r="B1143" s="1" t="s">
        <v>751</v>
      </c>
      <c r="C1143" s="1" t="str">
        <f t="shared" si="51"/>
        <v>Oceanside - San Diego</v>
      </c>
      <c r="D1143" s="512">
        <f t="shared" si="52"/>
        <v>4.4750000000000005E-2</v>
      </c>
      <c r="E1143" s="261">
        <f t="shared" si="53"/>
        <v>1.167E-2</v>
      </c>
    </row>
    <row r="1144" spans="1:5" ht="12.75" x14ac:dyDescent="0.2">
      <c r="A1144" s="259" t="s">
        <v>1955</v>
      </c>
      <c r="B1144" s="1" t="s">
        <v>919</v>
      </c>
      <c r="C1144" s="1" t="str">
        <f t="shared" si="51"/>
        <v>Ocotillo - Imperial</v>
      </c>
      <c r="D1144" s="512">
        <f t="shared" si="52"/>
        <v>0.17949999999999999</v>
      </c>
      <c r="E1144" s="261">
        <f t="shared" si="53"/>
        <v>1.206E-2</v>
      </c>
    </row>
    <row r="1145" spans="1:5" ht="12.75" x14ac:dyDescent="0.2">
      <c r="A1145" s="259" t="s">
        <v>1956</v>
      </c>
      <c r="B1145" s="1" t="s">
        <v>751</v>
      </c>
      <c r="C1145" s="1" t="str">
        <f t="shared" si="51"/>
        <v>Ocotillo Wells - San Diego</v>
      </c>
      <c r="D1145" s="512">
        <f t="shared" si="52"/>
        <v>4.4750000000000005E-2</v>
      </c>
      <c r="E1145" s="261">
        <f t="shared" si="53"/>
        <v>1.167E-2</v>
      </c>
    </row>
    <row r="1146" spans="1:5" ht="12.75" x14ac:dyDescent="0.2">
      <c r="A1146" s="259" t="s">
        <v>1957</v>
      </c>
      <c r="B1146" s="1" t="s">
        <v>884</v>
      </c>
      <c r="C1146" s="1" t="str">
        <f t="shared" si="51"/>
        <v>Oildale - Kern</v>
      </c>
      <c r="D1146" s="512">
        <f t="shared" si="52"/>
        <v>8.9333333333333334E-2</v>
      </c>
      <c r="E1146" s="261">
        <f t="shared" si="53"/>
        <v>1.238E-2</v>
      </c>
    </row>
    <row r="1147" spans="1:5" ht="12.75" x14ac:dyDescent="0.2">
      <c r="A1147" s="259" t="s">
        <v>1958</v>
      </c>
      <c r="B1147" s="1" t="s">
        <v>1058</v>
      </c>
      <c r="C1147" s="1" t="str">
        <f t="shared" si="51"/>
        <v>Ojai - Ventura</v>
      </c>
      <c r="D1147" s="512">
        <f t="shared" si="52"/>
        <v>4.7250000000000007E-2</v>
      </c>
      <c r="E1147" s="261">
        <f t="shared" si="53"/>
        <v>1.098E-2</v>
      </c>
    </row>
    <row r="1148" spans="1:5" ht="12.75" x14ac:dyDescent="0.2">
      <c r="A1148" s="259" t="s">
        <v>1959</v>
      </c>
      <c r="B1148" s="1" t="s">
        <v>822</v>
      </c>
      <c r="C1148" s="1" t="str">
        <f t="shared" si="51"/>
        <v>Olancha - Inyo</v>
      </c>
      <c r="D1148" s="512">
        <f t="shared" si="52"/>
        <v>3.9833333333333339E-2</v>
      </c>
      <c r="E1148" s="261">
        <f t="shared" si="53"/>
        <v>1.065E-2</v>
      </c>
    </row>
    <row r="1149" spans="1:5" ht="12.75" x14ac:dyDescent="0.2">
      <c r="A1149" s="259" t="s">
        <v>1960</v>
      </c>
      <c r="B1149" s="1" t="s">
        <v>832</v>
      </c>
      <c r="C1149" s="1" t="str">
        <f t="shared" si="51"/>
        <v>Old Station - Shasta</v>
      </c>
      <c r="D1149" s="512">
        <f t="shared" si="52"/>
        <v>5.6416666666666657E-2</v>
      </c>
      <c r="E1149" s="261">
        <f t="shared" si="53"/>
        <v>1.099E-2</v>
      </c>
    </row>
    <row r="1150" spans="1:5" ht="12.75" x14ac:dyDescent="0.2">
      <c r="A1150" s="259" t="s">
        <v>1961</v>
      </c>
      <c r="B1150" s="1" t="s">
        <v>946</v>
      </c>
      <c r="C1150" s="1" t="str">
        <f t="shared" si="51"/>
        <v>Olema - Marin</v>
      </c>
      <c r="D1150" s="512">
        <f t="shared" si="52"/>
        <v>3.7749999999999999E-2</v>
      </c>
      <c r="E1150" s="261">
        <f t="shared" si="53"/>
        <v>1.1299999999999999E-2</v>
      </c>
    </row>
    <row r="1151" spans="1:5" ht="12.75" x14ac:dyDescent="0.2">
      <c r="A1151" s="259" t="s">
        <v>1962</v>
      </c>
      <c r="B1151" s="1" t="s">
        <v>832</v>
      </c>
      <c r="C1151" s="1" t="str">
        <f t="shared" si="51"/>
        <v>Olinda - Shasta</v>
      </c>
      <c r="D1151" s="512">
        <f t="shared" si="52"/>
        <v>5.6416666666666657E-2</v>
      </c>
      <c r="E1151" s="261">
        <f t="shared" si="53"/>
        <v>1.099E-2</v>
      </c>
    </row>
    <row r="1152" spans="1:5" ht="12.75" x14ac:dyDescent="0.2">
      <c r="A1152" s="259" t="s">
        <v>1963</v>
      </c>
      <c r="B1152" s="1" t="s">
        <v>732</v>
      </c>
      <c r="C1152" s="1" t="str">
        <f t="shared" si="51"/>
        <v>Olive View  - Los Angeles</v>
      </c>
      <c r="D1152" s="512">
        <f t="shared" si="52"/>
        <v>5.4833333333333331E-2</v>
      </c>
      <c r="E1152" s="261">
        <f t="shared" si="53"/>
        <v>1.1599999999999999E-2</v>
      </c>
    </row>
    <row r="1153" spans="1:5" ht="12.75" x14ac:dyDescent="0.2">
      <c r="A1153" s="259" t="s">
        <v>1964</v>
      </c>
      <c r="B1153" s="1" t="s">
        <v>932</v>
      </c>
      <c r="C1153" s="1" t="str">
        <f t="shared" si="51"/>
        <v>Olivehurst - Yuba</v>
      </c>
      <c r="D1153" s="512">
        <f t="shared" si="52"/>
        <v>7.2416666666666657E-2</v>
      </c>
      <c r="E1153" s="261">
        <f t="shared" si="53"/>
        <v>1.102E-2</v>
      </c>
    </row>
    <row r="1154" spans="1:5" ht="12.75" x14ac:dyDescent="0.2">
      <c r="A1154" s="259" t="s">
        <v>1965</v>
      </c>
      <c r="B1154" s="1" t="s">
        <v>751</v>
      </c>
      <c r="C1154" s="1" t="str">
        <f t="shared" si="51"/>
        <v>Olivenhain  - San Diego</v>
      </c>
      <c r="D1154" s="512">
        <f t="shared" si="52"/>
        <v>4.4750000000000005E-2</v>
      </c>
      <c r="E1154" s="261">
        <f t="shared" si="53"/>
        <v>1.167E-2</v>
      </c>
    </row>
    <row r="1155" spans="1:5" ht="12.75" x14ac:dyDescent="0.2">
      <c r="A1155" s="259" t="s">
        <v>1966</v>
      </c>
      <c r="B1155" s="1" t="s">
        <v>803</v>
      </c>
      <c r="C1155" s="1" t="str">
        <f t="shared" si="51"/>
        <v>Olympic Valley - Placer</v>
      </c>
      <c r="D1155" s="512">
        <f t="shared" si="52"/>
        <v>4.1833333333333347E-2</v>
      </c>
      <c r="E1155" s="261">
        <f t="shared" si="53"/>
        <v>1.0880000000000001E-2</v>
      </c>
    </row>
    <row r="1156" spans="1:5" ht="12.75" x14ac:dyDescent="0.2">
      <c r="A1156" s="259" t="s">
        <v>1967</v>
      </c>
      <c r="B1156" s="1" t="s">
        <v>762</v>
      </c>
      <c r="C1156" s="1" t="str">
        <f t="shared" si="51"/>
        <v>Omo Ranch - El Dorado</v>
      </c>
      <c r="D1156" s="512">
        <f t="shared" si="52"/>
        <v>4.466666666666666E-2</v>
      </c>
      <c r="E1156" s="261">
        <f t="shared" si="53"/>
        <v>1.0660000000000001E-2</v>
      </c>
    </row>
    <row r="1157" spans="1:5" ht="12.75" x14ac:dyDescent="0.2">
      <c r="A1157" s="259" t="s">
        <v>1968</v>
      </c>
      <c r="B1157" s="1" t="s">
        <v>759</v>
      </c>
      <c r="C1157" s="1" t="str">
        <f t="shared" si="51"/>
        <v>O'Neals - Madera</v>
      </c>
      <c r="D1157" s="512">
        <f t="shared" si="52"/>
        <v>7.8166666666666662E-2</v>
      </c>
      <c r="E1157" s="261">
        <f t="shared" si="53"/>
        <v>1.098E-2</v>
      </c>
    </row>
    <row r="1158" spans="1:5" ht="12.75" x14ac:dyDescent="0.2">
      <c r="A1158" s="259" t="s">
        <v>1969</v>
      </c>
      <c r="B1158" s="1" t="s">
        <v>832</v>
      </c>
      <c r="C1158" s="1" t="str">
        <f t="shared" si="51"/>
        <v>Ono - Shasta</v>
      </c>
      <c r="D1158" s="512">
        <f t="shared" si="52"/>
        <v>5.6416666666666657E-2</v>
      </c>
      <c r="E1158" s="261">
        <f t="shared" si="53"/>
        <v>1.099E-2</v>
      </c>
    </row>
    <row r="1159" spans="1:5" ht="12.75" x14ac:dyDescent="0.2">
      <c r="A1159" s="259" t="s">
        <v>1970</v>
      </c>
      <c r="B1159" s="1" t="s">
        <v>738</v>
      </c>
      <c r="C1159" s="1" t="str">
        <f t="shared" si="51"/>
        <v>Ontario - San Bernardino</v>
      </c>
      <c r="D1159" s="512">
        <f t="shared" si="52"/>
        <v>5.1583333333333342E-2</v>
      </c>
      <c r="E1159" s="261">
        <f t="shared" si="53"/>
        <v>1.1379999999999999E-2</v>
      </c>
    </row>
    <row r="1160" spans="1:5" ht="12.75" x14ac:dyDescent="0.2">
      <c r="A1160" s="259" t="s">
        <v>1971</v>
      </c>
      <c r="B1160" s="1" t="s">
        <v>884</v>
      </c>
      <c r="C1160" s="1" t="str">
        <f t="shared" ref="C1160:C1223" si="54">A1160&amp;" - "&amp;B1160</f>
        <v>Onyx - Kern</v>
      </c>
      <c r="D1160" s="512">
        <f t="shared" si="52"/>
        <v>8.9333333333333334E-2</v>
      </c>
      <c r="E1160" s="261">
        <f t="shared" si="53"/>
        <v>1.238E-2</v>
      </c>
    </row>
    <row r="1161" spans="1:5" ht="12.75" x14ac:dyDescent="0.2">
      <c r="A1161" s="259" t="s">
        <v>1972</v>
      </c>
      <c r="B1161" s="1" t="s">
        <v>856</v>
      </c>
      <c r="C1161" s="1" t="str">
        <f t="shared" si="54"/>
        <v>Opal Cliffs - Santa Cruz</v>
      </c>
      <c r="D1161" s="512">
        <f t="shared" ref="D1161:D1224" si="55">VLOOKUP(B1161,unemployment_rates,2, FALSE)</f>
        <v>6.2416666666666669E-2</v>
      </c>
      <c r="E1161" s="261">
        <f t="shared" ref="E1161:E1224" si="56">VLOOKUP(B1161,Prop_Tax_Rates,2,FALSE)</f>
        <v>1.106E-2</v>
      </c>
    </row>
    <row r="1162" spans="1:5" ht="12.75" x14ac:dyDescent="0.2">
      <c r="A1162" s="259" t="s">
        <v>782</v>
      </c>
      <c r="B1162" s="1" t="s">
        <v>782</v>
      </c>
      <c r="C1162" s="1" t="str">
        <f t="shared" si="54"/>
        <v>Orange - Orange</v>
      </c>
      <c r="D1162" s="512">
        <f t="shared" si="55"/>
        <v>3.9749999999999994E-2</v>
      </c>
      <c r="E1162" s="261">
        <f t="shared" si="56"/>
        <v>1.0660000000000001E-2</v>
      </c>
    </row>
    <row r="1163" spans="1:5" ht="12.75" x14ac:dyDescent="0.2">
      <c r="A1163" s="259" t="s">
        <v>1973</v>
      </c>
      <c r="B1163" s="1" t="s">
        <v>895</v>
      </c>
      <c r="C1163" s="1" t="str">
        <f t="shared" si="54"/>
        <v>Orange Cove - Fresno</v>
      </c>
      <c r="D1163" s="512">
        <f t="shared" si="55"/>
        <v>8.0416666666666664E-2</v>
      </c>
      <c r="E1163" s="261">
        <f t="shared" si="56"/>
        <v>1.2110000000000001E-2</v>
      </c>
    </row>
    <row r="1164" spans="1:5" ht="12.75" x14ac:dyDescent="0.2">
      <c r="A1164" s="259" t="s">
        <v>1974</v>
      </c>
      <c r="B1164" s="1" t="s">
        <v>843</v>
      </c>
      <c r="C1164" s="1" t="str">
        <f t="shared" si="54"/>
        <v>Orangevale - Sacramento</v>
      </c>
      <c r="D1164" s="512">
        <f t="shared" si="55"/>
        <v>4.8833333333333326E-2</v>
      </c>
      <c r="E1164" s="261">
        <f t="shared" si="56"/>
        <v>1.1519999999999999E-2</v>
      </c>
    </row>
    <row r="1165" spans="1:5" ht="12.75" x14ac:dyDescent="0.2">
      <c r="A1165" s="259" t="s">
        <v>1975</v>
      </c>
      <c r="B1165" s="1" t="s">
        <v>911</v>
      </c>
      <c r="C1165" s="1" t="str">
        <f t="shared" si="54"/>
        <v>Orcutt - Santa Barbara</v>
      </c>
      <c r="D1165" s="512">
        <f t="shared" si="55"/>
        <v>4.5333333333333344E-2</v>
      </c>
      <c r="E1165" s="261">
        <f t="shared" si="56"/>
        <v>1.0740000000000001E-2</v>
      </c>
    </row>
    <row r="1166" spans="1:5" ht="12.75" x14ac:dyDescent="0.2">
      <c r="A1166" s="259" t="s">
        <v>1976</v>
      </c>
      <c r="B1166" s="1" t="s">
        <v>882</v>
      </c>
      <c r="C1166" s="1" t="str">
        <f t="shared" si="54"/>
        <v>Ordbend - Glenn</v>
      </c>
      <c r="D1166" s="512">
        <f t="shared" si="55"/>
        <v>6.7749999999999991E-2</v>
      </c>
      <c r="E1166" s="261">
        <f t="shared" si="56"/>
        <v>1.093E-2</v>
      </c>
    </row>
    <row r="1167" spans="1:5" ht="12.75" x14ac:dyDescent="0.2">
      <c r="A1167" s="259" t="s">
        <v>1977</v>
      </c>
      <c r="B1167" s="1" t="s">
        <v>932</v>
      </c>
      <c r="C1167" s="1" t="str">
        <f t="shared" si="54"/>
        <v>Oregon House - Yuba</v>
      </c>
      <c r="D1167" s="512">
        <f t="shared" si="55"/>
        <v>7.2416666666666657E-2</v>
      </c>
      <c r="E1167" s="261">
        <f t="shared" si="56"/>
        <v>1.102E-2</v>
      </c>
    </row>
    <row r="1168" spans="1:5" ht="12.75" x14ac:dyDescent="0.2">
      <c r="A1168" s="259" t="s">
        <v>1978</v>
      </c>
      <c r="B1168" s="1" t="s">
        <v>777</v>
      </c>
      <c r="C1168" s="1" t="str">
        <f t="shared" si="54"/>
        <v>Orick - Humboldt</v>
      </c>
      <c r="D1168" s="512">
        <f t="shared" si="55"/>
        <v>5.1583333333333321E-2</v>
      </c>
      <c r="E1168" s="261">
        <f t="shared" si="56"/>
        <v>1.115E-2</v>
      </c>
    </row>
    <row r="1169" spans="1:5" ht="12.75" x14ac:dyDescent="0.2">
      <c r="A1169" s="259" t="s">
        <v>1979</v>
      </c>
      <c r="B1169" s="1" t="s">
        <v>767</v>
      </c>
      <c r="C1169" s="1" t="str">
        <f t="shared" si="54"/>
        <v>Orinda - Contra Costa</v>
      </c>
      <c r="D1169" s="512">
        <f t="shared" si="55"/>
        <v>4.7250000000000007E-2</v>
      </c>
      <c r="E1169" s="261">
        <f t="shared" si="56"/>
        <v>1.163E-2</v>
      </c>
    </row>
    <row r="1170" spans="1:5" ht="12.75" x14ac:dyDescent="0.2">
      <c r="A1170" s="259" t="s">
        <v>1980</v>
      </c>
      <c r="B1170" s="1" t="s">
        <v>882</v>
      </c>
      <c r="C1170" s="1" t="str">
        <f t="shared" si="54"/>
        <v>Orland - Glenn</v>
      </c>
      <c r="D1170" s="512">
        <f t="shared" si="55"/>
        <v>6.7749999999999991E-2</v>
      </c>
      <c r="E1170" s="261">
        <f t="shared" si="56"/>
        <v>1.093E-2</v>
      </c>
    </row>
    <row r="1171" spans="1:5" ht="12.75" x14ac:dyDescent="0.2">
      <c r="A1171" s="259" t="s">
        <v>1981</v>
      </c>
      <c r="B1171" s="1" t="s">
        <v>777</v>
      </c>
      <c r="C1171" s="1" t="str">
        <f t="shared" si="54"/>
        <v>Orleans - Humboldt</v>
      </c>
      <c r="D1171" s="512">
        <f t="shared" si="55"/>
        <v>5.1583333333333321E-2</v>
      </c>
      <c r="E1171" s="261">
        <f t="shared" si="56"/>
        <v>1.115E-2</v>
      </c>
    </row>
    <row r="1172" spans="1:5" ht="12.75" x14ac:dyDescent="0.2">
      <c r="A1172" s="259" t="s">
        <v>1982</v>
      </c>
      <c r="B1172" s="1" t="s">
        <v>738</v>
      </c>
      <c r="C1172" s="1" t="str">
        <f t="shared" si="54"/>
        <v>Oro Grande - San Bernardino</v>
      </c>
      <c r="D1172" s="512">
        <f t="shared" si="55"/>
        <v>5.1583333333333342E-2</v>
      </c>
      <c r="E1172" s="261">
        <f t="shared" si="56"/>
        <v>1.1379999999999999E-2</v>
      </c>
    </row>
    <row r="1173" spans="1:5" ht="12.75" x14ac:dyDescent="0.2">
      <c r="A1173" s="259" t="s">
        <v>1983</v>
      </c>
      <c r="B1173" s="1" t="s">
        <v>798</v>
      </c>
      <c r="C1173" s="1" t="str">
        <f t="shared" si="54"/>
        <v>Orosi - Tulare</v>
      </c>
      <c r="D1173" s="512">
        <f t="shared" si="55"/>
        <v>0.10691666666666669</v>
      </c>
      <c r="E1173" s="261">
        <f t="shared" si="56"/>
        <v>1.0869999999999999E-2</v>
      </c>
    </row>
    <row r="1174" spans="1:5" ht="12.75" x14ac:dyDescent="0.2">
      <c r="A1174" s="259" t="s">
        <v>1984</v>
      </c>
      <c r="B1174" s="1" t="s">
        <v>915</v>
      </c>
      <c r="C1174" s="1" t="str">
        <f t="shared" si="54"/>
        <v>Oroville - Butte</v>
      </c>
      <c r="D1174" s="512">
        <f t="shared" si="55"/>
        <v>5.8999999999999983E-2</v>
      </c>
      <c r="E1174" s="261">
        <f t="shared" si="56"/>
        <v>1.1169999999999999E-2</v>
      </c>
    </row>
    <row r="1175" spans="1:5" ht="12.75" x14ac:dyDescent="0.2">
      <c r="A1175" s="259" t="s">
        <v>1985</v>
      </c>
      <c r="B1175" s="1" t="s">
        <v>751</v>
      </c>
      <c r="C1175" s="1" t="str">
        <f t="shared" si="54"/>
        <v>Otay  - San Diego</v>
      </c>
      <c r="D1175" s="512">
        <f t="shared" si="55"/>
        <v>4.4750000000000005E-2</v>
      </c>
      <c r="E1175" s="261">
        <f t="shared" si="56"/>
        <v>1.167E-2</v>
      </c>
    </row>
    <row r="1176" spans="1:5" ht="12.75" x14ac:dyDescent="0.2">
      <c r="A1176" s="259" t="s">
        <v>1986</v>
      </c>
      <c r="B1176" s="1" t="s">
        <v>1058</v>
      </c>
      <c r="C1176" s="1" t="str">
        <f t="shared" si="54"/>
        <v>Oxnard - Ventura</v>
      </c>
      <c r="D1176" s="512">
        <f t="shared" si="55"/>
        <v>4.7250000000000007E-2</v>
      </c>
      <c r="E1176" s="261">
        <f t="shared" si="56"/>
        <v>1.098E-2</v>
      </c>
    </row>
    <row r="1177" spans="1:5" ht="12.75" x14ac:dyDescent="0.2">
      <c r="A1177" s="259" t="s">
        <v>1987</v>
      </c>
      <c r="B1177" s="1" t="s">
        <v>767</v>
      </c>
      <c r="C1177" s="1" t="str">
        <f t="shared" si="54"/>
        <v>Pacheco - Contra Costa</v>
      </c>
      <c r="D1177" s="512">
        <f t="shared" si="55"/>
        <v>4.7250000000000007E-2</v>
      </c>
      <c r="E1177" s="261">
        <f t="shared" si="56"/>
        <v>1.163E-2</v>
      </c>
    </row>
    <row r="1178" spans="1:5" ht="12.75" x14ac:dyDescent="0.2">
      <c r="A1178" s="259" t="s">
        <v>1988</v>
      </c>
      <c r="B1178" s="1" t="s">
        <v>876</v>
      </c>
      <c r="C1178" s="1" t="str">
        <f t="shared" si="54"/>
        <v>Pacific Grove - Monterey</v>
      </c>
      <c r="D1178" s="512">
        <f t="shared" si="55"/>
        <v>7.425000000000001E-2</v>
      </c>
      <c r="E1178" s="261">
        <f t="shared" si="56"/>
        <v>1.098E-2</v>
      </c>
    </row>
    <row r="1179" spans="1:5" ht="12.75" x14ac:dyDescent="0.2">
      <c r="A1179" s="259" t="s">
        <v>1989</v>
      </c>
      <c r="B1179" s="1" t="s">
        <v>762</v>
      </c>
      <c r="C1179" s="1" t="str">
        <f t="shared" si="54"/>
        <v>Pacific House - El Dorado</v>
      </c>
      <c r="D1179" s="512">
        <f t="shared" si="55"/>
        <v>4.466666666666666E-2</v>
      </c>
      <c r="E1179" s="261">
        <f t="shared" si="56"/>
        <v>1.0660000000000001E-2</v>
      </c>
    </row>
    <row r="1180" spans="1:5" ht="12.75" x14ac:dyDescent="0.2">
      <c r="A1180" s="259" t="s">
        <v>1990</v>
      </c>
      <c r="B1180" s="1" t="s">
        <v>732</v>
      </c>
      <c r="C1180" s="1" t="str">
        <f t="shared" si="54"/>
        <v>Pacific Palisades - Los Angeles</v>
      </c>
      <c r="D1180" s="512">
        <f t="shared" si="55"/>
        <v>5.4833333333333331E-2</v>
      </c>
      <c r="E1180" s="261">
        <f t="shared" si="56"/>
        <v>1.1599999999999999E-2</v>
      </c>
    </row>
    <row r="1181" spans="1:5" ht="12.75" x14ac:dyDescent="0.2">
      <c r="A1181" s="259" t="s">
        <v>1991</v>
      </c>
      <c r="B1181" s="1" t="s">
        <v>890</v>
      </c>
      <c r="C1181" s="1" t="str">
        <f t="shared" si="54"/>
        <v>Pacifica - San Mateo</v>
      </c>
      <c r="D1181" s="512">
        <f t="shared" si="55"/>
        <v>3.5000000000000003E-2</v>
      </c>
      <c r="E1181" s="261">
        <f t="shared" si="56"/>
        <v>1.1089999999999999E-2</v>
      </c>
    </row>
    <row r="1182" spans="1:5" ht="12.75" x14ac:dyDescent="0.2">
      <c r="A1182" s="259" t="s">
        <v>1992</v>
      </c>
      <c r="B1182" s="1" t="s">
        <v>732</v>
      </c>
      <c r="C1182" s="1" t="str">
        <f t="shared" si="54"/>
        <v>Pacoima  - Los Angeles</v>
      </c>
      <c r="D1182" s="512">
        <f t="shared" si="55"/>
        <v>5.4833333333333331E-2</v>
      </c>
      <c r="E1182" s="261">
        <f t="shared" si="56"/>
        <v>1.1599999999999999E-2</v>
      </c>
    </row>
    <row r="1183" spans="1:5" ht="12.75" x14ac:dyDescent="0.2">
      <c r="A1183" s="259" t="s">
        <v>1993</v>
      </c>
      <c r="B1183" s="1" t="s">
        <v>1530</v>
      </c>
      <c r="C1183" s="1" t="str">
        <f t="shared" si="54"/>
        <v>Paicines - San Benito</v>
      </c>
      <c r="D1183" s="512">
        <f t="shared" si="55"/>
        <v>6.5999999999999989E-2</v>
      </c>
      <c r="E1183" s="261">
        <f t="shared" si="56"/>
        <v>1.2119999999999999E-2</v>
      </c>
    </row>
    <row r="1184" spans="1:5" ht="12.75" x14ac:dyDescent="0.2">
      <c r="A1184" s="259" t="s">
        <v>1994</v>
      </c>
      <c r="B1184" s="1" t="s">
        <v>876</v>
      </c>
      <c r="C1184" s="1" t="str">
        <f t="shared" si="54"/>
        <v>Pajaro - Monterey</v>
      </c>
      <c r="D1184" s="512">
        <f t="shared" si="55"/>
        <v>7.425000000000001E-2</v>
      </c>
      <c r="E1184" s="261">
        <f t="shared" si="56"/>
        <v>1.098E-2</v>
      </c>
    </row>
    <row r="1185" spans="1:5" ht="12.75" x14ac:dyDescent="0.2">
      <c r="A1185" s="259" t="s">
        <v>1995</v>
      </c>
      <c r="B1185" s="1" t="s">
        <v>751</v>
      </c>
      <c r="C1185" s="1" t="str">
        <f t="shared" si="54"/>
        <v>Pala - San Diego</v>
      </c>
      <c r="D1185" s="512">
        <f t="shared" si="55"/>
        <v>4.4750000000000005E-2</v>
      </c>
      <c r="E1185" s="261">
        <f t="shared" si="56"/>
        <v>1.167E-2</v>
      </c>
    </row>
    <row r="1186" spans="1:5" ht="12.75" x14ac:dyDescent="0.2">
      <c r="A1186" s="259" t="s">
        <v>1996</v>
      </c>
      <c r="B1186" s="1" t="s">
        <v>915</v>
      </c>
      <c r="C1186" s="1" t="str">
        <f t="shared" si="54"/>
        <v>Palermo - Butte</v>
      </c>
      <c r="D1186" s="512">
        <f t="shared" si="55"/>
        <v>5.8999999999999983E-2</v>
      </c>
      <c r="E1186" s="261">
        <f t="shared" si="56"/>
        <v>1.1169999999999999E-2</v>
      </c>
    </row>
    <row r="1187" spans="1:5" ht="12.75" x14ac:dyDescent="0.2">
      <c r="A1187" s="259" t="s">
        <v>1997</v>
      </c>
      <c r="B1187" s="1" t="s">
        <v>732</v>
      </c>
      <c r="C1187" s="1" t="str">
        <f t="shared" si="54"/>
        <v>Pallett - Los Angeles</v>
      </c>
      <c r="D1187" s="512">
        <f t="shared" si="55"/>
        <v>5.4833333333333331E-2</v>
      </c>
      <c r="E1187" s="261">
        <f t="shared" si="56"/>
        <v>1.1599999999999999E-2</v>
      </c>
    </row>
    <row r="1188" spans="1:5" ht="12.75" x14ac:dyDescent="0.2">
      <c r="A1188" s="259" t="s">
        <v>1998</v>
      </c>
      <c r="B1188" s="1" t="s">
        <v>751</v>
      </c>
      <c r="C1188" s="1" t="str">
        <f t="shared" si="54"/>
        <v>Palm City  - San Diego</v>
      </c>
      <c r="D1188" s="512">
        <f t="shared" si="55"/>
        <v>4.4750000000000005E-2</v>
      </c>
      <c r="E1188" s="261">
        <f t="shared" si="56"/>
        <v>1.167E-2</v>
      </c>
    </row>
    <row r="1189" spans="1:5" ht="12.75" x14ac:dyDescent="0.2">
      <c r="A1189" s="259" t="s">
        <v>1999</v>
      </c>
      <c r="B1189" s="1" t="s">
        <v>756</v>
      </c>
      <c r="C1189" s="1" t="str">
        <f t="shared" si="54"/>
        <v>Palm City - Riverside</v>
      </c>
      <c r="D1189" s="512">
        <f t="shared" si="55"/>
        <v>5.3749999999999999E-2</v>
      </c>
      <c r="E1189" s="261">
        <f t="shared" si="56"/>
        <v>1.1859999999999999E-2</v>
      </c>
    </row>
    <row r="1190" spans="1:5" ht="12.75" x14ac:dyDescent="0.2">
      <c r="A1190" s="259" t="s">
        <v>2000</v>
      </c>
      <c r="B1190" s="1" t="s">
        <v>756</v>
      </c>
      <c r="C1190" s="1" t="str">
        <f t="shared" si="54"/>
        <v>Palm Desert - Riverside</v>
      </c>
      <c r="D1190" s="512">
        <f t="shared" si="55"/>
        <v>5.3749999999999999E-2</v>
      </c>
      <c r="E1190" s="261">
        <f t="shared" si="56"/>
        <v>1.1859999999999999E-2</v>
      </c>
    </row>
    <row r="1191" spans="1:5" ht="12.75" x14ac:dyDescent="0.2">
      <c r="A1191" s="259" t="s">
        <v>2001</v>
      </c>
      <c r="B1191" s="1" t="s">
        <v>756</v>
      </c>
      <c r="C1191" s="1" t="str">
        <f t="shared" si="54"/>
        <v>Palm Springs - Riverside</v>
      </c>
      <c r="D1191" s="512">
        <f t="shared" si="55"/>
        <v>5.3749999999999999E-2</v>
      </c>
      <c r="E1191" s="261">
        <f t="shared" si="56"/>
        <v>1.1859999999999999E-2</v>
      </c>
    </row>
    <row r="1192" spans="1:5" ht="12.75" x14ac:dyDescent="0.2">
      <c r="A1192" s="259" t="s">
        <v>2002</v>
      </c>
      <c r="B1192" s="1" t="s">
        <v>732</v>
      </c>
      <c r="C1192" s="1" t="str">
        <f t="shared" si="54"/>
        <v>Palmdale - Los Angeles</v>
      </c>
      <c r="D1192" s="512">
        <f t="shared" si="55"/>
        <v>5.4833333333333331E-2</v>
      </c>
      <c r="E1192" s="261">
        <f t="shared" si="56"/>
        <v>1.1599999999999999E-2</v>
      </c>
    </row>
    <row r="1193" spans="1:5" ht="12.75" x14ac:dyDescent="0.2">
      <c r="A1193" s="259" t="s">
        <v>2003</v>
      </c>
      <c r="B1193" s="1" t="s">
        <v>788</v>
      </c>
      <c r="C1193" s="1" t="str">
        <f t="shared" si="54"/>
        <v>Palo Alto - Santa Clara</v>
      </c>
      <c r="D1193" s="512">
        <f t="shared" si="55"/>
        <v>4.0750000000000001E-2</v>
      </c>
      <c r="E1193" s="261">
        <f t="shared" si="56"/>
        <v>1.2110000000000001E-2</v>
      </c>
    </row>
    <row r="1194" spans="1:5" ht="12.75" x14ac:dyDescent="0.2">
      <c r="A1194" s="259" t="s">
        <v>2004</v>
      </c>
      <c r="B1194" s="1" t="s">
        <v>832</v>
      </c>
      <c r="C1194" s="1" t="str">
        <f t="shared" si="54"/>
        <v>Palo Cedro - Shasta</v>
      </c>
      <c r="D1194" s="512">
        <f t="shared" si="55"/>
        <v>5.6416666666666657E-2</v>
      </c>
      <c r="E1194" s="261">
        <f t="shared" si="56"/>
        <v>1.099E-2</v>
      </c>
    </row>
    <row r="1195" spans="1:5" ht="12.75" x14ac:dyDescent="0.2">
      <c r="A1195" s="259" t="s">
        <v>2005</v>
      </c>
      <c r="B1195" s="1" t="s">
        <v>919</v>
      </c>
      <c r="C1195" s="1" t="str">
        <f t="shared" si="54"/>
        <v>Palo Verde - Imperial</v>
      </c>
      <c r="D1195" s="512">
        <f t="shared" si="55"/>
        <v>0.17949999999999999</v>
      </c>
      <c r="E1195" s="261">
        <f t="shared" si="56"/>
        <v>1.206E-2</v>
      </c>
    </row>
    <row r="1196" spans="1:5" ht="12.75" x14ac:dyDescent="0.2">
      <c r="A1196" s="259" t="s">
        <v>2006</v>
      </c>
      <c r="B1196" s="1" t="s">
        <v>751</v>
      </c>
      <c r="C1196" s="1" t="str">
        <f t="shared" si="54"/>
        <v>Palomar Mountain - San Diego</v>
      </c>
      <c r="D1196" s="512">
        <f t="shared" si="55"/>
        <v>4.4750000000000005E-2</v>
      </c>
      <c r="E1196" s="261">
        <f t="shared" si="56"/>
        <v>1.167E-2</v>
      </c>
    </row>
    <row r="1197" spans="1:5" ht="12.75" x14ac:dyDescent="0.2">
      <c r="A1197" s="259" t="s">
        <v>2007</v>
      </c>
      <c r="B1197" s="1" t="s">
        <v>732</v>
      </c>
      <c r="C1197" s="1" t="str">
        <f t="shared" si="54"/>
        <v>Palos Verdes Estates - Los Angeles</v>
      </c>
      <c r="D1197" s="512">
        <f t="shared" si="55"/>
        <v>5.4833333333333331E-2</v>
      </c>
      <c r="E1197" s="261">
        <f t="shared" si="56"/>
        <v>1.1599999999999999E-2</v>
      </c>
    </row>
    <row r="1198" spans="1:5" ht="12.75" x14ac:dyDescent="0.2">
      <c r="A1198" s="259" t="s">
        <v>2008</v>
      </c>
      <c r="B1198" s="1" t="s">
        <v>732</v>
      </c>
      <c r="C1198" s="1" t="str">
        <f t="shared" si="54"/>
        <v>Palos Verdes/Peninsula - Los Angeles</v>
      </c>
      <c r="D1198" s="512">
        <f t="shared" si="55"/>
        <v>5.4833333333333331E-2</v>
      </c>
      <c r="E1198" s="261">
        <f t="shared" si="56"/>
        <v>1.1599999999999999E-2</v>
      </c>
    </row>
    <row r="1199" spans="1:5" ht="12.75" x14ac:dyDescent="0.2">
      <c r="A1199" s="259" t="s">
        <v>2009</v>
      </c>
      <c r="B1199" s="1" t="s">
        <v>732</v>
      </c>
      <c r="C1199" s="1" t="str">
        <f t="shared" si="54"/>
        <v>Panorama City  - Los Angeles</v>
      </c>
      <c r="D1199" s="512">
        <f t="shared" si="55"/>
        <v>5.4833333333333331E-2</v>
      </c>
      <c r="E1199" s="261">
        <f t="shared" si="56"/>
        <v>1.1599999999999999E-2</v>
      </c>
    </row>
    <row r="1200" spans="1:5" ht="12.75" x14ac:dyDescent="0.2">
      <c r="A1200" s="259" t="s">
        <v>2010</v>
      </c>
      <c r="B1200" s="1" t="s">
        <v>915</v>
      </c>
      <c r="C1200" s="1" t="str">
        <f t="shared" si="54"/>
        <v>Paradise - Butte</v>
      </c>
      <c r="D1200" s="512">
        <f t="shared" si="55"/>
        <v>5.8999999999999983E-2</v>
      </c>
      <c r="E1200" s="261">
        <f t="shared" si="56"/>
        <v>1.1169999999999999E-2</v>
      </c>
    </row>
    <row r="1201" spans="1:5" ht="12.75" x14ac:dyDescent="0.2">
      <c r="A1201" s="259" t="s">
        <v>2011</v>
      </c>
      <c r="B1201" s="1" t="s">
        <v>732</v>
      </c>
      <c r="C1201" s="1" t="str">
        <f t="shared" si="54"/>
        <v>Paramount - Los Angeles</v>
      </c>
      <c r="D1201" s="512">
        <f t="shared" si="55"/>
        <v>5.4833333333333331E-2</v>
      </c>
      <c r="E1201" s="261">
        <f t="shared" si="56"/>
        <v>1.1599999999999999E-2</v>
      </c>
    </row>
    <row r="1202" spans="1:5" ht="12.75" x14ac:dyDescent="0.2">
      <c r="A1202" s="259" t="s">
        <v>2012</v>
      </c>
      <c r="B1202" s="1" t="s">
        <v>738</v>
      </c>
      <c r="C1202" s="1" t="str">
        <f t="shared" si="54"/>
        <v>Parker Dam - San Bernardino</v>
      </c>
      <c r="D1202" s="512">
        <f t="shared" si="55"/>
        <v>5.1583333333333342E-2</v>
      </c>
      <c r="E1202" s="261">
        <f t="shared" si="56"/>
        <v>1.1379999999999999E-2</v>
      </c>
    </row>
    <row r="1203" spans="1:5" ht="12.75" x14ac:dyDescent="0.2">
      <c r="A1203" s="259" t="s">
        <v>2013</v>
      </c>
      <c r="B1203" s="1" t="s">
        <v>876</v>
      </c>
      <c r="C1203" s="1" t="str">
        <f t="shared" si="54"/>
        <v>Parkfield - Monterey</v>
      </c>
      <c r="D1203" s="512">
        <f t="shared" si="55"/>
        <v>7.425000000000001E-2</v>
      </c>
      <c r="E1203" s="261">
        <f t="shared" si="56"/>
        <v>1.098E-2</v>
      </c>
    </row>
    <row r="1204" spans="1:5" ht="12.75" x14ac:dyDescent="0.2">
      <c r="A1204" s="259" t="s">
        <v>2014</v>
      </c>
      <c r="B1204" s="1" t="s">
        <v>895</v>
      </c>
      <c r="C1204" s="1" t="str">
        <f t="shared" si="54"/>
        <v>Parlier - Fresno</v>
      </c>
      <c r="D1204" s="512">
        <f t="shared" si="55"/>
        <v>8.0416666666666664E-2</v>
      </c>
      <c r="E1204" s="261">
        <f t="shared" si="56"/>
        <v>1.2110000000000001E-2</v>
      </c>
    </row>
    <row r="1205" spans="1:5" ht="12.75" x14ac:dyDescent="0.2">
      <c r="A1205" s="259" t="s">
        <v>2015</v>
      </c>
      <c r="B1205" s="1" t="s">
        <v>732</v>
      </c>
      <c r="C1205" s="1" t="str">
        <f t="shared" si="54"/>
        <v>Pasadena - Los Angeles</v>
      </c>
      <c r="D1205" s="512">
        <f t="shared" si="55"/>
        <v>5.4833333333333331E-2</v>
      </c>
      <c r="E1205" s="261">
        <f t="shared" si="56"/>
        <v>1.1599999999999999E-2</v>
      </c>
    </row>
    <row r="1206" spans="1:5" ht="12.75" x14ac:dyDescent="0.2">
      <c r="A1206" s="259" t="s">
        <v>2016</v>
      </c>
      <c r="B1206" s="1" t="s">
        <v>1188</v>
      </c>
      <c r="C1206" s="1" t="str">
        <f t="shared" si="54"/>
        <v>Paskenta - Tehama</v>
      </c>
      <c r="D1206" s="512">
        <f t="shared" si="55"/>
        <v>6.3083333333333325E-2</v>
      </c>
      <c r="E1206" s="261">
        <f t="shared" si="56"/>
        <v>1.057E-2</v>
      </c>
    </row>
    <row r="1207" spans="1:5" ht="12.75" x14ac:dyDescent="0.2">
      <c r="A1207" s="259" t="s">
        <v>2017</v>
      </c>
      <c r="B1207" s="1" t="s">
        <v>735</v>
      </c>
      <c r="C1207" s="1" t="str">
        <f t="shared" si="54"/>
        <v>Paso Robles - San Luis Obispo</v>
      </c>
      <c r="D1207" s="512">
        <f t="shared" si="55"/>
        <v>3.8833333333333331E-2</v>
      </c>
      <c r="E1207" s="261">
        <f t="shared" si="56"/>
        <v>1.085E-2</v>
      </c>
    </row>
    <row r="1208" spans="1:5" ht="12.75" x14ac:dyDescent="0.2">
      <c r="A1208" s="259" t="s">
        <v>2018</v>
      </c>
      <c r="B1208" s="1" t="s">
        <v>1124</v>
      </c>
      <c r="C1208" s="1" t="str">
        <f t="shared" si="54"/>
        <v>Patterson - Stanislaus</v>
      </c>
      <c r="D1208" s="512">
        <f t="shared" si="55"/>
        <v>6.9833333333333331E-2</v>
      </c>
      <c r="E1208" s="261">
        <f t="shared" si="56"/>
        <v>1.1080000000000001E-2</v>
      </c>
    </row>
    <row r="1209" spans="1:5" ht="12.75" x14ac:dyDescent="0.2">
      <c r="A1209" s="259" t="s">
        <v>2019</v>
      </c>
      <c r="B1209" s="1" t="s">
        <v>738</v>
      </c>
      <c r="C1209" s="1" t="str">
        <f t="shared" si="54"/>
        <v>Patton - San Bernardino</v>
      </c>
      <c r="D1209" s="512">
        <f t="shared" si="55"/>
        <v>5.1583333333333342E-2</v>
      </c>
      <c r="E1209" s="261">
        <f t="shared" si="56"/>
        <v>1.1379999999999999E-2</v>
      </c>
    </row>
    <row r="1210" spans="1:5" ht="12.75" x14ac:dyDescent="0.2">
      <c r="A1210" s="259" t="s">
        <v>2020</v>
      </c>
      <c r="B1210" s="1" t="s">
        <v>751</v>
      </c>
      <c r="C1210" s="1" t="str">
        <f t="shared" si="54"/>
        <v>Pauma Valley - San Diego</v>
      </c>
      <c r="D1210" s="512">
        <f t="shared" si="55"/>
        <v>4.4750000000000005E-2</v>
      </c>
      <c r="E1210" s="261">
        <f t="shared" si="56"/>
        <v>1.167E-2</v>
      </c>
    </row>
    <row r="1211" spans="1:5" ht="12.75" x14ac:dyDescent="0.2">
      <c r="A1211" s="259" t="s">
        <v>2021</v>
      </c>
      <c r="B1211" s="1" t="s">
        <v>1188</v>
      </c>
      <c r="C1211" s="1" t="str">
        <f t="shared" si="54"/>
        <v>Paynes Creek - Tehama</v>
      </c>
      <c r="D1211" s="512">
        <f t="shared" si="55"/>
        <v>6.3083333333333325E-2</v>
      </c>
      <c r="E1211" s="261">
        <f t="shared" si="56"/>
        <v>1.057E-2</v>
      </c>
    </row>
    <row r="1212" spans="1:5" ht="12.75" x14ac:dyDescent="0.2">
      <c r="A1212" s="259" t="s">
        <v>2022</v>
      </c>
      <c r="B1212" s="1" t="s">
        <v>732</v>
      </c>
      <c r="C1212" s="1" t="str">
        <f t="shared" si="54"/>
        <v>Pearblossom - Los Angeles</v>
      </c>
      <c r="D1212" s="512">
        <f t="shared" si="55"/>
        <v>5.4833333333333331E-2</v>
      </c>
      <c r="E1212" s="261">
        <f t="shared" si="56"/>
        <v>1.1599999999999999E-2</v>
      </c>
    </row>
    <row r="1213" spans="1:5" ht="12.75" x14ac:dyDescent="0.2">
      <c r="A1213" s="259" t="s">
        <v>2023</v>
      </c>
      <c r="B1213" s="1" t="s">
        <v>732</v>
      </c>
      <c r="C1213" s="1" t="str">
        <f t="shared" si="54"/>
        <v>Pearland - Los Angeles</v>
      </c>
      <c r="D1213" s="512">
        <f t="shared" si="55"/>
        <v>5.4833333333333331E-2</v>
      </c>
      <c r="E1213" s="261">
        <f t="shared" si="56"/>
        <v>1.1599999999999999E-2</v>
      </c>
    </row>
    <row r="1214" spans="1:5" ht="12.75" x14ac:dyDescent="0.2">
      <c r="A1214" s="259" t="s">
        <v>2024</v>
      </c>
      <c r="B1214" s="1" t="s">
        <v>876</v>
      </c>
      <c r="C1214" s="1" t="str">
        <f t="shared" si="54"/>
        <v>Pebble Beach - Monterey</v>
      </c>
      <c r="D1214" s="512">
        <f t="shared" si="55"/>
        <v>7.425000000000001E-2</v>
      </c>
      <c r="E1214" s="261">
        <f t="shared" si="56"/>
        <v>1.098E-2</v>
      </c>
    </row>
    <row r="1215" spans="1:5" ht="12.75" x14ac:dyDescent="0.2">
      <c r="A1215" s="259" t="s">
        <v>2025</v>
      </c>
      <c r="B1215" s="1" t="s">
        <v>756</v>
      </c>
      <c r="C1215" s="1" t="str">
        <f t="shared" si="54"/>
        <v>Pedley - Riverside</v>
      </c>
      <c r="D1215" s="512">
        <f t="shared" si="55"/>
        <v>5.3749999999999999E-2</v>
      </c>
      <c r="E1215" s="261">
        <f t="shared" si="56"/>
        <v>1.1859999999999999E-2</v>
      </c>
    </row>
    <row r="1216" spans="1:5" ht="12.75" x14ac:dyDescent="0.2">
      <c r="A1216" s="259" t="s">
        <v>2026</v>
      </c>
      <c r="B1216" s="1" t="s">
        <v>791</v>
      </c>
      <c r="C1216" s="1" t="str">
        <f t="shared" si="54"/>
        <v>Peninsula Village - Plumas</v>
      </c>
      <c r="D1216" s="512">
        <f t="shared" si="55"/>
        <v>7.7250000000000013E-2</v>
      </c>
      <c r="E1216" s="261">
        <f t="shared" si="56"/>
        <v>1.099E-2</v>
      </c>
    </row>
    <row r="1217" spans="1:5" ht="12.75" x14ac:dyDescent="0.2">
      <c r="A1217" s="259" t="s">
        <v>2027</v>
      </c>
      <c r="B1217" s="1" t="s">
        <v>1118</v>
      </c>
      <c r="C1217" s="1" t="str">
        <f t="shared" si="54"/>
        <v>Penn Valley - Nevada</v>
      </c>
      <c r="D1217" s="512">
        <f t="shared" si="55"/>
        <v>4.3166666666666673E-2</v>
      </c>
      <c r="E1217" s="261">
        <f t="shared" si="56"/>
        <v>1.0620000000000001E-2</v>
      </c>
    </row>
    <row r="1218" spans="1:5" ht="12.75" x14ac:dyDescent="0.2">
      <c r="A1218" s="259" t="s">
        <v>2028</v>
      </c>
      <c r="B1218" s="1" t="s">
        <v>748</v>
      </c>
      <c r="C1218" s="1" t="str">
        <f t="shared" si="54"/>
        <v>Penngrove - Sonoma</v>
      </c>
      <c r="D1218" s="512">
        <f t="shared" si="55"/>
        <v>4.0583333333333325E-2</v>
      </c>
      <c r="E1218" s="261">
        <f t="shared" si="56"/>
        <v>1.133E-2</v>
      </c>
    </row>
    <row r="1219" spans="1:5" ht="12.75" x14ac:dyDescent="0.2">
      <c r="A1219" s="259" t="s">
        <v>2029</v>
      </c>
      <c r="B1219" s="1" t="s">
        <v>803</v>
      </c>
      <c r="C1219" s="1" t="str">
        <f t="shared" si="54"/>
        <v>Penryn - Placer</v>
      </c>
      <c r="D1219" s="512">
        <f t="shared" si="55"/>
        <v>4.1833333333333347E-2</v>
      </c>
      <c r="E1219" s="261">
        <f t="shared" si="56"/>
        <v>1.0880000000000001E-2</v>
      </c>
    </row>
    <row r="1220" spans="1:5" ht="12.75" x14ac:dyDescent="0.2">
      <c r="A1220" s="259" t="s">
        <v>2030</v>
      </c>
      <c r="B1220" s="1" t="s">
        <v>777</v>
      </c>
      <c r="C1220" s="1" t="str">
        <f t="shared" si="54"/>
        <v>Pepperwood - Humboldt</v>
      </c>
      <c r="D1220" s="512">
        <f t="shared" si="55"/>
        <v>5.1583333333333321E-2</v>
      </c>
      <c r="E1220" s="261">
        <f t="shared" si="56"/>
        <v>1.115E-2</v>
      </c>
    </row>
    <row r="1221" spans="1:5" ht="12.75" x14ac:dyDescent="0.2">
      <c r="A1221" s="259" t="s">
        <v>2031</v>
      </c>
      <c r="B1221" s="1" t="s">
        <v>788</v>
      </c>
      <c r="C1221" s="1" t="str">
        <f t="shared" si="54"/>
        <v>Permanente - Santa Clara</v>
      </c>
      <c r="D1221" s="512">
        <f t="shared" si="55"/>
        <v>4.0750000000000001E-2</v>
      </c>
      <c r="E1221" s="261">
        <f t="shared" si="56"/>
        <v>1.2110000000000001E-2</v>
      </c>
    </row>
    <row r="1222" spans="1:5" ht="12.75" x14ac:dyDescent="0.2">
      <c r="A1222" s="259" t="s">
        <v>2032</v>
      </c>
      <c r="B1222" s="1" t="s">
        <v>756</v>
      </c>
      <c r="C1222" s="1" t="str">
        <f t="shared" si="54"/>
        <v>Perris - Riverside</v>
      </c>
      <c r="D1222" s="512">
        <f t="shared" si="55"/>
        <v>5.3749999999999999E-2</v>
      </c>
      <c r="E1222" s="261">
        <f t="shared" si="56"/>
        <v>1.1859999999999999E-2</v>
      </c>
    </row>
    <row r="1223" spans="1:5" ht="12.75" x14ac:dyDescent="0.2">
      <c r="A1223" s="259" t="s">
        <v>2033</v>
      </c>
      <c r="B1223" s="1" t="s">
        <v>732</v>
      </c>
      <c r="C1223" s="1" t="str">
        <f t="shared" si="54"/>
        <v>Perry  - Los Angeles</v>
      </c>
      <c r="D1223" s="512">
        <f t="shared" si="55"/>
        <v>5.4833333333333331E-2</v>
      </c>
      <c r="E1223" s="261">
        <f t="shared" si="56"/>
        <v>1.1599999999999999E-2</v>
      </c>
    </row>
    <row r="1224" spans="1:5" ht="12.75" x14ac:dyDescent="0.2">
      <c r="A1224" s="259" t="s">
        <v>2034</v>
      </c>
      <c r="B1224" s="1" t="s">
        <v>890</v>
      </c>
      <c r="C1224" s="1" t="str">
        <f t="shared" ref="C1224:C1287" si="57">A1224&amp;" - "&amp;B1224</f>
        <v>Pescadero - San Mateo</v>
      </c>
      <c r="D1224" s="512">
        <f t="shared" si="55"/>
        <v>3.5000000000000003E-2</v>
      </c>
      <c r="E1224" s="261">
        <f t="shared" si="56"/>
        <v>1.1089999999999999E-2</v>
      </c>
    </row>
    <row r="1225" spans="1:5" ht="12.75" x14ac:dyDescent="0.2">
      <c r="A1225" s="259" t="s">
        <v>2035</v>
      </c>
      <c r="B1225" s="1" t="s">
        <v>748</v>
      </c>
      <c r="C1225" s="1" t="str">
        <f t="shared" si="57"/>
        <v>Petaluma - Sonoma</v>
      </c>
      <c r="D1225" s="512">
        <f t="shared" ref="D1225:D1288" si="58">VLOOKUP(B1225,unemployment_rates,2, FALSE)</f>
        <v>4.0583333333333325E-2</v>
      </c>
      <c r="E1225" s="261">
        <f t="shared" ref="E1225:E1288" si="59">VLOOKUP(B1225,Prop_Tax_Rates,2,FALSE)</f>
        <v>1.133E-2</v>
      </c>
    </row>
    <row r="1226" spans="1:5" ht="12.75" x14ac:dyDescent="0.2">
      <c r="A1226" s="259" t="s">
        <v>2036</v>
      </c>
      <c r="B1226" s="1" t="s">
        <v>777</v>
      </c>
      <c r="C1226" s="1" t="str">
        <f t="shared" si="57"/>
        <v>Petrolia - Humboldt</v>
      </c>
      <c r="D1226" s="512">
        <f t="shared" si="58"/>
        <v>5.1583333333333321E-2</v>
      </c>
      <c r="E1226" s="261">
        <f t="shared" si="59"/>
        <v>1.115E-2</v>
      </c>
    </row>
    <row r="1227" spans="1:5" ht="12.75" x14ac:dyDescent="0.2">
      <c r="A1227" s="259" t="s">
        <v>2037</v>
      </c>
      <c r="B1227" s="1" t="s">
        <v>738</v>
      </c>
      <c r="C1227" s="1" t="str">
        <f t="shared" si="57"/>
        <v>Phelan - San Bernardino</v>
      </c>
      <c r="D1227" s="512">
        <f t="shared" si="58"/>
        <v>5.1583333333333342E-2</v>
      </c>
      <c r="E1227" s="261">
        <f t="shared" si="59"/>
        <v>1.1379999999999999E-2</v>
      </c>
    </row>
    <row r="1228" spans="1:5" ht="12.75" x14ac:dyDescent="0.2">
      <c r="A1228" s="259" t="s">
        <v>2038</v>
      </c>
      <c r="B1228" s="1" t="s">
        <v>777</v>
      </c>
      <c r="C1228" s="1" t="str">
        <f t="shared" si="57"/>
        <v>Phillipsville - Humboldt</v>
      </c>
      <c r="D1228" s="512">
        <f t="shared" si="58"/>
        <v>5.1583333333333321E-2</v>
      </c>
      <c r="E1228" s="261">
        <f t="shared" si="59"/>
        <v>1.115E-2</v>
      </c>
    </row>
    <row r="1229" spans="1:5" ht="12.75" x14ac:dyDescent="0.2">
      <c r="A1229" s="259" t="s">
        <v>2039</v>
      </c>
      <c r="B1229" s="1" t="s">
        <v>774</v>
      </c>
      <c r="C1229" s="1" t="str">
        <f t="shared" si="57"/>
        <v>Philo - Mendocino</v>
      </c>
      <c r="D1229" s="512">
        <f t="shared" si="58"/>
        <v>5.1916666666666667E-2</v>
      </c>
      <c r="E1229" s="261">
        <f t="shared" si="59"/>
        <v>1.1650000000000001E-2</v>
      </c>
    </row>
    <row r="1230" spans="1:5" ht="12.75" x14ac:dyDescent="0.2">
      <c r="A1230" s="259" t="s">
        <v>2040</v>
      </c>
      <c r="B1230" s="1" t="s">
        <v>732</v>
      </c>
      <c r="C1230" s="1" t="str">
        <f t="shared" si="57"/>
        <v>Pico Rivera - Los Angeles</v>
      </c>
      <c r="D1230" s="512">
        <f t="shared" si="58"/>
        <v>5.4833333333333331E-2</v>
      </c>
      <c r="E1230" s="261">
        <f t="shared" si="59"/>
        <v>1.1599999999999999E-2</v>
      </c>
    </row>
    <row r="1231" spans="1:5" ht="12.75" x14ac:dyDescent="0.2">
      <c r="A1231" s="259" t="s">
        <v>2041</v>
      </c>
      <c r="B1231" s="1" t="s">
        <v>764</v>
      </c>
      <c r="C1231" s="1" t="str">
        <f t="shared" si="57"/>
        <v>Piedmont - Alameda</v>
      </c>
      <c r="D1231" s="512">
        <f t="shared" si="58"/>
        <v>4.7E-2</v>
      </c>
      <c r="E1231" s="261">
        <f t="shared" si="59"/>
        <v>1.2430000000000002E-2</v>
      </c>
    </row>
    <row r="1232" spans="1:5" ht="12.75" x14ac:dyDescent="0.2">
      <c r="A1232" s="259" t="s">
        <v>2042</v>
      </c>
      <c r="B1232" s="1" t="s">
        <v>895</v>
      </c>
      <c r="C1232" s="1" t="str">
        <f t="shared" si="57"/>
        <v>Piedra - Fresno</v>
      </c>
      <c r="D1232" s="512">
        <f t="shared" si="58"/>
        <v>8.0416666666666664E-2</v>
      </c>
      <c r="E1232" s="261">
        <f t="shared" si="59"/>
        <v>1.2110000000000001E-2</v>
      </c>
    </row>
    <row r="1233" spans="1:5" ht="12.75" x14ac:dyDescent="0.2">
      <c r="A1233" s="259" t="s">
        <v>2043</v>
      </c>
      <c r="B1233" s="1" t="s">
        <v>774</v>
      </c>
      <c r="C1233" s="1" t="str">
        <f t="shared" si="57"/>
        <v>Piercy - Mendocino</v>
      </c>
      <c r="D1233" s="512">
        <f t="shared" si="58"/>
        <v>5.1916666666666667E-2</v>
      </c>
      <c r="E1233" s="261">
        <f t="shared" si="59"/>
        <v>1.1650000000000001E-2</v>
      </c>
    </row>
    <row r="1234" spans="1:5" ht="12.75" x14ac:dyDescent="0.2">
      <c r="A1234" s="259" t="s">
        <v>2044</v>
      </c>
      <c r="B1234" s="1" t="s">
        <v>762</v>
      </c>
      <c r="C1234" s="1" t="str">
        <f t="shared" si="57"/>
        <v>Pilot Hill - El Dorado</v>
      </c>
      <c r="D1234" s="512">
        <f t="shared" si="58"/>
        <v>4.466666666666666E-2</v>
      </c>
      <c r="E1234" s="261">
        <f t="shared" si="59"/>
        <v>1.0660000000000001E-2</v>
      </c>
    </row>
    <row r="1235" spans="1:5" ht="12.75" x14ac:dyDescent="0.2">
      <c r="A1235" s="259" t="s">
        <v>2045</v>
      </c>
      <c r="B1235" s="1" t="s">
        <v>819</v>
      </c>
      <c r="C1235" s="1" t="str">
        <f t="shared" si="57"/>
        <v>Pine Grove - Amador</v>
      </c>
      <c r="D1235" s="512">
        <f t="shared" si="58"/>
        <v>5.3500000000000006E-2</v>
      </c>
      <c r="E1235" s="261">
        <f t="shared" si="59"/>
        <v>1.014E-2</v>
      </c>
    </row>
    <row r="1236" spans="1:5" ht="12.75" x14ac:dyDescent="0.2">
      <c r="A1236" s="259" t="s">
        <v>2046</v>
      </c>
      <c r="B1236" s="1" t="s">
        <v>751</v>
      </c>
      <c r="C1236" s="1" t="str">
        <f t="shared" si="57"/>
        <v>Pine Valley - San Diego</v>
      </c>
      <c r="D1236" s="512">
        <f t="shared" si="58"/>
        <v>4.4750000000000005E-2</v>
      </c>
      <c r="E1236" s="261">
        <f t="shared" si="59"/>
        <v>1.167E-2</v>
      </c>
    </row>
    <row r="1237" spans="1:5" ht="12.75" x14ac:dyDescent="0.2">
      <c r="A1237" s="259" t="s">
        <v>2047</v>
      </c>
      <c r="B1237" s="1" t="s">
        <v>968</v>
      </c>
      <c r="C1237" s="1" t="str">
        <f t="shared" si="57"/>
        <v>Pinecrest - Tuolumne</v>
      </c>
      <c r="D1237" s="512">
        <f t="shared" si="58"/>
        <v>5.4333333333333338E-2</v>
      </c>
      <c r="E1237" s="261">
        <f t="shared" si="59"/>
        <v>1.0780000000000001E-2</v>
      </c>
    </row>
    <row r="1238" spans="1:5" ht="12.75" x14ac:dyDescent="0.2">
      <c r="A1238" s="259" t="s">
        <v>2048</v>
      </c>
      <c r="B1238" s="1" t="s">
        <v>895</v>
      </c>
      <c r="C1238" s="1" t="str">
        <f t="shared" si="57"/>
        <v>Pinedale  - Fresno</v>
      </c>
      <c r="D1238" s="512">
        <f t="shared" si="58"/>
        <v>8.0416666666666664E-2</v>
      </c>
      <c r="E1238" s="261">
        <f t="shared" si="59"/>
        <v>1.2110000000000001E-2</v>
      </c>
    </row>
    <row r="1239" spans="1:5" ht="12.75" x14ac:dyDescent="0.2">
      <c r="A1239" s="259" t="s">
        <v>2049</v>
      </c>
      <c r="B1239" s="1" t="s">
        <v>732</v>
      </c>
      <c r="C1239" s="1" t="str">
        <f t="shared" si="57"/>
        <v>Pinetree - Los Angeles</v>
      </c>
      <c r="D1239" s="512">
        <f t="shared" si="58"/>
        <v>5.4833333333333331E-2</v>
      </c>
      <c r="E1239" s="261">
        <f t="shared" si="59"/>
        <v>1.1599999999999999E-2</v>
      </c>
    </row>
    <row r="1240" spans="1:5" ht="12.75" x14ac:dyDescent="0.2">
      <c r="A1240" s="259" t="s">
        <v>2050</v>
      </c>
      <c r="B1240" s="1" t="s">
        <v>767</v>
      </c>
      <c r="C1240" s="1" t="str">
        <f t="shared" si="57"/>
        <v>Pinole - Contra Costa</v>
      </c>
      <c r="D1240" s="512">
        <f t="shared" si="58"/>
        <v>4.7250000000000007E-2</v>
      </c>
      <c r="E1240" s="261">
        <f t="shared" si="59"/>
        <v>1.163E-2</v>
      </c>
    </row>
    <row r="1241" spans="1:5" ht="12.75" x14ac:dyDescent="0.2">
      <c r="A1241" s="259" t="s">
        <v>2051</v>
      </c>
      <c r="B1241" s="1" t="s">
        <v>738</v>
      </c>
      <c r="C1241" s="1" t="str">
        <f t="shared" si="57"/>
        <v>Pinon Hills - San Bernardino</v>
      </c>
      <c r="D1241" s="512">
        <f t="shared" si="58"/>
        <v>5.1583333333333342E-2</v>
      </c>
      <c r="E1241" s="261">
        <f t="shared" si="59"/>
        <v>1.1379999999999999E-2</v>
      </c>
    </row>
    <row r="1242" spans="1:5" ht="12.75" x14ac:dyDescent="0.2">
      <c r="A1242" s="259" t="s">
        <v>2052</v>
      </c>
      <c r="B1242" s="1" t="s">
        <v>819</v>
      </c>
      <c r="C1242" s="1" t="str">
        <f t="shared" si="57"/>
        <v>Pioneer - Amador</v>
      </c>
      <c r="D1242" s="512">
        <f t="shared" si="58"/>
        <v>5.3500000000000006E-2</v>
      </c>
      <c r="E1242" s="261">
        <f t="shared" si="59"/>
        <v>1.014E-2</v>
      </c>
    </row>
    <row r="1243" spans="1:5" ht="12.75" x14ac:dyDescent="0.2">
      <c r="A1243" s="259" t="s">
        <v>2053</v>
      </c>
      <c r="B1243" s="1" t="s">
        <v>738</v>
      </c>
      <c r="C1243" s="1" t="str">
        <f t="shared" si="57"/>
        <v>Pioneertown - San Bernardino</v>
      </c>
      <c r="D1243" s="512">
        <f t="shared" si="58"/>
        <v>5.1583333333333342E-2</v>
      </c>
      <c r="E1243" s="261">
        <f t="shared" si="59"/>
        <v>1.1379999999999999E-2</v>
      </c>
    </row>
    <row r="1244" spans="1:5" ht="12.75" x14ac:dyDescent="0.2">
      <c r="A1244" s="259" t="s">
        <v>2054</v>
      </c>
      <c r="B1244" s="1" t="s">
        <v>1058</v>
      </c>
      <c r="C1244" s="1" t="str">
        <f t="shared" si="57"/>
        <v>Piru - Ventura</v>
      </c>
      <c r="D1244" s="512">
        <f t="shared" si="58"/>
        <v>4.7250000000000007E-2</v>
      </c>
      <c r="E1244" s="261">
        <f t="shared" si="59"/>
        <v>1.098E-2</v>
      </c>
    </row>
    <row r="1245" spans="1:5" ht="12.75" x14ac:dyDescent="0.2">
      <c r="A1245" s="259" t="s">
        <v>2055</v>
      </c>
      <c r="B1245" s="1" t="s">
        <v>735</v>
      </c>
      <c r="C1245" s="1" t="str">
        <f t="shared" si="57"/>
        <v>Pismo Beach - San Luis Obispo</v>
      </c>
      <c r="D1245" s="512">
        <f t="shared" si="58"/>
        <v>3.8833333333333331E-2</v>
      </c>
      <c r="E1245" s="261">
        <f t="shared" si="59"/>
        <v>1.085E-2</v>
      </c>
    </row>
    <row r="1246" spans="1:5" ht="12.75" x14ac:dyDescent="0.2">
      <c r="A1246" s="259" t="s">
        <v>2056</v>
      </c>
      <c r="B1246" s="1" t="s">
        <v>767</v>
      </c>
      <c r="C1246" s="1" t="str">
        <f t="shared" si="57"/>
        <v>Pittsburg - Contra Costa</v>
      </c>
      <c r="D1246" s="512">
        <f t="shared" si="58"/>
        <v>4.7250000000000007E-2</v>
      </c>
      <c r="E1246" s="261">
        <f t="shared" si="59"/>
        <v>1.163E-2</v>
      </c>
    </row>
    <row r="1247" spans="1:5" ht="12.75" x14ac:dyDescent="0.2">
      <c r="A1247" s="259" t="s">
        <v>2057</v>
      </c>
      <c r="B1247" s="1" t="s">
        <v>798</v>
      </c>
      <c r="C1247" s="1" t="str">
        <f t="shared" si="57"/>
        <v>Pixley - Tulare</v>
      </c>
      <c r="D1247" s="512">
        <f t="shared" si="58"/>
        <v>0.10691666666666669</v>
      </c>
      <c r="E1247" s="261">
        <f t="shared" si="59"/>
        <v>1.0869999999999999E-2</v>
      </c>
    </row>
    <row r="1248" spans="1:5" ht="12.75" x14ac:dyDescent="0.2">
      <c r="A1248" s="259" t="s">
        <v>2058</v>
      </c>
      <c r="B1248" s="1" t="s">
        <v>782</v>
      </c>
      <c r="C1248" s="1" t="str">
        <f t="shared" si="57"/>
        <v>Placentia - Orange</v>
      </c>
      <c r="D1248" s="512">
        <f t="shared" si="58"/>
        <v>3.9749999999999994E-2</v>
      </c>
      <c r="E1248" s="261">
        <f t="shared" si="59"/>
        <v>1.0660000000000001E-2</v>
      </c>
    </row>
    <row r="1249" spans="1:5" ht="12.75" x14ac:dyDescent="0.2">
      <c r="A1249" s="259" t="s">
        <v>2059</v>
      </c>
      <c r="B1249" s="1" t="s">
        <v>762</v>
      </c>
      <c r="C1249" s="1" t="str">
        <f t="shared" si="57"/>
        <v>Placerville - El Dorado</v>
      </c>
      <c r="D1249" s="512">
        <f t="shared" si="58"/>
        <v>4.466666666666666E-2</v>
      </c>
      <c r="E1249" s="261">
        <f t="shared" si="59"/>
        <v>1.0660000000000001E-2</v>
      </c>
    </row>
    <row r="1250" spans="1:5" ht="12.75" x14ac:dyDescent="0.2">
      <c r="A1250" s="259" t="s">
        <v>2060</v>
      </c>
      <c r="B1250" s="1" t="s">
        <v>798</v>
      </c>
      <c r="C1250" s="1" t="str">
        <f t="shared" si="57"/>
        <v>Plainview - Tulare</v>
      </c>
      <c r="D1250" s="512">
        <f t="shared" si="58"/>
        <v>0.10691666666666669</v>
      </c>
      <c r="E1250" s="261">
        <f t="shared" si="59"/>
        <v>1.0869999999999999E-2</v>
      </c>
    </row>
    <row r="1251" spans="1:5" ht="12.75" x14ac:dyDescent="0.2">
      <c r="A1251" s="259" t="s">
        <v>2061</v>
      </c>
      <c r="B1251" s="1" t="s">
        <v>892</v>
      </c>
      <c r="C1251" s="1" t="str">
        <f t="shared" si="57"/>
        <v>Planada - Merced</v>
      </c>
      <c r="D1251" s="512">
        <f t="shared" si="58"/>
        <v>9.6416666666666678E-2</v>
      </c>
      <c r="E1251" s="261">
        <f t="shared" si="59"/>
        <v>1.0829999999999999E-2</v>
      </c>
    </row>
    <row r="1252" spans="1:5" ht="12.75" x14ac:dyDescent="0.2">
      <c r="A1252" s="259" t="s">
        <v>2062</v>
      </c>
      <c r="B1252" s="1" t="s">
        <v>919</v>
      </c>
      <c r="C1252" s="1" t="str">
        <f t="shared" si="57"/>
        <v>Plaster City - Imperial</v>
      </c>
      <c r="D1252" s="512">
        <f t="shared" si="58"/>
        <v>0.17949999999999999</v>
      </c>
      <c r="E1252" s="261">
        <f t="shared" si="59"/>
        <v>1.206E-2</v>
      </c>
    </row>
    <row r="1253" spans="1:5" ht="12.75" x14ac:dyDescent="0.2">
      <c r="A1253" s="259" t="s">
        <v>2063</v>
      </c>
      <c r="B1253" s="1" t="s">
        <v>832</v>
      </c>
      <c r="C1253" s="1" t="str">
        <f t="shared" si="57"/>
        <v>Platina - Shasta</v>
      </c>
      <c r="D1253" s="512">
        <f t="shared" si="58"/>
        <v>5.6416666666666657E-2</v>
      </c>
      <c r="E1253" s="261">
        <f t="shared" si="59"/>
        <v>1.099E-2</v>
      </c>
    </row>
    <row r="1254" spans="1:5" ht="12.75" x14ac:dyDescent="0.2">
      <c r="A1254" s="259" t="s">
        <v>2064</v>
      </c>
      <c r="B1254" s="1" t="s">
        <v>732</v>
      </c>
      <c r="C1254" s="1" t="str">
        <f t="shared" si="57"/>
        <v>Playa Del Rey - Los Angeles</v>
      </c>
      <c r="D1254" s="512">
        <f t="shared" si="58"/>
        <v>5.4833333333333331E-2</v>
      </c>
      <c r="E1254" s="261">
        <f t="shared" si="59"/>
        <v>1.1599999999999999E-2</v>
      </c>
    </row>
    <row r="1255" spans="1:5" ht="12.75" x14ac:dyDescent="0.2">
      <c r="A1255" s="259" t="s">
        <v>2065</v>
      </c>
      <c r="B1255" s="1" t="s">
        <v>1300</v>
      </c>
      <c r="C1255" s="1" t="str">
        <f t="shared" si="57"/>
        <v>Pleasant Grove - Sutter</v>
      </c>
      <c r="D1255" s="512">
        <f t="shared" si="58"/>
        <v>8.2583333333333328E-2</v>
      </c>
      <c r="E1255" s="261">
        <f t="shared" si="59"/>
        <v>1.099E-2</v>
      </c>
    </row>
    <row r="1256" spans="1:5" ht="12.75" x14ac:dyDescent="0.2">
      <c r="A1256" s="259" t="s">
        <v>2066</v>
      </c>
      <c r="B1256" s="1" t="s">
        <v>767</v>
      </c>
      <c r="C1256" s="1" t="str">
        <f t="shared" si="57"/>
        <v>Pleasant Hill - Contra Costa</v>
      </c>
      <c r="D1256" s="512">
        <f t="shared" si="58"/>
        <v>4.7250000000000007E-2</v>
      </c>
      <c r="E1256" s="261">
        <f t="shared" si="59"/>
        <v>1.163E-2</v>
      </c>
    </row>
    <row r="1257" spans="1:5" ht="12.75" x14ac:dyDescent="0.2">
      <c r="A1257" s="259" t="s">
        <v>2067</v>
      </c>
      <c r="B1257" s="1" t="s">
        <v>764</v>
      </c>
      <c r="C1257" s="1" t="str">
        <f t="shared" si="57"/>
        <v>Pleasanton - Alameda</v>
      </c>
      <c r="D1257" s="512">
        <f t="shared" si="58"/>
        <v>4.7E-2</v>
      </c>
      <c r="E1257" s="261">
        <f t="shared" si="59"/>
        <v>1.2430000000000002E-2</v>
      </c>
    </row>
    <row r="1258" spans="1:5" ht="12.75" x14ac:dyDescent="0.2">
      <c r="A1258" s="259" t="s">
        <v>2068</v>
      </c>
      <c r="B1258" s="1" t="s">
        <v>819</v>
      </c>
      <c r="C1258" s="1" t="str">
        <f t="shared" si="57"/>
        <v>Plymouth - Amador</v>
      </c>
      <c r="D1258" s="512">
        <f t="shared" si="58"/>
        <v>5.3500000000000006E-2</v>
      </c>
      <c r="E1258" s="261">
        <f t="shared" si="59"/>
        <v>1.014E-2</v>
      </c>
    </row>
    <row r="1259" spans="1:5" ht="12.75" x14ac:dyDescent="0.2">
      <c r="A1259" s="259" t="s">
        <v>2069</v>
      </c>
      <c r="B1259" s="1" t="s">
        <v>774</v>
      </c>
      <c r="C1259" s="1" t="str">
        <f t="shared" si="57"/>
        <v>Point Arena - Mendocino</v>
      </c>
      <c r="D1259" s="512">
        <f t="shared" si="58"/>
        <v>5.1916666666666667E-2</v>
      </c>
      <c r="E1259" s="261">
        <f t="shared" si="59"/>
        <v>1.1650000000000001E-2</v>
      </c>
    </row>
    <row r="1260" spans="1:5" ht="12.75" x14ac:dyDescent="0.2">
      <c r="A1260" s="259" t="s">
        <v>2070</v>
      </c>
      <c r="B1260" s="1" t="s">
        <v>1058</v>
      </c>
      <c r="C1260" s="1" t="str">
        <f t="shared" si="57"/>
        <v>Point Mugu - Ventura</v>
      </c>
      <c r="D1260" s="512">
        <f t="shared" si="58"/>
        <v>4.7250000000000007E-2</v>
      </c>
      <c r="E1260" s="261">
        <f t="shared" si="59"/>
        <v>1.098E-2</v>
      </c>
    </row>
    <row r="1261" spans="1:5" ht="12.75" x14ac:dyDescent="0.2">
      <c r="A1261" s="259" t="s">
        <v>2071</v>
      </c>
      <c r="B1261" s="1" t="s">
        <v>767</v>
      </c>
      <c r="C1261" s="1" t="str">
        <f t="shared" si="57"/>
        <v>Point Pittsburg  - Contra Costa</v>
      </c>
      <c r="D1261" s="512">
        <f t="shared" si="58"/>
        <v>4.7250000000000007E-2</v>
      </c>
      <c r="E1261" s="261">
        <f t="shared" si="59"/>
        <v>1.163E-2</v>
      </c>
    </row>
    <row r="1262" spans="1:5" ht="12.75" x14ac:dyDescent="0.2">
      <c r="A1262" s="259" t="s">
        <v>2072</v>
      </c>
      <c r="B1262" s="1" t="s">
        <v>946</v>
      </c>
      <c r="C1262" s="1" t="str">
        <f t="shared" si="57"/>
        <v>Point Reyes Station - Marin</v>
      </c>
      <c r="D1262" s="512">
        <f t="shared" si="58"/>
        <v>3.7749999999999999E-2</v>
      </c>
      <c r="E1262" s="261">
        <f t="shared" si="59"/>
        <v>1.1299999999999999E-2</v>
      </c>
    </row>
    <row r="1263" spans="1:5" ht="12.75" x14ac:dyDescent="0.2">
      <c r="A1263" s="259" t="s">
        <v>2073</v>
      </c>
      <c r="B1263" s="1" t="s">
        <v>762</v>
      </c>
      <c r="C1263" s="1" t="str">
        <f t="shared" si="57"/>
        <v>Pollock Pines - El Dorado</v>
      </c>
      <c r="D1263" s="512">
        <f t="shared" si="58"/>
        <v>4.466666666666666E-2</v>
      </c>
      <c r="E1263" s="261">
        <f t="shared" si="59"/>
        <v>1.0660000000000001E-2</v>
      </c>
    </row>
    <row r="1264" spans="1:5" ht="12.75" x14ac:dyDescent="0.2">
      <c r="A1264" s="259" t="s">
        <v>2074</v>
      </c>
      <c r="B1264" s="1" t="s">
        <v>732</v>
      </c>
      <c r="C1264" s="1" t="str">
        <f t="shared" si="57"/>
        <v>Pomona - Los Angeles</v>
      </c>
      <c r="D1264" s="512">
        <f t="shared" si="58"/>
        <v>5.4833333333333331E-2</v>
      </c>
      <c r="E1264" s="261">
        <f t="shared" si="59"/>
        <v>1.1599999999999999E-2</v>
      </c>
    </row>
    <row r="1265" spans="1:5" ht="12.75" x14ac:dyDescent="0.2">
      <c r="A1265" s="259" t="s">
        <v>2075</v>
      </c>
      <c r="B1265" s="1" t="s">
        <v>884</v>
      </c>
      <c r="C1265" s="1" t="str">
        <f t="shared" si="57"/>
        <v>Pond - Kern</v>
      </c>
      <c r="D1265" s="512">
        <f t="shared" si="58"/>
        <v>8.9333333333333334E-2</v>
      </c>
      <c r="E1265" s="261">
        <f t="shared" si="59"/>
        <v>1.238E-2</v>
      </c>
    </row>
    <row r="1266" spans="1:5" ht="12.75" x14ac:dyDescent="0.2">
      <c r="A1266" s="259" t="s">
        <v>2076</v>
      </c>
      <c r="B1266" s="1" t="s">
        <v>1053</v>
      </c>
      <c r="C1266" s="1" t="str">
        <f t="shared" si="57"/>
        <v>Pondosa - Siskiyou</v>
      </c>
      <c r="D1266" s="512">
        <f t="shared" si="58"/>
        <v>6.883333333333333E-2</v>
      </c>
      <c r="E1266" s="261">
        <f t="shared" si="59"/>
        <v>1.0460000000000001E-2</v>
      </c>
    </row>
    <row r="1267" spans="1:5" ht="12.75" x14ac:dyDescent="0.2">
      <c r="A1267" s="259" t="s">
        <v>2077</v>
      </c>
      <c r="B1267" s="1" t="s">
        <v>827</v>
      </c>
      <c r="C1267" s="1" t="str">
        <f t="shared" si="57"/>
        <v>Pope Valley - Napa</v>
      </c>
      <c r="D1267" s="512">
        <f t="shared" si="58"/>
        <v>0.04</v>
      </c>
      <c r="E1267" s="261">
        <f t="shared" si="59"/>
        <v>1.102E-2</v>
      </c>
    </row>
    <row r="1268" spans="1:5" ht="12.75" x14ac:dyDescent="0.2">
      <c r="A1268" s="259" t="s">
        <v>2078</v>
      </c>
      <c r="B1268" s="1" t="s">
        <v>798</v>
      </c>
      <c r="C1268" s="1" t="str">
        <f t="shared" si="57"/>
        <v>Poplar - Tulare</v>
      </c>
      <c r="D1268" s="512">
        <f t="shared" si="58"/>
        <v>0.10691666666666669</v>
      </c>
      <c r="E1268" s="261">
        <f t="shared" si="59"/>
        <v>1.0869999999999999E-2</v>
      </c>
    </row>
    <row r="1269" spans="1:5" ht="12.75" x14ac:dyDescent="0.2">
      <c r="A1269" s="259" t="s">
        <v>2079</v>
      </c>
      <c r="B1269" s="1" t="s">
        <v>767</v>
      </c>
      <c r="C1269" s="1" t="str">
        <f t="shared" si="57"/>
        <v>Port Costa - Contra Costa</v>
      </c>
      <c r="D1269" s="512">
        <f t="shared" si="58"/>
        <v>4.7250000000000007E-2</v>
      </c>
      <c r="E1269" s="261">
        <f t="shared" si="59"/>
        <v>1.163E-2</v>
      </c>
    </row>
    <row r="1270" spans="1:5" ht="12.75" x14ac:dyDescent="0.2">
      <c r="A1270" s="259" t="s">
        <v>2080</v>
      </c>
      <c r="B1270" s="1" t="s">
        <v>1058</v>
      </c>
      <c r="C1270" s="1" t="str">
        <f t="shared" si="57"/>
        <v>Port Hueneme - Ventura</v>
      </c>
      <c r="D1270" s="512">
        <f t="shared" si="58"/>
        <v>4.7250000000000007E-2</v>
      </c>
      <c r="E1270" s="261">
        <f t="shared" si="59"/>
        <v>1.098E-2</v>
      </c>
    </row>
    <row r="1271" spans="1:5" ht="12.75" x14ac:dyDescent="0.2">
      <c r="A1271" s="259" t="s">
        <v>2081</v>
      </c>
      <c r="B1271" s="1" t="s">
        <v>732</v>
      </c>
      <c r="C1271" s="1" t="str">
        <f t="shared" si="57"/>
        <v>Porter Ranch  - Los Angeles</v>
      </c>
      <c r="D1271" s="512">
        <f t="shared" si="58"/>
        <v>5.4833333333333331E-2</v>
      </c>
      <c r="E1271" s="261">
        <f t="shared" si="59"/>
        <v>1.1599999999999999E-2</v>
      </c>
    </row>
    <row r="1272" spans="1:5" ht="12.75" x14ac:dyDescent="0.2">
      <c r="A1272" s="259" t="s">
        <v>2082</v>
      </c>
      <c r="B1272" s="1" t="s">
        <v>798</v>
      </c>
      <c r="C1272" s="1" t="str">
        <f t="shared" si="57"/>
        <v>Porterville - Tulare</v>
      </c>
      <c r="D1272" s="512">
        <f t="shared" si="58"/>
        <v>0.10691666666666669</v>
      </c>
      <c r="E1272" s="261">
        <f t="shared" si="59"/>
        <v>1.0869999999999999E-2</v>
      </c>
    </row>
    <row r="1273" spans="1:5" ht="12.75" x14ac:dyDescent="0.2">
      <c r="A1273" s="259" t="s">
        <v>2083</v>
      </c>
      <c r="B1273" s="1" t="s">
        <v>791</v>
      </c>
      <c r="C1273" s="1" t="str">
        <f t="shared" si="57"/>
        <v>Portola - Plumas</v>
      </c>
      <c r="D1273" s="512">
        <f t="shared" si="58"/>
        <v>7.7250000000000013E-2</v>
      </c>
      <c r="E1273" s="261">
        <f t="shared" si="59"/>
        <v>1.099E-2</v>
      </c>
    </row>
    <row r="1274" spans="1:5" ht="12.75" x14ac:dyDescent="0.2">
      <c r="A1274" s="259" t="s">
        <v>2084</v>
      </c>
      <c r="B1274" s="1" t="s">
        <v>890</v>
      </c>
      <c r="C1274" s="1" t="str">
        <f t="shared" si="57"/>
        <v>Portola Valley - San Mateo</v>
      </c>
      <c r="D1274" s="512">
        <f t="shared" si="58"/>
        <v>3.5000000000000003E-2</v>
      </c>
      <c r="E1274" s="261">
        <f t="shared" si="59"/>
        <v>1.1089999999999999E-2</v>
      </c>
    </row>
    <row r="1275" spans="1:5" ht="12.75" x14ac:dyDescent="0.2">
      <c r="A1275" s="259" t="s">
        <v>2085</v>
      </c>
      <c r="B1275" s="1" t="s">
        <v>732</v>
      </c>
      <c r="C1275" s="1" t="str">
        <f t="shared" si="57"/>
        <v>Portuguese Bend - Los Angeles</v>
      </c>
      <c r="D1275" s="512">
        <f t="shared" si="58"/>
        <v>5.4833333333333331E-2</v>
      </c>
      <c r="E1275" s="261">
        <f t="shared" si="59"/>
        <v>1.1599999999999999E-2</v>
      </c>
    </row>
    <row r="1276" spans="1:5" ht="12.75" x14ac:dyDescent="0.2">
      <c r="A1276" s="259" t="s">
        <v>2086</v>
      </c>
      <c r="B1276" s="1" t="s">
        <v>798</v>
      </c>
      <c r="C1276" s="1" t="str">
        <f t="shared" si="57"/>
        <v>Posey - Tulare</v>
      </c>
      <c r="D1276" s="512">
        <f t="shared" si="58"/>
        <v>0.10691666666666669</v>
      </c>
      <c r="E1276" s="261">
        <f t="shared" si="59"/>
        <v>1.0869999999999999E-2</v>
      </c>
    </row>
    <row r="1277" spans="1:5" ht="12.75" x14ac:dyDescent="0.2">
      <c r="A1277" s="259" t="s">
        <v>2087</v>
      </c>
      <c r="B1277" s="1" t="s">
        <v>751</v>
      </c>
      <c r="C1277" s="1" t="str">
        <f t="shared" si="57"/>
        <v>Potrero - San Diego</v>
      </c>
      <c r="D1277" s="512">
        <f t="shared" si="58"/>
        <v>4.4750000000000005E-2</v>
      </c>
      <c r="E1277" s="261">
        <f t="shared" si="59"/>
        <v>1.167E-2</v>
      </c>
    </row>
    <row r="1278" spans="1:5" ht="12.75" x14ac:dyDescent="0.2">
      <c r="A1278" s="259" t="s">
        <v>2088</v>
      </c>
      <c r="B1278" s="1" t="s">
        <v>774</v>
      </c>
      <c r="C1278" s="1" t="str">
        <f t="shared" si="57"/>
        <v>Potter Valley - Mendocino</v>
      </c>
      <c r="D1278" s="512">
        <f t="shared" si="58"/>
        <v>5.1916666666666667E-2</v>
      </c>
      <c r="E1278" s="261">
        <f t="shared" si="59"/>
        <v>1.1650000000000001E-2</v>
      </c>
    </row>
    <row r="1279" spans="1:5" ht="12.75" x14ac:dyDescent="0.2">
      <c r="A1279" s="259" t="s">
        <v>2089</v>
      </c>
      <c r="B1279" s="1" t="s">
        <v>751</v>
      </c>
      <c r="C1279" s="1" t="str">
        <f t="shared" si="57"/>
        <v>Poway - San Diego</v>
      </c>
      <c r="D1279" s="512">
        <f t="shared" si="58"/>
        <v>4.4750000000000005E-2</v>
      </c>
      <c r="E1279" s="261">
        <f t="shared" si="59"/>
        <v>1.167E-2</v>
      </c>
    </row>
    <row r="1280" spans="1:5" ht="12.75" x14ac:dyDescent="0.2">
      <c r="A1280" s="259" t="s">
        <v>2090</v>
      </c>
      <c r="B1280" s="1" t="s">
        <v>895</v>
      </c>
      <c r="C1280" s="1" t="str">
        <f t="shared" si="57"/>
        <v>Prather - Fresno</v>
      </c>
      <c r="D1280" s="512">
        <f t="shared" si="58"/>
        <v>8.0416666666666664E-2</v>
      </c>
      <c r="E1280" s="261">
        <f t="shared" si="59"/>
        <v>1.2110000000000001E-2</v>
      </c>
    </row>
    <row r="1281" spans="1:5" ht="12.75" x14ac:dyDescent="0.2">
      <c r="A1281" s="259" t="s">
        <v>2091</v>
      </c>
      <c r="B1281" s="1" t="s">
        <v>2092</v>
      </c>
      <c r="C1281" s="1" t="str">
        <f t="shared" si="57"/>
        <v>Presidio  - San Francisco</v>
      </c>
      <c r="D1281" s="512">
        <f t="shared" si="58"/>
        <v>3.7000000000000005E-2</v>
      </c>
      <c r="E1281" s="261">
        <f t="shared" si="59"/>
        <v>1.1819999999999999E-2</v>
      </c>
    </row>
    <row r="1282" spans="1:5" ht="12.75" x14ac:dyDescent="0.2">
      <c r="A1282" s="259" t="s">
        <v>2093</v>
      </c>
      <c r="B1282" s="1" t="s">
        <v>876</v>
      </c>
      <c r="C1282" s="1" t="str">
        <f t="shared" si="57"/>
        <v>Presidio of Monterey  - Monterey</v>
      </c>
      <c r="D1282" s="512">
        <f t="shared" si="58"/>
        <v>7.425000000000001E-2</v>
      </c>
      <c r="E1282" s="261">
        <f t="shared" si="59"/>
        <v>1.098E-2</v>
      </c>
    </row>
    <row r="1283" spans="1:5" ht="12.75" x14ac:dyDescent="0.2">
      <c r="A1283" s="259" t="s">
        <v>2094</v>
      </c>
      <c r="B1283" s="1" t="s">
        <v>876</v>
      </c>
      <c r="C1283" s="1" t="str">
        <f t="shared" si="57"/>
        <v>Priest Valley - Monterey</v>
      </c>
      <c r="D1283" s="512">
        <f t="shared" si="58"/>
        <v>7.425000000000001E-2</v>
      </c>
      <c r="E1283" s="261">
        <f t="shared" si="59"/>
        <v>1.098E-2</v>
      </c>
    </row>
    <row r="1284" spans="1:5" ht="12.75" x14ac:dyDescent="0.2">
      <c r="A1284" s="259" t="s">
        <v>2095</v>
      </c>
      <c r="B1284" s="1" t="s">
        <v>859</v>
      </c>
      <c r="C1284" s="1" t="str">
        <f t="shared" si="57"/>
        <v>Princeton - Colusa</v>
      </c>
      <c r="D1284" s="512">
        <f t="shared" si="58"/>
        <v>0.13600000000000001</v>
      </c>
      <c r="E1284" s="261">
        <f t="shared" si="59"/>
        <v>1.098E-2</v>
      </c>
    </row>
    <row r="1285" spans="1:5" ht="12.75" x14ac:dyDescent="0.2">
      <c r="A1285" s="259" t="s">
        <v>2096</v>
      </c>
      <c r="B1285" s="1" t="s">
        <v>1188</v>
      </c>
      <c r="C1285" s="1" t="str">
        <f t="shared" si="57"/>
        <v>Proberta - Tehama</v>
      </c>
      <c r="D1285" s="512">
        <f t="shared" si="58"/>
        <v>6.3083333333333325E-2</v>
      </c>
      <c r="E1285" s="261">
        <f t="shared" si="59"/>
        <v>1.057E-2</v>
      </c>
    </row>
    <row r="1286" spans="1:5" ht="12.75" x14ac:dyDescent="0.2">
      <c r="A1286" s="259" t="s">
        <v>2097</v>
      </c>
      <c r="B1286" s="1" t="s">
        <v>832</v>
      </c>
      <c r="C1286" s="1" t="str">
        <f t="shared" si="57"/>
        <v>Project City - Shasta</v>
      </c>
      <c r="D1286" s="512">
        <f t="shared" si="58"/>
        <v>5.6416666666666657E-2</v>
      </c>
      <c r="E1286" s="261">
        <f t="shared" si="59"/>
        <v>1.099E-2</v>
      </c>
    </row>
    <row r="1287" spans="1:5" ht="12.75" x14ac:dyDescent="0.2">
      <c r="A1287" s="259" t="s">
        <v>2098</v>
      </c>
      <c r="B1287" s="1" t="s">
        <v>876</v>
      </c>
      <c r="C1287" s="1" t="str">
        <f t="shared" si="57"/>
        <v>Prunedale - Monterey</v>
      </c>
      <c r="D1287" s="512">
        <f t="shared" si="58"/>
        <v>7.425000000000001E-2</v>
      </c>
      <c r="E1287" s="261">
        <f t="shared" si="59"/>
        <v>1.098E-2</v>
      </c>
    </row>
    <row r="1288" spans="1:5" ht="12.75" x14ac:dyDescent="0.2">
      <c r="A1288" s="259" t="s">
        <v>2099</v>
      </c>
      <c r="B1288" s="1" t="s">
        <v>732</v>
      </c>
      <c r="C1288" s="1" t="str">
        <f t="shared" ref="C1288:C1351" si="60">A1288&amp;" - "&amp;B1288</f>
        <v>Pt. Dume - Los Angeles</v>
      </c>
      <c r="D1288" s="512">
        <f t="shared" si="58"/>
        <v>5.4833333333333331E-2</v>
      </c>
      <c r="E1288" s="261">
        <f t="shared" si="59"/>
        <v>1.1599999999999999E-2</v>
      </c>
    </row>
    <row r="1289" spans="1:5" ht="12.75" x14ac:dyDescent="0.2">
      <c r="A1289" s="259" t="s">
        <v>2100</v>
      </c>
      <c r="B1289" s="1" t="s">
        <v>915</v>
      </c>
      <c r="C1289" s="1" t="str">
        <f t="shared" si="60"/>
        <v>Pulga - Butte</v>
      </c>
      <c r="D1289" s="512">
        <f t="shared" ref="D1289:D1352" si="61">VLOOKUP(B1289,unemployment_rates,2, FALSE)</f>
        <v>5.8999999999999983E-2</v>
      </c>
      <c r="E1289" s="261">
        <f t="shared" ref="E1289:E1352" si="62">VLOOKUP(B1289,Prop_Tax_Rates,2,FALSE)</f>
        <v>1.1169999999999999E-2</v>
      </c>
    </row>
    <row r="1290" spans="1:5" ht="12.75" x14ac:dyDescent="0.2">
      <c r="A1290" s="259" t="s">
        <v>2101</v>
      </c>
      <c r="B1290" s="1" t="s">
        <v>884</v>
      </c>
      <c r="C1290" s="1" t="str">
        <f t="shared" si="60"/>
        <v>Pumpkin Center - Kern</v>
      </c>
      <c r="D1290" s="512">
        <f t="shared" si="61"/>
        <v>8.9333333333333334E-2</v>
      </c>
      <c r="E1290" s="261">
        <f t="shared" si="62"/>
        <v>1.238E-2</v>
      </c>
    </row>
    <row r="1291" spans="1:5" ht="12.75" x14ac:dyDescent="0.2">
      <c r="A1291" s="259" t="s">
        <v>2102</v>
      </c>
      <c r="B1291" s="1" t="s">
        <v>756</v>
      </c>
      <c r="C1291" s="1" t="str">
        <f t="shared" si="60"/>
        <v>Quail Valley - Riverside</v>
      </c>
      <c r="D1291" s="512">
        <f t="shared" si="61"/>
        <v>5.3749999999999999E-2</v>
      </c>
      <c r="E1291" s="261">
        <f t="shared" si="62"/>
        <v>1.1859999999999999E-2</v>
      </c>
    </row>
    <row r="1292" spans="1:5" ht="12.75" x14ac:dyDescent="0.2">
      <c r="A1292" s="259" t="s">
        <v>2103</v>
      </c>
      <c r="B1292" s="1" t="s">
        <v>732</v>
      </c>
      <c r="C1292" s="1" t="str">
        <f t="shared" si="60"/>
        <v>Quartz Hill - Los Angeles</v>
      </c>
      <c r="D1292" s="512">
        <f t="shared" si="61"/>
        <v>5.4833333333333331E-2</v>
      </c>
      <c r="E1292" s="261">
        <f t="shared" si="62"/>
        <v>1.1599999999999999E-2</v>
      </c>
    </row>
    <row r="1293" spans="1:5" ht="12.75" x14ac:dyDescent="0.2">
      <c r="A1293" s="259" t="s">
        <v>2104</v>
      </c>
      <c r="B1293" s="1" t="s">
        <v>791</v>
      </c>
      <c r="C1293" s="1" t="str">
        <f t="shared" si="60"/>
        <v>Quincy - Plumas</v>
      </c>
      <c r="D1293" s="512">
        <f t="shared" si="61"/>
        <v>7.7250000000000013E-2</v>
      </c>
      <c r="E1293" s="261">
        <f t="shared" si="62"/>
        <v>1.099E-2</v>
      </c>
    </row>
    <row r="1294" spans="1:5" ht="12.75" x14ac:dyDescent="0.2">
      <c r="A1294" s="259" t="s">
        <v>2105</v>
      </c>
      <c r="B1294" s="1" t="s">
        <v>932</v>
      </c>
      <c r="C1294" s="1" t="str">
        <f t="shared" si="60"/>
        <v>Rackerby - Yuba</v>
      </c>
      <c r="D1294" s="512">
        <f t="shared" si="61"/>
        <v>7.2416666666666657E-2</v>
      </c>
      <c r="E1294" s="261">
        <f t="shared" si="62"/>
        <v>1.102E-2</v>
      </c>
    </row>
    <row r="1295" spans="1:5" ht="12.75" x14ac:dyDescent="0.2">
      <c r="A1295" s="259" t="s">
        <v>2106</v>
      </c>
      <c r="B1295" s="1" t="s">
        <v>810</v>
      </c>
      <c r="C1295" s="1" t="str">
        <f t="shared" si="60"/>
        <v>Rail Road Flat - Calaveras</v>
      </c>
      <c r="D1295" s="512">
        <f t="shared" si="61"/>
        <v>4.7166666666666662E-2</v>
      </c>
      <c r="E1295" s="261">
        <f t="shared" si="62"/>
        <v>1.0920000000000001E-2</v>
      </c>
    </row>
    <row r="1296" spans="1:5" ht="12.75" x14ac:dyDescent="0.2">
      <c r="A1296" s="259" t="s">
        <v>2107</v>
      </c>
      <c r="B1296" s="1" t="s">
        <v>751</v>
      </c>
      <c r="C1296" s="1" t="str">
        <f t="shared" si="60"/>
        <v>Rainbow - San Diego</v>
      </c>
      <c r="D1296" s="512">
        <f t="shared" si="61"/>
        <v>4.4750000000000005E-2</v>
      </c>
      <c r="E1296" s="261">
        <f t="shared" si="62"/>
        <v>1.167E-2</v>
      </c>
    </row>
    <row r="1297" spans="1:5" ht="12.75" x14ac:dyDescent="0.2">
      <c r="A1297" s="259" t="s">
        <v>2108</v>
      </c>
      <c r="B1297" s="1" t="s">
        <v>895</v>
      </c>
      <c r="C1297" s="1" t="str">
        <f t="shared" si="60"/>
        <v>Raisin City - Fresno</v>
      </c>
      <c r="D1297" s="512">
        <f t="shared" si="61"/>
        <v>8.0416666666666664E-2</v>
      </c>
      <c r="E1297" s="261">
        <f t="shared" si="62"/>
        <v>1.2110000000000001E-2</v>
      </c>
    </row>
    <row r="1298" spans="1:5" ht="12.75" x14ac:dyDescent="0.2">
      <c r="A1298" s="259" t="s">
        <v>2109</v>
      </c>
      <c r="B1298" s="1" t="s">
        <v>751</v>
      </c>
      <c r="C1298" s="1" t="str">
        <f t="shared" si="60"/>
        <v>Ramona - San Diego</v>
      </c>
      <c r="D1298" s="512">
        <f t="shared" si="61"/>
        <v>4.4750000000000005E-2</v>
      </c>
      <c r="E1298" s="261">
        <f t="shared" si="62"/>
        <v>1.167E-2</v>
      </c>
    </row>
    <row r="1299" spans="1:5" ht="12.75" x14ac:dyDescent="0.2">
      <c r="A1299" s="259" t="s">
        <v>2110</v>
      </c>
      <c r="B1299" s="1" t="s">
        <v>751</v>
      </c>
      <c r="C1299" s="1" t="str">
        <f t="shared" si="60"/>
        <v>Ranchita - San Diego</v>
      </c>
      <c r="D1299" s="512">
        <f t="shared" si="61"/>
        <v>4.4750000000000005E-2</v>
      </c>
      <c r="E1299" s="261">
        <f t="shared" si="62"/>
        <v>1.167E-2</v>
      </c>
    </row>
    <row r="1300" spans="1:5" ht="12.75" x14ac:dyDescent="0.2">
      <c r="A1300" s="259" t="s">
        <v>2111</v>
      </c>
      <c r="B1300" s="1" t="s">
        <v>751</v>
      </c>
      <c r="C1300" s="1" t="str">
        <f t="shared" si="60"/>
        <v>Rancho Bernardo  - San Diego</v>
      </c>
      <c r="D1300" s="512">
        <f t="shared" si="61"/>
        <v>4.4750000000000005E-2</v>
      </c>
      <c r="E1300" s="261">
        <f t="shared" si="62"/>
        <v>1.167E-2</v>
      </c>
    </row>
    <row r="1301" spans="1:5" ht="12.75" x14ac:dyDescent="0.2">
      <c r="A1301" s="259" t="s">
        <v>2112</v>
      </c>
      <c r="B1301" s="1" t="s">
        <v>756</v>
      </c>
      <c r="C1301" s="1" t="str">
        <f t="shared" si="60"/>
        <v>Rancho California - Riverside</v>
      </c>
      <c r="D1301" s="512">
        <f t="shared" si="61"/>
        <v>5.3749999999999999E-2</v>
      </c>
      <c r="E1301" s="261">
        <f t="shared" si="62"/>
        <v>1.1859999999999999E-2</v>
      </c>
    </row>
    <row r="1302" spans="1:5" ht="12.75" x14ac:dyDescent="0.2">
      <c r="A1302" s="259" t="s">
        <v>2113</v>
      </c>
      <c r="B1302" s="1" t="s">
        <v>843</v>
      </c>
      <c r="C1302" s="1" t="str">
        <f t="shared" si="60"/>
        <v>Rancho Cordova - Sacramento</v>
      </c>
      <c r="D1302" s="512">
        <f t="shared" si="61"/>
        <v>4.8833333333333326E-2</v>
      </c>
      <c r="E1302" s="261">
        <f t="shared" si="62"/>
        <v>1.1519999999999999E-2</v>
      </c>
    </row>
    <row r="1303" spans="1:5" ht="12.75" x14ac:dyDescent="0.2">
      <c r="A1303" s="259" t="s">
        <v>2114</v>
      </c>
      <c r="B1303" s="1" t="s">
        <v>738</v>
      </c>
      <c r="C1303" s="1" t="str">
        <f t="shared" si="60"/>
        <v>Rancho Cucamonga - San Bernardino</v>
      </c>
      <c r="D1303" s="512">
        <f t="shared" si="61"/>
        <v>5.1583333333333342E-2</v>
      </c>
      <c r="E1303" s="261">
        <f t="shared" si="62"/>
        <v>1.1379999999999999E-2</v>
      </c>
    </row>
    <row r="1304" spans="1:5" ht="12.75" x14ac:dyDescent="0.2">
      <c r="A1304" s="259" t="s">
        <v>2115</v>
      </c>
      <c r="B1304" s="1" t="s">
        <v>732</v>
      </c>
      <c r="C1304" s="1" t="str">
        <f t="shared" si="60"/>
        <v>Rancho Dominguez - Los Angeles</v>
      </c>
      <c r="D1304" s="512">
        <f t="shared" si="61"/>
        <v>5.4833333333333331E-2</v>
      </c>
      <c r="E1304" s="261">
        <f t="shared" si="62"/>
        <v>1.1599999999999999E-2</v>
      </c>
    </row>
    <row r="1305" spans="1:5" ht="12.75" x14ac:dyDescent="0.2">
      <c r="A1305" s="259" t="s">
        <v>2116</v>
      </c>
      <c r="B1305" s="1" t="s">
        <v>756</v>
      </c>
      <c r="C1305" s="1" t="str">
        <f t="shared" si="60"/>
        <v>Rancho Mirage - Riverside</v>
      </c>
      <c r="D1305" s="512">
        <f t="shared" si="61"/>
        <v>5.3749999999999999E-2</v>
      </c>
      <c r="E1305" s="261">
        <f t="shared" si="62"/>
        <v>1.1859999999999999E-2</v>
      </c>
    </row>
    <row r="1306" spans="1:5" ht="12.75" x14ac:dyDescent="0.2">
      <c r="A1306" s="259" t="s">
        <v>2117</v>
      </c>
      <c r="B1306" s="1" t="s">
        <v>843</v>
      </c>
      <c r="C1306" s="1" t="str">
        <f t="shared" si="60"/>
        <v>Rancho Murieta - Sacramento</v>
      </c>
      <c r="D1306" s="512">
        <f t="shared" si="61"/>
        <v>4.8833333333333326E-2</v>
      </c>
      <c r="E1306" s="261">
        <f t="shared" si="62"/>
        <v>1.1519999999999999E-2</v>
      </c>
    </row>
    <row r="1307" spans="1:5" ht="12.75" x14ac:dyDescent="0.2">
      <c r="A1307" s="259" t="s">
        <v>2118</v>
      </c>
      <c r="B1307" s="1" t="s">
        <v>732</v>
      </c>
      <c r="C1307" s="1" t="str">
        <f t="shared" si="60"/>
        <v>Rancho Palos Verdes - Los Angeles</v>
      </c>
      <c r="D1307" s="512">
        <f t="shared" si="61"/>
        <v>5.4833333333333331E-2</v>
      </c>
      <c r="E1307" s="261">
        <f t="shared" si="62"/>
        <v>1.1599999999999999E-2</v>
      </c>
    </row>
    <row r="1308" spans="1:5" ht="12.75" x14ac:dyDescent="0.2">
      <c r="A1308" s="259" t="s">
        <v>2119</v>
      </c>
      <c r="B1308" s="1" t="s">
        <v>732</v>
      </c>
      <c r="C1308" s="1" t="str">
        <f t="shared" si="60"/>
        <v>Rancho Park  - Los Angeles</v>
      </c>
      <c r="D1308" s="512">
        <f t="shared" si="61"/>
        <v>5.4833333333333331E-2</v>
      </c>
      <c r="E1308" s="261">
        <f t="shared" si="62"/>
        <v>1.1599999999999999E-2</v>
      </c>
    </row>
    <row r="1309" spans="1:5" ht="12.75" x14ac:dyDescent="0.2">
      <c r="A1309" s="259" t="s">
        <v>2120</v>
      </c>
      <c r="B1309" s="1" t="s">
        <v>751</v>
      </c>
      <c r="C1309" s="1" t="str">
        <f t="shared" si="60"/>
        <v>Rancho Santa Fe - San Diego</v>
      </c>
      <c r="D1309" s="512">
        <f t="shared" si="61"/>
        <v>4.4750000000000005E-2</v>
      </c>
      <c r="E1309" s="261">
        <f t="shared" si="62"/>
        <v>1.167E-2</v>
      </c>
    </row>
    <row r="1310" spans="1:5" ht="12.75" x14ac:dyDescent="0.2">
      <c r="A1310" s="259" t="s">
        <v>2121</v>
      </c>
      <c r="B1310" s="1" t="s">
        <v>782</v>
      </c>
      <c r="C1310" s="1" t="str">
        <f t="shared" si="60"/>
        <v>Rancho Santa Margarita - Orange</v>
      </c>
      <c r="D1310" s="512">
        <f t="shared" si="61"/>
        <v>3.9749999999999994E-2</v>
      </c>
      <c r="E1310" s="261">
        <f t="shared" si="62"/>
        <v>1.0660000000000001E-2</v>
      </c>
    </row>
    <row r="1311" spans="1:5" ht="12.75" x14ac:dyDescent="0.2">
      <c r="A1311" s="259" t="s">
        <v>2122</v>
      </c>
      <c r="B1311" s="1" t="s">
        <v>884</v>
      </c>
      <c r="C1311" s="1" t="str">
        <f t="shared" si="60"/>
        <v>Randsburg - Kern</v>
      </c>
      <c r="D1311" s="512">
        <f t="shared" si="61"/>
        <v>8.9333333333333334E-2</v>
      </c>
      <c r="E1311" s="261">
        <f t="shared" si="62"/>
        <v>1.238E-2</v>
      </c>
    </row>
    <row r="1312" spans="1:5" ht="12.75" x14ac:dyDescent="0.2">
      <c r="A1312" s="259" t="s">
        <v>2123</v>
      </c>
      <c r="B1312" s="1" t="s">
        <v>959</v>
      </c>
      <c r="C1312" s="1" t="str">
        <f t="shared" si="60"/>
        <v>Ravendale - Lassen</v>
      </c>
      <c r="D1312" s="512">
        <f t="shared" si="61"/>
        <v>5.8083333333333327E-2</v>
      </c>
      <c r="E1312" s="261">
        <f t="shared" si="62"/>
        <v>1.018E-2</v>
      </c>
    </row>
    <row r="1313" spans="1:5" ht="12.75" x14ac:dyDescent="0.2">
      <c r="A1313" s="259" t="s">
        <v>2124</v>
      </c>
      <c r="B1313" s="1" t="s">
        <v>732</v>
      </c>
      <c r="C1313" s="1" t="str">
        <f t="shared" si="60"/>
        <v>Ravenna - Los Angeles</v>
      </c>
      <c r="D1313" s="512">
        <f t="shared" si="61"/>
        <v>5.4833333333333331E-2</v>
      </c>
      <c r="E1313" s="261">
        <f t="shared" si="62"/>
        <v>1.1599999999999999E-2</v>
      </c>
    </row>
    <row r="1314" spans="1:5" ht="12.75" x14ac:dyDescent="0.2">
      <c r="A1314" s="259" t="s">
        <v>2125</v>
      </c>
      <c r="B1314" s="1" t="s">
        <v>759</v>
      </c>
      <c r="C1314" s="1" t="str">
        <f t="shared" si="60"/>
        <v>Raymond - Madera</v>
      </c>
      <c r="D1314" s="512">
        <f t="shared" si="61"/>
        <v>7.8166666666666662E-2</v>
      </c>
      <c r="E1314" s="261">
        <f t="shared" si="62"/>
        <v>1.098E-2</v>
      </c>
    </row>
    <row r="1315" spans="1:5" ht="12.75" x14ac:dyDescent="0.2">
      <c r="A1315" s="259" t="s">
        <v>2126</v>
      </c>
      <c r="B1315" s="1" t="s">
        <v>1188</v>
      </c>
      <c r="C1315" s="1" t="str">
        <f t="shared" si="60"/>
        <v>Red Bluff - Tehama</v>
      </c>
      <c r="D1315" s="512">
        <f t="shared" si="61"/>
        <v>6.3083333333333325E-2</v>
      </c>
      <c r="E1315" s="261">
        <f t="shared" si="62"/>
        <v>1.057E-2</v>
      </c>
    </row>
    <row r="1316" spans="1:5" ht="12.75" x14ac:dyDescent="0.2">
      <c r="A1316" s="259" t="s">
        <v>2127</v>
      </c>
      <c r="B1316" s="1" t="s">
        <v>738</v>
      </c>
      <c r="C1316" s="1" t="str">
        <f t="shared" si="60"/>
        <v>Red Mountain - San Bernardino</v>
      </c>
      <c r="D1316" s="512">
        <f t="shared" si="61"/>
        <v>5.1583333333333342E-2</v>
      </c>
      <c r="E1316" s="261">
        <f t="shared" si="62"/>
        <v>1.1379999999999999E-2</v>
      </c>
    </row>
    <row r="1317" spans="1:5" ht="12.75" x14ac:dyDescent="0.2">
      <c r="A1317" s="259" t="s">
        <v>2128</v>
      </c>
      <c r="B1317" s="1" t="s">
        <v>759</v>
      </c>
      <c r="C1317" s="1" t="str">
        <f t="shared" si="60"/>
        <v>Red Top - Madera</v>
      </c>
      <c r="D1317" s="512">
        <f t="shared" si="61"/>
        <v>7.8166666666666662E-2</v>
      </c>
      <c r="E1317" s="261">
        <f t="shared" si="62"/>
        <v>1.098E-2</v>
      </c>
    </row>
    <row r="1318" spans="1:5" ht="12.75" x14ac:dyDescent="0.2">
      <c r="A1318" s="259" t="s">
        <v>2129</v>
      </c>
      <c r="B1318" s="1" t="s">
        <v>777</v>
      </c>
      <c r="C1318" s="1" t="str">
        <f t="shared" si="60"/>
        <v>Redcrest - Humboldt</v>
      </c>
      <c r="D1318" s="512">
        <f t="shared" si="61"/>
        <v>5.1583333333333321E-2</v>
      </c>
      <c r="E1318" s="261">
        <f t="shared" si="62"/>
        <v>1.115E-2</v>
      </c>
    </row>
    <row r="1319" spans="1:5" ht="12.75" x14ac:dyDescent="0.2">
      <c r="A1319" s="259" t="s">
        <v>2130</v>
      </c>
      <c r="B1319" s="1" t="s">
        <v>832</v>
      </c>
      <c r="C1319" s="1" t="str">
        <f t="shared" si="60"/>
        <v>Redding - Shasta</v>
      </c>
      <c r="D1319" s="512">
        <f t="shared" si="61"/>
        <v>5.6416666666666657E-2</v>
      </c>
      <c r="E1319" s="261">
        <f t="shared" si="62"/>
        <v>1.099E-2</v>
      </c>
    </row>
    <row r="1320" spans="1:5" ht="12.75" x14ac:dyDescent="0.2">
      <c r="A1320" s="259" t="s">
        <v>2131</v>
      </c>
      <c r="B1320" s="1" t="s">
        <v>738</v>
      </c>
      <c r="C1320" s="1" t="str">
        <f t="shared" si="60"/>
        <v>Redlands - San Bernardino</v>
      </c>
      <c r="D1320" s="512">
        <f t="shared" si="61"/>
        <v>5.1583333333333342E-2</v>
      </c>
      <c r="E1320" s="261">
        <f t="shared" si="62"/>
        <v>1.1379999999999999E-2</v>
      </c>
    </row>
    <row r="1321" spans="1:5" ht="12.75" x14ac:dyDescent="0.2">
      <c r="A1321" s="259" t="s">
        <v>2132</v>
      </c>
      <c r="B1321" s="1" t="s">
        <v>732</v>
      </c>
      <c r="C1321" s="1" t="str">
        <f t="shared" si="60"/>
        <v>Redondo Beach - Los Angeles</v>
      </c>
      <c r="D1321" s="512">
        <f t="shared" si="61"/>
        <v>5.4833333333333331E-2</v>
      </c>
      <c r="E1321" s="261">
        <f t="shared" si="62"/>
        <v>1.1599999999999999E-2</v>
      </c>
    </row>
    <row r="1322" spans="1:5" ht="12.75" x14ac:dyDescent="0.2">
      <c r="A1322" s="259" t="s">
        <v>2133</v>
      </c>
      <c r="B1322" s="1" t="s">
        <v>777</v>
      </c>
      <c r="C1322" s="1" t="str">
        <f t="shared" si="60"/>
        <v>Redway - Humboldt</v>
      </c>
      <c r="D1322" s="512">
        <f t="shared" si="61"/>
        <v>5.1583333333333321E-2</v>
      </c>
      <c r="E1322" s="261">
        <f t="shared" si="62"/>
        <v>1.115E-2</v>
      </c>
    </row>
    <row r="1323" spans="1:5" ht="12.75" x14ac:dyDescent="0.2">
      <c r="A1323" s="259" t="s">
        <v>2134</v>
      </c>
      <c r="B1323" s="1" t="s">
        <v>890</v>
      </c>
      <c r="C1323" s="1" t="str">
        <f t="shared" si="60"/>
        <v>Redwood City - San Mateo</v>
      </c>
      <c r="D1323" s="512">
        <f t="shared" si="61"/>
        <v>3.5000000000000003E-2</v>
      </c>
      <c r="E1323" s="261">
        <f t="shared" si="62"/>
        <v>1.1089999999999999E-2</v>
      </c>
    </row>
    <row r="1324" spans="1:5" ht="12.75" x14ac:dyDescent="0.2">
      <c r="A1324" s="259" t="s">
        <v>2135</v>
      </c>
      <c r="B1324" s="1" t="s">
        <v>788</v>
      </c>
      <c r="C1324" s="1" t="str">
        <f t="shared" si="60"/>
        <v>Redwood Estates - Santa Clara</v>
      </c>
      <c r="D1324" s="512">
        <f t="shared" si="61"/>
        <v>4.0750000000000001E-2</v>
      </c>
      <c r="E1324" s="261">
        <f t="shared" si="62"/>
        <v>1.2110000000000001E-2</v>
      </c>
    </row>
    <row r="1325" spans="1:5" ht="12.75" x14ac:dyDescent="0.2">
      <c r="A1325" s="259" t="s">
        <v>2136</v>
      </c>
      <c r="B1325" s="1" t="s">
        <v>774</v>
      </c>
      <c r="C1325" s="1" t="str">
        <f t="shared" si="60"/>
        <v>Redwood Valley - Mendocino</v>
      </c>
      <c r="D1325" s="512">
        <f t="shared" si="61"/>
        <v>5.1916666666666667E-2</v>
      </c>
      <c r="E1325" s="261">
        <f t="shared" si="62"/>
        <v>1.1650000000000001E-2</v>
      </c>
    </row>
    <row r="1326" spans="1:5" ht="12.75" x14ac:dyDescent="0.2">
      <c r="A1326" s="259" t="s">
        <v>2137</v>
      </c>
      <c r="B1326" s="1" t="s">
        <v>895</v>
      </c>
      <c r="C1326" s="1" t="str">
        <f t="shared" si="60"/>
        <v>Reedley - Fresno</v>
      </c>
      <c r="D1326" s="512">
        <f t="shared" si="61"/>
        <v>8.0416666666666664E-2</v>
      </c>
      <c r="E1326" s="261">
        <f t="shared" si="62"/>
        <v>1.2110000000000001E-2</v>
      </c>
    </row>
    <row r="1327" spans="1:5" ht="12.75" x14ac:dyDescent="0.2">
      <c r="A1327" s="259" t="s">
        <v>2138</v>
      </c>
      <c r="B1327" s="1" t="s">
        <v>911</v>
      </c>
      <c r="C1327" s="1" t="str">
        <f t="shared" si="60"/>
        <v>Refugio Beach - Santa Barbara</v>
      </c>
      <c r="D1327" s="512">
        <f t="shared" si="61"/>
        <v>4.5333333333333344E-2</v>
      </c>
      <c r="E1327" s="261">
        <f t="shared" si="62"/>
        <v>1.0740000000000001E-2</v>
      </c>
    </row>
    <row r="1328" spans="1:5" ht="12.75" x14ac:dyDescent="0.2">
      <c r="A1328" s="259" t="s">
        <v>2139</v>
      </c>
      <c r="B1328" s="1" t="s">
        <v>843</v>
      </c>
      <c r="C1328" s="1" t="str">
        <f t="shared" si="60"/>
        <v>Represa - Sacramento</v>
      </c>
      <c r="D1328" s="512">
        <f t="shared" si="61"/>
        <v>4.8833333333333326E-2</v>
      </c>
      <c r="E1328" s="261">
        <f t="shared" si="62"/>
        <v>1.1519999999999999E-2</v>
      </c>
    </row>
    <row r="1329" spans="1:5" ht="12.75" x14ac:dyDescent="0.2">
      <c r="A1329" s="259" t="s">
        <v>2140</v>
      </c>
      <c r="B1329" s="1" t="s">
        <v>1207</v>
      </c>
      <c r="C1329" s="1" t="str">
        <f t="shared" si="60"/>
        <v>Requa - Del Norte</v>
      </c>
      <c r="D1329" s="512">
        <f t="shared" si="61"/>
        <v>6.0749999999999992E-2</v>
      </c>
      <c r="E1329" s="261">
        <f t="shared" si="62"/>
        <v>1.035E-2</v>
      </c>
    </row>
    <row r="1330" spans="1:5" ht="12.75" x14ac:dyDescent="0.2">
      <c r="A1330" s="259" t="s">
        <v>2141</v>
      </c>
      <c r="B1330" s="1" t="s">
        <v>762</v>
      </c>
      <c r="C1330" s="1" t="str">
        <f t="shared" si="60"/>
        <v>Rescue - El Dorado</v>
      </c>
      <c r="D1330" s="512">
        <f t="shared" si="61"/>
        <v>4.466666666666666E-2</v>
      </c>
      <c r="E1330" s="261">
        <f t="shared" si="62"/>
        <v>1.0660000000000001E-2</v>
      </c>
    </row>
    <row r="1331" spans="1:5" ht="12.75" x14ac:dyDescent="0.2">
      <c r="A1331" s="259" t="s">
        <v>2142</v>
      </c>
      <c r="B1331" s="1" t="s">
        <v>732</v>
      </c>
      <c r="C1331" s="1" t="str">
        <f t="shared" si="60"/>
        <v>Reseda  - Los Angeles</v>
      </c>
      <c r="D1331" s="512">
        <f t="shared" si="61"/>
        <v>5.4833333333333331E-2</v>
      </c>
      <c r="E1331" s="261">
        <f t="shared" si="62"/>
        <v>1.1599999999999999E-2</v>
      </c>
    </row>
    <row r="1332" spans="1:5" ht="12.75" x14ac:dyDescent="0.2">
      <c r="A1332" s="259" t="s">
        <v>2143</v>
      </c>
      <c r="B1332" s="1" t="s">
        <v>767</v>
      </c>
      <c r="C1332" s="1" t="str">
        <f t="shared" si="60"/>
        <v>Rheem Valley  - Contra Costa</v>
      </c>
      <c r="D1332" s="512">
        <f t="shared" si="61"/>
        <v>4.7250000000000007E-2</v>
      </c>
      <c r="E1332" s="261">
        <f t="shared" si="62"/>
        <v>1.163E-2</v>
      </c>
    </row>
    <row r="1333" spans="1:5" ht="12.75" x14ac:dyDescent="0.2">
      <c r="A1333" s="259" t="s">
        <v>2144</v>
      </c>
      <c r="B1333" s="1" t="s">
        <v>738</v>
      </c>
      <c r="C1333" s="1" t="str">
        <f t="shared" si="60"/>
        <v>Rialto - San Bernardino</v>
      </c>
      <c r="D1333" s="512">
        <f t="shared" si="61"/>
        <v>5.1583333333333342E-2</v>
      </c>
      <c r="E1333" s="261">
        <f t="shared" si="62"/>
        <v>1.1379999999999999E-2</v>
      </c>
    </row>
    <row r="1334" spans="1:5" ht="12.75" x14ac:dyDescent="0.2">
      <c r="A1334" s="259" t="s">
        <v>2145</v>
      </c>
      <c r="B1334" s="1" t="s">
        <v>777</v>
      </c>
      <c r="C1334" s="1" t="str">
        <f t="shared" si="60"/>
        <v>Richardson Grove - Humboldt</v>
      </c>
      <c r="D1334" s="512">
        <f t="shared" si="61"/>
        <v>5.1583333333333321E-2</v>
      </c>
      <c r="E1334" s="261">
        <f t="shared" si="62"/>
        <v>1.115E-2</v>
      </c>
    </row>
    <row r="1335" spans="1:5" ht="12.75" x14ac:dyDescent="0.2">
      <c r="A1335" s="259" t="s">
        <v>2146</v>
      </c>
      <c r="B1335" s="1" t="s">
        <v>915</v>
      </c>
      <c r="C1335" s="1" t="str">
        <f t="shared" si="60"/>
        <v>Richardson Springs - Butte</v>
      </c>
      <c r="D1335" s="512">
        <f t="shared" si="61"/>
        <v>5.8999999999999983E-2</v>
      </c>
      <c r="E1335" s="261">
        <f t="shared" si="62"/>
        <v>1.1169999999999999E-2</v>
      </c>
    </row>
    <row r="1336" spans="1:5" ht="12.75" x14ac:dyDescent="0.2">
      <c r="A1336" s="259" t="s">
        <v>2147</v>
      </c>
      <c r="B1336" s="1" t="s">
        <v>1188</v>
      </c>
      <c r="C1336" s="1" t="str">
        <f t="shared" si="60"/>
        <v>Richfield - Tehama</v>
      </c>
      <c r="D1336" s="512">
        <f t="shared" si="61"/>
        <v>6.3083333333333325E-2</v>
      </c>
      <c r="E1336" s="261">
        <f t="shared" si="62"/>
        <v>1.057E-2</v>
      </c>
    </row>
    <row r="1337" spans="1:5" ht="12.75" x14ac:dyDescent="0.2">
      <c r="A1337" s="259" t="s">
        <v>2148</v>
      </c>
      <c r="B1337" s="1" t="s">
        <v>798</v>
      </c>
      <c r="C1337" s="1" t="str">
        <f t="shared" si="60"/>
        <v>Richgrove - Tulare</v>
      </c>
      <c r="D1337" s="512">
        <f t="shared" si="61"/>
        <v>0.10691666666666669</v>
      </c>
      <c r="E1337" s="261">
        <f t="shared" si="62"/>
        <v>1.0869999999999999E-2</v>
      </c>
    </row>
    <row r="1338" spans="1:5" ht="12.75" x14ac:dyDescent="0.2">
      <c r="A1338" s="259" t="s">
        <v>2149</v>
      </c>
      <c r="B1338" s="1" t="s">
        <v>767</v>
      </c>
      <c r="C1338" s="1" t="str">
        <f t="shared" si="60"/>
        <v>Richmond - Contra Costa</v>
      </c>
      <c r="D1338" s="512">
        <f t="shared" si="61"/>
        <v>4.7250000000000007E-2</v>
      </c>
      <c r="E1338" s="261">
        <f t="shared" si="62"/>
        <v>1.163E-2</v>
      </c>
    </row>
    <row r="1339" spans="1:5" ht="12.75" x14ac:dyDescent="0.2">
      <c r="A1339" s="259" t="s">
        <v>2150</v>
      </c>
      <c r="B1339" s="1" t="s">
        <v>915</v>
      </c>
      <c r="C1339" s="1" t="str">
        <f t="shared" si="60"/>
        <v>Richvale - Butte</v>
      </c>
      <c r="D1339" s="512">
        <f t="shared" si="61"/>
        <v>5.8999999999999983E-2</v>
      </c>
      <c r="E1339" s="261">
        <f t="shared" si="62"/>
        <v>1.1169999999999999E-2</v>
      </c>
    </row>
    <row r="1340" spans="1:5" ht="12.75" x14ac:dyDescent="0.2">
      <c r="A1340" s="259" t="s">
        <v>2151</v>
      </c>
      <c r="B1340" s="1" t="s">
        <v>884</v>
      </c>
      <c r="C1340" s="1" t="str">
        <f t="shared" si="60"/>
        <v>Ridgecrest - Kern</v>
      </c>
      <c r="D1340" s="512">
        <f t="shared" si="61"/>
        <v>8.9333333333333334E-2</v>
      </c>
      <c r="E1340" s="261">
        <f t="shared" si="62"/>
        <v>1.238E-2</v>
      </c>
    </row>
    <row r="1341" spans="1:5" ht="12.75" x14ac:dyDescent="0.2">
      <c r="A1341" s="259" t="s">
        <v>2152</v>
      </c>
      <c r="B1341" s="1" t="s">
        <v>738</v>
      </c>
      <c r="C1341" s="1" t="str">
        <f t="shared" si="60"/>
        <v>Rimforest - San Bernardino</v>
      </c>
      <c r="D1341" s="512">
        <f t="shared" si="61"/>
        <v>5.1583333333333342E-2</v>
      </c>
      <c r="E1341" s="261">
        <f t="shared" si="62"/>
        <v>1.1379999999999999E-2</v>
      </c>
    </row>
    <row r="1342" spans="1:5" ht="12.75" x14ac:dyDescent="0.2">
      <c r="A1342" s="259" t="s">
        <v>2153</v>
      </c>
      <c r="B1342" s="1" t="s">
        <v>732</v>
      </c>
      <c r="C1342" s="1" t="str">
        <f t="shared" si="60"/>
        <v>Rimpau  - Los Angeles</v>
      </c>
      <c r="D1342" s="512">
        <f t="shared" si="61"/>
        <v>5.4833333333333331E-2</v>
      </c>
      <c r="E1342" s="261">
        <f t="shared" si="62"/>
        <v>1.1599999999999999E-2</v>
      </c>
    </row>
    <row r="1343" spans="1:5" ht="12.75" x14ac:dyDescent="0.2">
      <c r="A1343" s="259" t="s">
        <v>2154</v>
      </c>
      <c r="B1343" s="1" t="s">
        <v>884</v>
      </c>
      <c r="C1343" s="1" t="str">
        <f t="shared" si="60"/>
        <v>Rio Bravo - Kern</v>
      </c>
      <c r="D1343" s="512">
        <f t="shared" si="61"/>
        <v>8.9333333333333334E-2</v>
      </c>
      <c r="E1343" s="261">
        <f t="shared" si="62"/>
        <v>1.238E-2</v>
      </c>
    </row>
    <row r="1344" spans="1:5" ht="12.75" x14ac:dyDescent="0.2">
      <c r="A1344" s="259" t="s">
        <v>2155</v>
      </c>
      <c r="B1344" s="1" t="s">
        <v>777</v>
      </c>
      <c r="C1344" s="1" t="str">
        <f t="shared" si="60"/>
        <v>Rio Dell - Humboldt</v>
      </c>
      <c r="D1344" s="512">
        <f t="shared" si="61"/>
        <v>5.1583333333333321E-2</v>
      </c>
      <c r="E1344" s="261">
        <f t="shared" si="62"/>
        <v>1.115E-2</v>
      </c>
    </row>
    <row r="1345" spans="1:5" ht="12.75" x14ac:dyDescent="0.2">
      <c r="A1345" s="259" t="s">
        <v>2156</v>
      </c>
      <c r="B1345" s="1" t="s">
        <v>843</v>
      </c>
      <c r="C1345" s="1" t="str">
        <f t="shared" si="60"/>
        <v>Rio Linda - Sacramento</v>
      </c>
      <c r="D1345" s="512">
        <f t="shared" si="61"/>
        <v>4.8833333333333326E-2</v>
      </c>
      <c r="E1345" s="261">
        <f t="shared" si="62"/>
        <v>1.1519999999999999E-2</v>
      </c>
    </row>
    <row r="1346" spans="1:5" ht="12.75" x14ac:dyDescent="0.2">
      <c r="A1346" s="259" t="s">
        <v>2157</v>
      </c>
      <c r="B1346" s="1" t="s">
        <v>748</v>
      </c>
      <c r="C1346" s="1" t="str">
        <f t="shared" si="60"/>
        <v>Rio Nido - Sonoma</v>
      </c>
      <c r="D1346" s="512">
        <f t="shared" si="61"/>
        <v>4.0583333333333325E-2</v>
      </c>
      <c r="E1346" s="261">
        <f t="shared" si="62"/>
        <v>1.133E-2</v>
      </c>
    </row>
    <row r="1347" spans="1:5" ht="12.75" x14ac:dyDescent="0.2">
      <c r="A1347" s="259" t="s">
        <v>2158</v>
      </c>
      <c r="B1347" s="1" t="s">
        <v>1300</v>
      </c>
      <c r="C1347" s="1" t="str">
        <f t="shared" si="60"/>
        <v>Rio Oso - Sutter</v>
      </c>
      <c r="D1347" s="512">
        <f t="shared" si="61"/>
        <v>8.2583333333333328E-2</v>
      </c>
      <c r="E1347" s="261">
        <f t="shared" si="62"/>
        <v>1.099E-2</v>
      </c>
    </row>
    <row r="1348" spans="1:5" ht="12.75" x14ac:dyDescent="0.2">
      <c r="A1348" s="259" t="s">
        <v>2159</v>
      </c>
      <c r="B1348" s="1" t="s">
        <v>949</v>
      </c>
      <c r="C1348" s="1" t="str">
        <f t="shared" si="60"/>
        <v>Rio Vista - Solano</v>
      </c>
      <c r="D1348" s="512">
        <f t="shared" si="61"/>
        <v>5.1916666666666673E-2</v>
      </c>
      <c r="E1348" s="261">
        <f t="shared" si="62"/>
        <v>1.18E-2</v>
      </c>
    </row>
    <row r="1349" spans="1:5" ht="12.75" x14ac:dyDescent="0.2">
      <c r="A1349" s="259" t="s">
        <v>2160</v>
      </c>
      <c r="B1349" s="1" t="s">
        <v>756</v>
      </c>
      <c r="C1349" s="1" t="str">
        <f t="shared" si="60"/>
        <v>Ripley - Riverside</v>
      </c>
      <c r="D1349" s="512">
        <f t="shared" si="61"/>
        <v>5.3749999999999999E-2</v>
      </c>
      <c r="E1349" s="261">
        <f t="shared" si="62"/>
        <v>1.1859999999999999E-2</v>
      </c>
    </row>
    <row r="1350" spans="1:5" ht="12.75" x14ac:dyDescent="0.2">
      <c r="A1350" s="259" t="s">
        <v>2161</v>
      </c>
      <c r="B1350" s="1" t="s">
        <v>729</v>
      </c>
      <c r="C1350" s="1" t="str">
        <f t="shared" si="60"/>
        <v>Ripon - San Joaquin</v>
      </c>
      <c r="D1350" s="512">
        <f t="shared" si="61"/>
        <v>6.699999999999999E-2</v>
      </c>
      <c r="E1350" s="261">
        <f t="shared" si="62"/>
        <v>1.1299999999999999E-2</v>
      </c>
    </row>
    <row r="1351" spans="1:5" ht="12.75" x14ac:dyDescent="0.2">
      <c r="A1351" s="259" t="s">
        <v>2162</v>
      </c>
      <c r="B1351" s="1" t="s">
        <v>819</v>
      </c>
      <c r="C1351" s="1" t="str">
        <f t="shared" si="60"/>
        <v>River Pines - Amador</v>
      </c>
      <c r="D1351" s="512">
        <f t="shared" si="61"/>
        <v>5.3500000000000006E-2</v>
      </c>
      <c r="E1351" s="261">
        <f t="shared" si="62"/>
        <v>1.014E-2</v>
      </c>
    </row>
    <row r="1352" spans="1:5" ht="12.75" x14ac:dyDescent="0.2">
      <c r="A1352" s="259" t="s">
        <v>2163</v>
      </c>
      <c r="B1352" s="1" t="s">
        <v>1124</v>
      </c>
      <c r="C1352" s="1" t="str">
        <f t="shared" ref="C1352:C1415" si="63">A1352&amp;" - "&amp;B1352</f>
        <v>Riverbank - Stanislaus</v>
      </c>
      <c r="D1352" s="512">
        <f t="shared" si="61"/>
        <v>6.9833333333333331E-2</v>
      </c>
      <c r="E1352" s="261">
        <f t="shared" si="62"/>
        <v>1.1080000000000001E-2</v>
      </c>
    </row>
    <row r="1353" spans="1:5" ht="12.75" x14ac:dyDescent="0.2">
      <c r="A1353" s="259" t="s">
        <v>2164</v>
      </c>
      <c r="B1353" s="1" t="s">
        <v>895</v>
      </c>
      <c r="C1353" s="1" t="str">
        <f t="shared" si="63"/>
        <v>Riverdale - Fresno</v>
      </c>
      <c r="D1353" s="512">
        <f t="shared" ref="D1353:D1416" si="64">VLOOKUP(B1353,unemployment_rates,2, FALSE)</f>
        <v>8.0416666666666664E-2</v>
      </c>
      <c r="E1353" s="261">
        <f t="shared" ref="E1353:E1416" si="65">VLOOKUP(B1353,Prop_Tax_Rates,2,FALSE)</f>
        <v>1.2110000000000001E-2</v>
      </c>
    </row>
    <row r="1354" spans="1:5" ht="12.75" x14ac:dyDescent="0.2">
      <c r="A1354" s="259" t="s">
        <v>756</v>
      </c>
      <c r="B1354" s="1" t="s">
        <v>756</v>
      </c>
      <c r="C1354" s="1" t="str">
        <f t="shared" si="63"/>
        <v>Riverside - Riverside</v>
      </c>
      <c r="D1354" s="512">
        <f t="shared" si="64"/>
        <v>5.3749999999999999E-2</v>
      </c>
      <c r="E1354" s="261">
        <f t="shared" si="65"/>
        <v>1.1859999999999999E-2</v>
      </c>
    </row>
    <row r="1355" spans="1:5" ht="12.75" x14ac:dyDescent="0.2">
      <c r="A1355" s="259" t="s">
        <v>2165</v>
      </c>
      <c r="B1355" s="1" t="s">
        <v>1300</v>
      </c>
      <c r="C1355" s="1" t="str">
        <f t="shared" si="63"/>
        <v>Robbins - Sutter</v>
      </c>
      <c r="D1355" s="512">
        <f t="shared" si="64"/>
        <v>8.2583333333333328E-2</v>
      </c>
      <c r="E1355" s="261">
        <f t="shared" si="65"/>
        <v>1.099E-2</v>
      </c>
    </row>
    <row r="1356" spans="1:5" ht="12.75" x14ac:dyDescent="0.2">
      <c r="A1356" s="259" t="s">
        <v>2166</v>
      </c>
      <c r="B1356" s="1" t="s">
        <v>803</v>
      </c>
      <c r="C1356" s="1" t="str">
        <f t="shared" si="63"/>
        <v>Rocklin - Placer</v>
      </c>
      <c r="D1356" s="512">
        <f t="shared" si="64"/>
        <v>4.1833333333333347E-2</v>
      </c>
      <c r="E1356" s="261">
        <f t="shared" si="65"/>
        <v>1.0880000000000001E-2</v>
      </c>
    </row>
    <row r="1357" spans="1:5" ht="12.75" x14ac:dyDescent="0.2">
      <c r="A1357" s="259" t="s">
        <v>2167</v>
      </c>
      <c r="B1357" s="1" t="s">
        <v>767</v>
      </c>
      <c r="C1357" s="1" t="str">
        <f t="shared" si="63"/>
        <v>Rodeo - Contra Costa</v>
      </c>
      <c r="D1357" s="512">
        <f t="shared" si="64"/>
        <v>4.7250000000000007E-2</v>
      </c>
      <c r="E1357" s="261">
        <f t="shared" si="65"/>
        <v>1.163E-2</v>
      </c>
    </row>
    <row r="1358" spans="1:5" ht="12.75" x14ac:dyDescent="0.2">
      <c r="A1358" s="259" t="s">
        <v>2168</v>
      </c>
      <c r="B1358" s="1" t="s">
        <v>748</v>
      </c>
      <c r="C1358" s="1" t="str">
        <f t="shared" si="63"/>
        <v>Rohnert Park - Sonoma</v>
      </c>
      <c r="D1358" s="512">
        <f t="shared" si="64"/>
        <v>4.0583333333333325E-2</v>
      </c>
      <c r="E1358" s="261">
        <f t="shared" si="65"/>
        <v>1.133E-2</v>
      </c>
    </row>
    <row r="1359" spans="1:5" ht="12.75" x14ac:dyDescent="0.2">
      <c r="A1359" s="259" t="s">
        <v>2169</v>
      </c>
      <c r="B1359" s="1" t="s">
        <v>777</v>
      </c>
      <c r="C1359" s="1" t="str">
        <f t="shared" si="63"/>
        <v>Rohnerville - Humboldt</v>
      </c>
      <c r="D1359" s="512">
        <f t="shared" si="64"/>
        <v>5.1583333333333321E-2</v>
      </c>
      <c r="E1359" s="261">
        <f t="shared" si="65"/>
        <v>1.115E-2</v>
      </c>
    </row>
    <row r="1360" spans="1:5" ht="12.75" x14ac:dyDescent="0.2">
      <c r="A1360" s="259" t="s">
        <v>2170</v>
      </c>
      <c r="B1360" s="1" t="s">
        <v>732</v>
      </c>
      <c r="C1360" s="1" t="str">
        <f t="shared" si="63"/>
        <v>Rolling Hills - Los Angeles</v>
      </c>
      <c r="D1360" s="512">
        <f t="shared" si="64"/>
        <v>5.4833333333333331E-2</v>
      </c>
      <c r="E1360" s="261">
        <f t="shared" si="65"/>
        <v>1.1599999999999999E-2</v>
      </c>
    </row>
    <row r="1361" spans="1:5" ht="12.75" x14ac:dyDescent="0.2">
      <c r="A1361" s="259" t="s">
        <v>2171</v>
      </c>
      <c r="B1361" s="1" t="s">
        <v>732</v>
      </c>
      <c r="C1361" s="1" t="str">
        <f t="shared" si="63"/>
        <v>Rolling Hills Estates - Los Angeles</v>
      </c>
      <c r="D1361" s="512">
        <f t="shared" si="64"/>
        <v>5.4833333333333331E-2</v>
      </c>
      <c r="E1361" s="261">
        <f t="shared" si="65"/>
        <v>1.1599999999999999E-2</v>
      </c>
    </row>
    <row r="1362" spans="1:5" ht="12.75" x14ac:dyDescent="0.2">
      <c r="A1362" s="259" t="s">
        <v>2172</v>
      </c>
      <c r="B1362" s="1" t="s">
        <v>756</v>
      </c>
      <c r="C1362" s="1" t="str">
        <f t="shared" si="63"/>
        <v>Romoland - Riverside</v>
      </c>
      <c r="D1362" s="512">
        <f t="shared" si="64"/>
        <v>5.3749999999999999E-2</v>
      </c>
      <c r="E1362" s="261">
        <f t="shared" si="65"/>
        <v>1.1859999999999999E-2</v>
      </c>
    </row>
    <row r="1363" spans="1:5" ht="12.75" x14ac:dyDescent="0.2">
      <c r="A1363" s="259" t="s">
        <v>2173</v>
      </c>
      <c r="B1363" s="1" t="s">
        <v>884</v>
      </c>
      <c r="C1363" s="1" t="str">
        <f t="shared" si="63"/>
        <v>Rosamond - Kern</v>
      </c>
      <c r="D1363" s="512">
        <f t="shared" si="64"/>
        <v>8.9333333333333334E-2</v>
      </c>
      <c r="E1363" s="261">
        <f t="shared" si="65"/>
        <v>1.238E-2</v>
      </c>
    </row>
    <row r="1364" spans="1:5" ht="12.75" x14ac:dyDescent="0.2">
      <c r="A1364" s="259" t="s">
        <v>2174</v>
      </c>
      <c r="B1364" s="1" t="s">
        <v>732</v>
      </c>
      <c r="C1364" s="1" t="str">
        <f t="shared" si="63"/>
        <v>Rose Bowl  - Los Angeles</v>
      </c>
      <c r="D1364" s="512">
        <f t="shared" si="64"/>
        <v>5.4833333333333331E-2</v>
      </c>
      <c r="E1364" s="261">
        <f t="shared" si="65"/>
        <v>1.1599999999999999E-2</v>
      </c>
    </row>
    <row r="1365" spans="1:5" ht="12.75" x14ac:dyDescent="0.2">
      <c r="A1365" s="259" t="s">
        <v>2175</v>
      </c>
      <c r="B1365" s="1" t="s">
        <v>748</v>
      </c>
      <c r="C1365" s="1" t="str">
        <f t="shared" si="63"/>
        <v>Roseland  - Sonoma</v>
      </c>
      <c r="D1365" s="512">
        <f t="shared" si="64"/>
        <v>4.0583333333333325E-2</v>
      </c>
      <c r="E1365" s="261">
        <f t="shared" si="65"/>
        <v>1.133E-2</v>
      </c>
    </row>
    <row r="1366" spans="1:5" ht="12.75" x14ac:dyDescent="0.2">
      <c r="A1366" s="259" t="s">
        <v>2176</v>
      </c>
      <c r="B1366" s="1" t="s">
        <v>732</v>
      </c>
      <c r="C1366" s="1" t="str">
        <f t="shared" si="63"/>
        <v>Rosemead - Los Angeles</v>
      </c>
      <c r="D1366" s="512">
        <f t="shared" si="64"/>
        <v>5.4833333333333331E-2</v>
      </c>
      <c r="E1366" s="261">
        <f t="shared" si="65"/>
        <v>1.1599999999999999E-2</v>
      </c>
    </row>
    <row r="1367" spans="1:5" ht="12.75" x14ac:dyDescent="0.2">
      <c r="A1367" s="259" t="s">
        <v>2177</v>
      </c>
      <c r="B1367" s="1" t="s">
        <v>803</v>
      </c>
      <c r="C1367" s="1" t="str">
        <f t="shared" si="63"/>
        <v>Roseville - Placer</v>
      </c>
      <c r="D1367" s="512">
        <f t="shared" si="64"/>
        <v>4.1833333333333347E-2</v>
      </c>
      <c r="E1367" s="261">
        <f t="shared" si="65"/>
        <v>1.0880000000000001E-2</v>
      </c>
    </row>
    <row r="1368" spans="1:5" ht="12.75" x14ac:dyDescent="0.2">
      <c r="A1368" s="259" t="s">
        <v>2178</v>
      </c>
      <c r="B1368" s="1" t="s">
        <v>946</v>
      </c>
      <c r="C1368" s="1" t="str">
        <f t="shared" si="63"/>
        <v>Ross - Marin</v>
      </c>
      <c r="D1368" s="512">
        <f t="shared" si="64"/>
        <v>3.7749999999999999E-2</v>
      </c>
      <c r="E1368" s="261">
        <f t="shared" si="65"/>
        <v>1.1299999999999999E-2</v>
      </c>
    </row>
    <row r="1369" spans="1:5" ht="12.75" x14ac:dyDescent="0.2">
      <c r="A1369" s="259" t="s">
        <v>2179</v>
      </c>
      <c r="B1369" s="1" t="s">
        <v>782</v>
      </c>
      <c r="C1369" s="1" t="str">
        <f t="shared" si="63"/>
        <v>Rossmoor - Orange</v>
      </c>
      <c r="D1369" s="512">
        <f t="shared" si="64"/>
        <v>3.9749999999999994E-2</v>
      </c>
      <c r="E1369" s="261">
        <f t="shared" si="65"/>
        <v>1.0660000000000001E-2</v>
      </c>
    </row>
    <row r="1370" spans="1:5" ht="12.75" x14ac:dyDescent="0.2">
      <c r="A1370" s="259" t="s">
        <v>2180</v>
      </c>
      <c r="B1370" s="1" t="s">
        <v>1118</v>
      </c>
      <c r="C1370" s="1" t="str">
        <f t="shared" si="63"/>
        <v>Rough and Ready - Nevada</v>
      </c>
      <c r="D1370" s="512">
        <f t="shared" si="64"/>
        <v>4.3166666666666673E-2</v>
      </c>
      <c r="E1370" s="261">
        <f t="shared" si="65"/>
        <v>1.0620000000000001E-2</v>
      </c>
    </row>
    <row r="1371" spans="1:5" ht="12.75" x14ac:dyDescent="0.2">
      <c r="A1371" s="259" t="s">
        <v>2181</v>
      </c>
      <c r="B1371" s="1" t="s">
        <v>832</v>
      </c>
      <c r="C1371" s="1" t="str">
        <f t="shared" si="63"/>
        <v>Round Mountain - Shasta</v>
      </c>
      <c r="D1371" s="512">
        <f t="shared" si="64"/>
        <v>5.6416666666666657E-2</v>
      </c>
      <c r="E1371" s="261">
        <f t="shared" si="65"/>
        <v>1.099E-2</v>
      </c>
    </row>
    <row r="1372" spans="1:5" ht="12.75" x14ac:dyDescent="0.2">
      <c r="A1372" s="259" t="s">
        <v>2182</v>
      </c>
      <c r="B1372" s="1" t="s">
        <v>732</v>
      </c>
      <c r="C1372" s="1" t="str">
        <f t="shared" si="63"/>
        <v>Rowland Heights - Los Angeles</v>
      </c>
      <c r="D1372" s="512">
        <f t="shared" si="64"/>
        <v>5.4833333333333331E-2</v>
      </c>
      <c r="E1372" s="261">
        <f t="shared" si="65"/>
        <v>1.1599999999999999E-2</v>
      </c>
    </row>
    <row r="1373" spans="1:5" ht="12.75" x14ac:dyDescent="0.2">
      <c r="A1373" s="259" t="s">
        <v>2183</v>
      </c>
      <c r="B1373" s="1" t="s">
        <v>876</v>
      </c>
      <c r="C1373" s="1" t="str">
        <f t="shared" si="63"/>
        <v>Royal Oaks - Monterey</v>
      </c>
      <c r="D1373" s="512">
        <f t="shared" si="64"/>
        <v>7.425000000000001E-2</v>
      </c>
      <c r="E1373" s="261">
        <f t="shared" si="65"/>
        <v>1.098E-2</v>
      </c>
    </row>
    <row r="1374" spans="1:5" ht="12.75" x14ac:dyDescent="0.2">
      <c r="A1374" s="259" t="s">
        <v>2184</v>
      </c>
      <c r="B1374" s="1" t="s">
        <v>756</v>
      </c>
      <c r="C1374" s="1" t="str">
        <f t="shared" si="63"/>
        <v>Rubidoux - Riverside</v>
      </c>
      <c r="D1374" s="512">
        <f t="shared" si="64"/>
        <v>5.3749999999999999E-2</v>
      </c>
      <c r="E1374" s="261">
        <f t="shared" si="65"/>
        <v>1.1859999999999999E-2</v>
      </c>
    </row>
    <row r="1375" spans="1:5" ht="12.75" x14ac:dyDescent="0.2">
      <c r="A1375" s="259" t="s">
        <v>2185</v>
      </c>
      <c r="B1375" s="1" t="s">
        <v>777</v>
      </c>
      <c r="C1375" s="1" t="str">
        <f t="shared" si="63"/>
        <v>Ruby Valley - Humboldt</v>
      </c>
      <c r="D1375" s="512">
        <f t="shared" si="64"/>
        <v>5.1583333333333321E-2</v>
      </c>
      <c r="E1375" s="261">
        <f t="shared" si="65"/>
        <v>1.115E-2</v>
      </c>
    </row>
    <row r="1376" spans="1:5" ht="12.75" x14ac:dyDescent="0.2">
      <c r="A1376" s="259" t="s">
        <v>2186</v>
      </c>
      <c r="B1376" s="1" t="s">
        <v>1018</v>
      </c>
      <c r="C1376" s="1" t="str">
        <f t="shared" si="63"/>
        <v>Rumsey - Yolo</v>
      </c>
      <c r="D1376" s="512">
        <f t="shared" si="64"/>
        <v>5.2666666666666667E-2</v>
      </c>
      <c r="E1376" s="261">
        <f t="shared" si="65"/>
        <v>1.11E-2</v>
      </c>
    </row>
    <row r="1377" spans="1:5" ht="12.75" x14ac:dyDescent="0.2">
      <c r="A1377" s="259" t="s">
        <v>2187</v>
      </c>
      <c r="B1377" s="1" t="s">
        <v>738</v>
      </c>
      <c r="C1377" s="1" t="str">
        <f t="shared" si="63"/>
        <v>Running Springs - San Bernardino</v>
      </c>
      <c r="D1377" s="512">
        <f t="shared" si="64"/>
        <v>5.1583333333333342E-2</v>
      </c>
      <c r="E1377" s="261">
        <f t="shared" si="65"/>
        <v>1.1379999999999999E-2</v>
      </c>
    </row>
    <row r="1378" spans="1:5" ht="12.75" x14ac:dyDescent="0.2">
      <c r="A1378" s="259" t="s">
        <v>2188</v>
      </c>
      <c r="B1378" s="1" t="s">
        <v>961</v>
      </c>
      <c r="C1378" s="1" t="str">
        <f t="shared" si="63"/>
        <v>Ruth - Trinity</v>
      </c>
      <c r="D1378" s="512">
        <f t="shared" si="64"/>
        <v>5.916666666666668E-2</v>
      </c>
      <c r="E1378" s="261">
        <f t="shared" si="65"/>
        <v>1.043E-2</v>
      </c>
    </row>
    <row r="1379" spans="1:5" ht="12.75" x14ac:dyDescent="0.2">
      <c r="A1379" s="259" t="s">
        <v>2189</v>
      </c>
      <c r="B1379" s="1" t="s">
        <v>827</v>
      </c>
      <c r="C1379" s="1" t="str">
        <f t="shared" si="63"/>
        <v>Rutherford - Napa</v>
      </c>
      <c r="D1379" s="512">
        <f t="shared" si="64"/>
        <v>0.04</v>
      </c>
      <c r="E1379" s="261">
        <f t="shared" si="65"/>
        <v>1.102E-2</v>
      </c>
    </row>
    <row r="1380" spans="1:5" ht="12.75" x14ac:dyDescent="0.2">
      <c r="A1380" s="259" t="s">
        <v>2190</v>
      </c>
      <c r="B1380" s="1" t="s">
        <v>843</v>
      </c>
      <c r="C1380" s="1" t="str">
        <f t="shared" si="63"/>
        <v>Ryde - Sacramento</v>
      </c>
      <c r="D1380" s="512">
        <f t="shared" si="64"/>
        <v>4.8833333333333326E-2</v>
      </c>
      <c r="E1380" s="261">
        <f t="shared" si="65"/>
        <v>1.1519999999999999E-2</v>
      </c>
    </row>
    <row r="1381" spans="1:5" ht="12.75" x14ac:dyDescent="0.2">
      <c r="A1381" s="259" t="s">
        <v>843</v>
      </c>
      <c r="B1381" s="1" t="s">
        <v>843</v>
      </c>
      <c r="C1381" s="1" t="str">
        <f t="shared" si="63"/>
        <v>Sacramento - Sacramento</v>
      </c>
      <c r="D1381" s="512">
        <f t="shared" si="64"/>
        <v>4.8833333333333326E-2</v>
      </c>
      <c r="E1381" s="261">
        <f t="shared" si="65"/>
        <v>1.1519999999999999E-2</v>
      </c>
    </row>
    <row r="1382" spans="1:5" ht="12.75" x14ac:dyDescent="0.2">
      <c r="A1382" s="259" t="s">
        <v>2191</v>
      </c>
      <c r="B1382" s="1" t="s">
        <v>827</v>
      </c>
      <c r="C1382" s="1" t="str">
        <f t="shared" si="63"/>
        <v>Saint Helena - Napa</v>
      </c>
      <c r="D1382" s="512">
        <f t="shared" si="64"/>
        <v>0.04</v>
      </c>
      <c r="E1382" s="261">
        <f t="shared" si="65"/>
        <v>1.102E-2</v>
      </c>
    </row>
    <row r="1383" spans="1:5" ht="12.75" x14ac:dyDescent="0.2">
      <c r="A1383" s="259" t="s">
        <v>2192</v>
      </c>
      <c r="B1383" s="1" t="s">
        <v>1124</v>
      </c>
      <c r="C1383" s="1" t="str">
        <f t="shared" si="63"/>
        <v>Salida - Stanislaus</v>
      </c>
      <c r="D1383" s="512">
        <f t="shared" si="64"/>
        <v>6.9833333333333331E-2</v>
      </c>
      <c r="E1383" s="261">
        <f t="shared" si="65"/>
        <v>1.1080000000000001E-2</v>
      </c>
    </row>
    <row r="1384" spans="1:5" ht="12.75" x14ac:dyDescent="0.2">
      <c r="A1384" s="259" t="s">
        <v>2193</v>
      </c>
      <c r="B1384" s="1" t="s">
        <v>876</v>
      </c>
      <c r="C1384" s="1" t="str">
        <f t="shared" si="63"/>
        <v>Salinas - Monterey</v>
      </c>
      <c r="D1384" s="512">
        <f t="shared" si="64"/>
        <v>7.425000000000001E-2</v>
      </c>
      <c r="E1384" s="261">
        <f t="shared" si="65"/>
        <v>1.098E-2</v>
      </c>
    </row>
    <row r="1385" spans="1:5" ht="12.75" x14ac:dyDescent="0.2">
      <c r="A1385" s="259" t="s">
        <v>2194</v>
      </c>
      <c r="B1385" s="1" t="s">
        <v>919</v>
      </c>
      <c r="C1385" s="1" t="str">
        <f t="shared" si="63"/>
        <v>Salton City - Imperial</v>
      </c>
      <c r="D1385" s="512">
        <f t="shared" si="64"/>
        <v>0.17949999999999999</v>
      </c>
      <c r="E1385" s="261">
        <f t="shared" si="65"/>
        <v>1.206E-2</v>
      </c>
    </row>
    <row r="1386" spans="1:5" ht="12.75" x14ac:dyDescent="0.2">
      <c r="A1386" s="259" t="s">
        <v>2195</v>
      </c>
      <c r="B1386" s="1" t="s">
        <v>961</v>
      </c>
      <c r="C1386" s="1" t="str">
        <f t="shared" si="63"/>
        <v>Salyer - Trinity</v>
      </c>
      <c r="D1386" s="512">
        <f t="shared" si="64"/>
        <v>5.916666666666668E-2</v>
      </c>
      <c r="E1386" s="261">
        <f t="shared" si="65"/>
        <v>1.043E-2</v>
      </c>
    </row>
    <row r="1387" spans="1:5" ht="12.75" x14ac:dyDescent="0.2">
      <c r="A1387" s="259" t="s">
        <v>2196</v>
      </c>
      <c r="B1387" s="1" t="s">
        <v>777</v>
      </c>
      <c r="C1387" s="1" t="str">
        <f t="shared" si="63"/>
        <v>Samoa - Humboldt</v>
      </c>
      <c r="D1387" s="512">
        <f t="shared" si="64"/>
        <v>5.1583333333333321E-2</v>
      </c>
      <c r="E1387" s="261">
        <f t="shared" si="65"/>
        <v>1.115E-2</v>
      </c>
    </row>
    <row r="1388" spans="1:5" ht="12.75" x14ac:dyDescent="0.2">
      <c r="A1388" s="259" t="s">
        <v>2197</v>
      </c>
      <c r="B1388" s="1" t="s">
        <v>810</v>
      </c>
      <c r="C1388" s="1" t="str">
        <f t="shared" si="63"/>
        <v>San Andreas - Calaveras</v>
      </c>
      <c r="D1388" s="512">
        <f t="shared" si="64"/>
        <v>4.7166666666666662E-2</v>
      </c>
      <c r="E1388" s="261">
        <f t="shared" si="65"/>
        <v>1.0920000000000001E-2</v>
      </c>
    </row>
    <row r="1389" spans="1:5" ht="12.75" x14ac:dyDescent="0.2">
      <c r="A1389" s="259" t="s">
        <v>2198</v>
      </c>
      <c r="B1389" s="1" t="s">
        <v>946</v>
      </c>
      <c r="C1389" s="1" t="str">
        <f t="shared" si="63"/>
        <v>San Anselmo - Marin</v>
      </c>
      <c r="D1389" s="512">
        <f t="shared" si="64"/>
        <v>3.7749999999999999E-2</v>
      </c>
      <c r="E1389" s="261">
        <f t="shared" si="65"/>
        <v>1.1299999999999999E-2</v>
      </c>
    </row>
    <row r="1390" spans="1:5" ht="12.75" x14ac:dyDescent="0.2">
      <c r="A1390" s="259" t="s">
        <v>2199</v>
      </c>
      <c r="B1390" s="1" t="s">
        <v>876</v>
      </c>
      <c r="C1390" s="1" t="str">
        <f t="shared" si="63"/>
        <v>San Ardo - Monterey</v>
      </c>
      <c r="D1390" s="512">
        <f t="shared" si="64"/>
        <v>7.425000000000001E-2</v>
      </c>
      <c r="E1390" s="261">
        <f t="shared" si="65"/>
        <v>1.098E-2</v>
      </c>
    </row>
    <row r="1391" spans="1:5" ht="12.75" x14ac:dyDescent="0.2">
      <c r="A1391" s="259" t="s">
        <v>1530</v>
      </c>
      <c r="B1391" s="1" t="s">
        <v>1530</v>
      </c>
      <c r="C1391" s="1" t="str">
        <f t="shared" si="63"/>
        <v>San Benito - San Benito</v>
      </c>
      <c r="D1391" s="512">
        <f t="shared" si="64"/>
        <v>6.5999999999999989E-2</v>
      </c>
      <c r="E1391" s="261">
        <f t="shared" si="65"/>
        <v>1.2119999999999999E-2</v>
      </c>
    </row>
    <row r="1392" spans="1:5" ht="12.75" x14ac:dyDescent="0.2">
      <c r="A1392" s="259" t="s">
        <v>738</v>
      </c>
      <c r="B1392" s="1" t="s">
        <v>738</v>
      </c>
      <c r="C1392" s="1" t="str">
        <f t="shared" si="63"/>
        <v>San Bernardino - San Bernardino</v>
      </c>
      <c r="D1392" s="512">
        <f t="shared" si="64"/>
        <v>5.1583333333333342E-2</v>
      </c>
      <c r="E1392" s="261">
        <f t="shared" si="65"/>
        <v>1.1379999999999999E-2</v>
      </c>
    </row>
    <row r="1393" spans="1:5" ht="12.75" x14ac:dyDescent="0.2">
      <c r="A1393" s="259" t="s">
        <v>2200</v>
      </c>
      <c r="B1393" s="1" t="s">
        <v>890</v>
      </c>
      <c r="C1393" s="1" t="str">
        <f t="shared" si="63"/>
        <v>San Bruno - San Mateo</v>
      </c>
      <c r="D1393" s="512">
        <f t="shared" si="64"/>
        <v>3.5000000000000003E-2</v>
      </c>
      <c r="E1393" s="261">
        <f t="shared" si="65"/>
        <v>1.1089999999999999E-2</v>
      </c>
    </row>
    <row r="1394" spans="1:5" ht="12.75" x14ac:dyDescent="0.2">
      <c r="A1394" s="259" t="s">
        <v>2201</v>
      </c>
      <c r="B1394" s="1" t="s">
        <v>890</v>
      </c>
      <c r="C1394" s="1" t="str">
        <f t="shared" si="63"/>
        <v>San Carlos - San Mateo</v>
      </c>
      <c r="D1394" s="512">
        <f t="shared" si="64"/>
        <v>3.5000000000000003E-2</v>
      </c>
      <c r="E1394" s="261">
        <f t="shared" si="65"/>
        <v>1.1089999999999999E-2</v>
      </c>
    </row>
    <row r="1395" spans="1:5" ht="12.75" x14ac:dyDescent="0.2">
      <c r="A1395" s="259" t="s">
        <v>2202</v>
      </c>
      <c r="B1395" s="1" t="s">
        <v>782</v>
      </c>
      <c r="C1395" s="1" t="str">
        <f t="shared" si="63"/>
        <v>San Clemente - Orange</v>
      </c>
      <c r="D1395" s="512">
        <f t="shared" si="64"/>
        <v>3.9749999999999994E-2</v>
      </c>
      <c r="E1395" s="261">
        <f t="shared" si="65"/>
        <v>1.0660000000000001E-2</v>
      </c>
    </row>
    <row r="1396" spans="1:5" ht="12.75" x14ac:dyDescent="0.2">
      <c r="A1396" s="259" t="s">
        <v>751</v>
      </c>
      <c r="B1396" s="1" t="s">
        <v>751</v>
      </c>
      <c r="C1396" s="1" t="str">
        <f t="shared" si="63"/>
        <v>San Diego - San Diego</v>
      </c>
      <c r="D1396" s="512">
        <f t="shared" si="64"/>
        <v>4.4750000000000005E-2</v>
      </c>
      <c r="E1396" s="261">
        <f t="shared" si="65"/>
        <v>1.167E-2</v>
      </c>
    </row>
    <row r="1397" spans="1:5" ht="12.75" x14ac:dyDescent="0.2">
      <c r="A1397" s="259" t="s">
        <v>2203</v>
      </c>
      <c r="B1397" s="1" t="s">
        <v>732</v>
      </c>
      <c r="C1397" s="1" t="str">
        <f t="shared" si="63"/>
        <v>San Dimas - Los Angeles</v>
      </c>
      <c r="D1397" s="512">
        <f t="shared" si="64"/>
        <v>5.4833333333333331E-2</v>
      </c>
      <c r="E1397" s="261">
        <f t="shared" si="65"/>
        <v>1.1599999999999999E-2</v>
      </c>
    </row>
    <row r="1398" spans="1:5" ht="12.75" x14ac:dyDescent="0.2">
      <c r="A1398" s="259" t="s">
        <v>2204</v>
      </c>
      <c r="B1398" s="1" t="s">
        <v>732</v>
      </c>
      <c r="C1398" s="1" t="str">
        <f t="shared" si="63"/>
        <v>San Fernando - Los Angeles</v>
      </c>
      <c r="D1398" s="512">
        <f t="shared" si="64"/>
        <v>5.4833333333333331E-2</v>
      </c>
      <c r="E1398" s="261">
        <f t="shared" si="65"/>
        <v>1.1599999999999999E-2</v>
      </c>
    </row>
    <row r="1399" spans="1:5" ht="12.75" x14ac:dyDescent="0.2">
      <c r="A1399" s="259" t="s">
        <v>2092</v>
      </c>
      <c r="B1399" s="1" t="s">
        <v>2092</v>
      </c>
      <c r="C1399" s="1" t="str">
        <f t="shared" si="63"/>
        <v>San Francisco - San Francisco</v>
      </c>
      <c r="D1399" s="512">
        <f t="shared" si="64"/>
        <v>3.7000000000000005E-2</v>
      </c>
      <c r="E1399" s="261">
        <f t="shared" si="65"/>
        <v>1.1819999999999999E-2</v>
      </c>
    </row>
    <row r="1400" spans="1:5" ht="12.75" x14ac:dyDescent="0.2">
      <c r="A1400" s="259" t="s">
        <v>2205</v>
      </c>
      <c r="B1400" s="1" t="s">
        <v>732</v>
      </c>
      <c r="C1400" s="1" t="str">
        <f t="shared" si="63"/>
        <v>San Gabriel - Los Angeles</v>
      </c>
      <c r="D1400" s="512">
        <f t="shared" si="64"/>
        <v>5.4833333333333331E-2</v>
      </c>
      <c r="E1400" s="261">
        <f t="shared" si="65"/>
        <v>1.1599999999999999E-2</v>
      </c>
    </row>
    <row r="1401" spans="1:5" ht="12.75" x14ac:dyDescent="0.2">
      <c r="A1401" s="259" t="s">
        <v>2206</v>
      </c>
      <c r="B1401" s="1" t="s">
        <v>946</v>
      </c>
      <c r="C1401" s="1" t="str">
        <f t="shared" si="63"/>
        <v>San Geronimo - Marin</v>
      </c>
      <c r="D1401" s="512">
        <f t="shared" si="64"/>
        <v>3.7749999999999999E-2</v>
      </c>
      <c r="E1401" s="261">
        <f t="shared" si="65"/>
        <v>1.1299999999999999E-2</v>
      </c>
    </row>
    <row r="1402" spans="1:5" ht="12.75" x14ac:dyDescent="0.2">
      <c r="A1402" s="259" t="s">
        <v>2207</v>
      </c>
      <c r="B1402" s="1" t="s">
        <v>890</v>
      </c>
      <c r="C1402" s="1" t="str">
        <f t="shared" si="63"/>
        <v>San Gregorio - San Mateo</v>
      </c>
      <c r="D1402" s="512">
        <f t="shared" si="64"/>
        <v>3.5000000000000003E-2</v>
      </c>
      <c r="E1402" s="261">
        <f t="shared" si="65"/>
        <v>1.1089999999999999E-2</v>
      </c>
    </row>
    <row r="1403" spans="1:5" ht="12.75" x14ac:dyDescent="0.2">
      <c r="A1403" s="259" t="s">
        <v>2208</v>
      </c>
      <c r="B1403" s="1" t="s">
        <v>756</v>
      </c>
      <c r="C1403" s="1" t="str">
        <f t="shared" si="63"/>
        <v>San Jacinto - Riverside</v>
      </c>
      <c r="D1403" s="512">
        <f t="shared" si="64"/>
        <v>5.3749999999999999E-2</v>
      </c>
      <c r="E1403" s="261">
        <f t="shared" si="65"/>
        <v>1.1859999999999999E-2</v>
      </c>
    </row>
    <row r="1404" spans="1:5" ht="12.75" x14ac:dyDescent="0.2">
      <c r="A1404" s="259" t="s">
        <v>729</v>
      </c>
      <c r="B1404" s="1" t="s">
        <v>895</v>
      </c>
      <c r="C1404" s="1" t="str">
        <f t="shared" si="63"/>
        <v>San Joaquin - Fresno</v>
      </c>
      <c r="D1404" s="512">
        <f t="shared" si="64"/>
        <v>8.0416666666666664E-2</v>
      </c>
      <c r="E1404" s="261">
        <f t="shared" si="65"/>
        <v>1.2110000000000001E-2</v>
      </c>
    </row>
    <row r="1405" spans="1:5" ht="12.75" x14ac:dyDescent="0.2">
      <c r="A1405" s="259" t="s">
        <v>2209</v>
      </c>
      <c r="B1405" s="1" t="s">
        <v>788</v>
      </c>
      <c r="C1405" s="1" t="str">
        <f t="shared" si="63"/>
        <v>San Jose - Santa Clara</v>
      </c>
      <c r="D1405" s="512">
        <f t="shared" si="64"/>
        <v>4.0750000000000001E-2</v>
      </c>
      <c r="E1405" s="261">
        <f t="shared" si="65"/>
        <v>1.2110000000000001E-2</v>
      </c>
    </row>
    <row r="1406" spans="1:5" ht="12.75" x14ac:dyDescent="0.2">
      <c r="A1406" s="259" t="s">
        <v>2210</v>
      </c>
      <c r="B1406" s="1" t="s">
        <v>1530</v>
      </c>
      <c r="C1406" s="1" t="str">
        <f t="shared" si="63"/>
        <v>San Juan Bautista - San Benito</v>
      </c>
      <c r="D1406" s="512">
        <f t="shared" si="64"/>
        <v>6.5999999999999989E-2</v>
      </c>
      <c r="E1406" s="261">
        <f t="shared" si="65"/>
        <v>1.2119999999999999E-2</v>
      </c>
    </row>
    <row r="1407" spans="1:5" ht="12.75" x14ac:dyDescent="0.2">
      <c r="A1407" s="259" t="s">
        <v>2211</v>
      </c>
      <c r="B1407" s="1" t="s">
        <v>782</v>
      </c>
      <c r="C1407" s="1" t="str">
        <f t="shared" si="63"/>
        <v>San Juan Capistrano - Orange</v>
      </c>
      <c r="D1407" s="512">
        <f t="shared" si="64"/>
        <v>3.9749999999999994E-2</v>
      </c>
      <c r="E1407" s="261">
        <f t="shared" si="65"/>
        <v>1.0660000000000001E-2</v>
      </c>
    </row>
    <row r="1408" spans="1:5" ht="12.75" x14ac:dyDescent="0.2">
      <c r="A1408" s="259" t="s">
        <v>2212</v>
      </c>
      <c r="B1408" s="1" t="s">
        <v>782</v>
      </c>
      <c r="C1408" s="1" t="str">
        <f t="shared" si="63"/>
        <v>San Juan Plaza  - Orange</v>
      </c>
      <c r="D1408" s="512">
        <f t="shared" si="64"/>
        <v>3.9749999999999994E-2</v>
      </c>
      <c r="E1408" s="261">
        <f t="shared" si="65"/>
        <v>1.0660000000000001E-2</v>
      </c>
    </row>
    <row r="1409" spans="1:5" ht="12.75" x14ac:dyDescent="0.2">
      <c r="A1409" s="259" t="s">
        <v>2213</v>
      </c>
      <c r="B1409" s="1" t="s">
        <v>764</v>
      </c>
      <c r="C1409" s="1" t="str">
        <f t="shared" si="63"/>
        <v>San Leandro - Alameda</v>
      </c>
      <c r="D1409" s="512">
        <f t="shared" si="64"/>
        <v>4.7E-2</v>
      </c>
      <c r="E1409" s="261">
        <f t="shared" si="65"/>
        <v>1.2430000000000002E-2</v>
      </c>
    </row>
    <row r="1410" spans="1:5" ht="12.75" x14ac:dyDescent="0.2">
      <c r="A1410" s="259" t="s">
        <v>2214</v>
      </c>
      <c r="B1410" s="1" t="s">
        <v>764</v>
      </c>
      <c r="C1410" s="1" t="str">
        <f t="shared" si="63"/>
        <v>San Lorenzo - Alameda</v>
      </c>
      <c r="D1410" s="512">
        <f t="shared" si="64"/>
        <v>4.7E-2</v>
      </c>
      <c r="E1410" s="261">
        <f t="shared" si="65"/>
        <v>1.2430000000000002E-2</v>
      </c>
    </row>
    <row r="1411" spans="1:5" ht="12.75" x14ac:dyDescent="0.2">
      <c r="A1411" s="259" t="s">
        <v>2215</v>
      </c>
      <c r="B1411" s="1" t="s">
        <v>876</v>
      </c>
      <c r="C1411" s="1" t="str">
        <f t="shared" si="63"/>
        <v>San Lucas - Monterey</v>
      </c>
      <c r="D1411" s="512">
        <f t="shared" si="64"/>
        <v>7.425000000000001E-2</v>
      </c>
      <c r="E1411" s="261">
        <f t="shared" si="65"/>
        <v>1.098E-2</v>
      </c>
    </row>
    <row r="1412" spans="1:5" ht="12.75" x14ac:dyDescent="0.2">
      <c r="A1412" s="259" t="s">
        <v>735</v>
      </c>
      <c r="B1412" s="1" t="s">
        <v>735</v>
      </c>
      <c r="C1412" s="1" t="str">
        <f t="shared" si="63"/>
        <v>San Luis Obispo - San Luis Obispo</v>
      </c>
      <c r="D1412" s="512">
        <f t="shared" si="64"/>
        <v>3.8833333333333331E-2</v>
      </c>
      <c r="E1412" s="261">
        <f t="shared" si="65"/>
        <v>1.085E-2</v>
      </c>
    </row>
    <row r="1413" spans="1:5" ht="12.75" x14ac:dyDescent="0.2">
      <c r="A1413" s="259" t="s">
        <v>2216</v>
      </c>
      <c r="B1413" s="1" t="s">
        <v>751</v>
      </c>
      <c r="C1413" s="1" t="str">
        <f t="shared" si="63"/>
        <v>San Luis Rey  - San Diego</v>
      </c>
      <c r="D1413" s="512">
        <f t="shared" si="64"/>
        <v>4.4750000000000005E-2</v>
      </c>
      <c r="E1413" s="261">
        <f t="shared" si="65"/>
        <v>1.167E-2</v>
      </c>
    </row>
    <row r="1414" spans="1:5" ht="12.75" x14ac:dyDescent="0.2">
      <c r="A1414" s="259" t="s">
        <v>2217</v>
      </c>
      <c r="B1414" s="1" t="s">
        <v>751</v>
      </c>
      <c r="C1414" s="1" t="str">
        <f t="shared" si="63"/>
        <v>San Marcos - San Diego</v>
      </c>
      <c r="D1414" s="512">
        <f t="shared" si="64"/>
        <v>4.4750000000000005E-2</v>
      </c>
      <c r="E1414" s="261">
        <f t="shared" si="65"/>
        <v>1.167E-2</v>
      </c>
    </row>
    <row r="1415" spans="1:5" ht="12.75" x14ac:dyDescent="0.2">
      <c r="A1415" s="259" t="s">
        <v>2218</v>
      </c>
      <c r="B1415" s="1" t="s">
        <v>732</v>
      </c>
      <c r="C1415" s="1" t="str">
        <f t="shared" si="63"/>
        <v>San Marino - Los Angeles</v>
      </c>
      <c r="D1415" s="512">
        <f t="shared" si="64"/>
        <v>5.4833333333333331E-2</v>
      </c>
      <c r="E1415" s="261">
        <f t="shared" si="65"/>
        <v>1.1599999999999999E-2</v>
      </c>
    </row>
    <row r="1416" spans="1:5" ht="12.75" x14ac:dyDescent="0.2">
      <c r="A1416" s="259" t="s">
        <v>2219</v>
      </c>
      <c r="B1416" s="1" t="s">
        <v>788</v>
      </c>
      <c r="C1416" s="1" t="str">
        <f t="shared" ref="C1416:C1479" si="66">A1416&amp;" - "&amp;B1416</f>
        <v>San Martin - Santa Clara</v>
      </c>
      <c r="D1416" s="512">
        <f t="shared" si="64"/>
        <v>4.0750000000000001E-2</v>
      </c>
      <c r="E1416" s="261">
        <f t="shared" si="65"/>
        <v>1.2110000000000001E-2</v>
      </c>
    </row>
    <row r="1417" spans="1:5" ht="12.75" x14ac:dyDescent="0.2">
      <c r="A1417" s="259" t="s">
        <v>890</v>
      </c>
      <c r="B1417" s="1" t="s">
        <v>890</v>
      </c>
      <c r="C1417" s="1" t="str">
        <f t="shared" si="66"/>
        <v>San Mateo - San Mateo</v>
      </c>
      <c r="D1417" s="512">
        <f t="shared" ref="D1417:D1480" si="67">VLOOKUP(B1417,unemployment_rates,2, FALSE)</f>
        <v>3.5000000000000003E-2</v>
      </c>
      <c r="E1417" s="261">
        <f t="shared" ref="E1417:E1480" si="68">VLOOKUP(B1417,Prop_Tax_Rates,2,FALSE)</f>
        <v>1.1089999999999999E-2</v>
      </c>
    </row>
    <row r="1418" spans="1:5" ht="12.75" x14ac:dyDescent="0.2">
      <c r="A1418" s="259" t="s">
        <v>2220</v>
      </c>
      <c r="B1418" s="1" t="s">
        <v>735</v>
      </c>
      <c r="C1418" s="1" t="str">
        <f t="shared" si="66"/>
        <v>San Miguel - San Luis Obispo</v>
      </c>
      <c r="D1418" s="512">
        <f t="shared" si="67"/>
        <v>3.8833333333333331E-2</v>
      </c>
      <c r="E1418" s="261">
        <f t="shared" si="68"/>
        <v>1.085E-2</v>
      </c>
    </row>
    <row r="1419" spans="1:5" ht="12.75" x14ac:dyDescent="0.2">
      <c r="A1419" s="259" t="s">
        <v>2221</v>
      </c>
      <c r="B1419" s="1" t="s">
        <v>767</v>
      </c>
      <c r="C1419" s="1" t="str">
        <f t="shared" si="66"/>
        <v>San Pablo - Contra Costa</v>
      </c>
      <c r="D1419" s="512">
        <f t="shared" si="67"/>
        <v>4.7250000000000007E-2</v>
      </c>
      <c r="E1419" s="261">
        <f t="shared" si="68"/>
        <v>1.163E-2</v>
      </c>
    </row>
    <row r="1420" spans="1:5" ht="12.75" x14ac:dyDescent="0.2">
      <c r="A1420" s="259" t="s">
        <v>2222</v>
      </c>
      <c r="B1420" s="1" t="s">
        <v>732</v>
      </c>
      <c r="C1420" s="1" t="str">
        <f t="shared" si="66"/>
        <v>San Pedro  - Los Angeles</v>
      </c>
      <c r="D1420" s="512">
        <f t="shared" si="67"/>
        <v>5.4833333333333331E-2</v>
      </c>
      <c r="E1420" s="261">
        <f t="shared" si="68"/>
        <v>1.1599999999999999E-2</v>
      </c>
    </row>
    <row r="1421" spans="1:5" ht="12.75" x14ac:dyDescent="0.2">
      <c r="A1421" s="259" t="s">
        <v>2223</v>
      </c>
      <c r="B1421" s="1" t="s">
        <v>946</v>
      </c>
      <c r="C1421" s="1" t="str">
        <f t="shared" si="66"/>
        <v>San Quentin - Marin</v>
      </c>
      <c r="D1421" s="512">
        <f t="shared" si="67"/>
        <v>3.7749999999999999E-2</v>
      </c>
      <c r="E1421" s="261">
        <f t="shared" si="68"/>
        <v>1.1299999999999999E-2</v>
      </c>
    </row>
    <row r="1422" spans="1:5" ht="12.75" x14ac:dyDescent="0.2">
      <c r="A1422" s="259" t="s">
        <v>2224</v>
      </c>
      <c r="B1422" s="1" t="s">
        <v>946</v>
      </c>
      <c r="C1422" s="1" t="str">
        <f t="shared" si="66"/>
        <v>San Rafael - Marin</v>
      </c>
      <c r="D1422" s="512">
        <f t="shared" si="67"/>
        <v>3.7749999999999999E-2</v>
      </c>
      <c r="E1422" s="261">
        <f t="shared" si="68"/>
        <v>1.1299999999999999E-2</v>
      </c>
    </row>
    <row r="1423" spans="1:5" ht="12.75" x14ac:dyDescent="0.2">
      <c r="A1423" s="259" t="s">
        <v>2225</v>
      </c>
      <c r="B1423" s="1" t="s">
        <v>767</v>
      </c>
      <c r="C1423" s="1" t="str">
        <f t="shared" si="66"/>
        <v>San Ramon - Contra Costa</v>
      </c>
      <c r="D1423" s="512">
        <f t="shared" si="67"/>
        <v>4.7250000000000007E-2</v>
      </c>
      <c r="E1423" s="261">
        <f t="shared" si="68"/>
        <v>1.163E-2</v>
      </c>
    </row>
    <row r="1424" spans="1:5" ht="12.75" x14ac:dyDescent="0.2">
      <c r="A1424" s="259" t="s">
        <v>2226</v>
      </c>
      <c r="B1424" s="1" t="s">
        <v>735</v>
      </c>
      <c r="C1424" s="1" t="str">
        <f t="shared" si="66"/>
        <v>San Simeon - San Luis Obispo</v>
      </c>
      <c r="D1424" s="512">
        <f t="shared" si="67"/>
        <v>3.8833333333333331E-2</v>
      </c>
      <c r="E1424" s="261">
        <f t="shared" si="68"/>
        <v>1.085E-2</v>
      </c>
    </row>
    <row r="1425" spans="1:5" ht="12.75" x14ac:dyDescent="0.2">
      <c r="A1425" s="259" t="s">
        <v>2227</v>
      </c>
      <c r="B1425" s="1" t="s">
        <v>788</v>
      </c>
      <c r="C1425" s="1" t="str">
        <f t="shared" si="66"/>
        <v>San Tomas - Santa Clara</v>
      </c>
      <c r="D1425" s="512">
        <f t="shared" si="67"/>
        <v>4.0750000000000001E-2</v>
      </c>
      <c r="E1425" s="261">
        <f t="shared" si="68"/>
        <v>1.2110000000000001E-2</v>
      </c>
    </row>
    <row r="1426" spans="1:5" ht="12.75" x14ac:dyDescent="0.2">
      <c r="A1426" s="259" t="s">
        <v>2228</v>
      </c>
      <c r="B1426" s="1" t="s">
        <v>751</v>
      </c>
      <c r="C1426" s="1" t="str">
        <f t="shared" si="66"/>
        <v>San Ysidro  - San Diego</v>
      </c>
      <c r="D1426" s="512">
        <f t="shared" si="67"/>
        <v>4.4750000000000005E-2</v>
      </c>
      <c r="E1426" s="261">
        <f t="shared" si="68"/>
        <v>1.167E-2</v>
      </c>
    </row>
    <row r="1427" spans="1:5" ht="12.75" x14ac:dyDescent="0.2">
      <c r="A1427" s="259" t="s">
        <v>2229</v>
      </c>
      <c r="B1427" s="1" t="s">
        <v>876</v>
      </c>
      <c r="C1427" s="1" t="str">
        <f t="shared" si="66"/>
        <v>Sand City - Monterey</v>
      </c>
      <c r="D1427" s="512">
        <f t="shared" si="67"/>
        <v>7.425000000000001E-2</v>
      </c>
      <c r="E1427" s="261">
        <f t="shared" si="68"/>
        <v>1.098E-2</v>
      </c>
    </row>
    <row r="1428" spans="1:5" ht="12.75" x14ac:dyDescent="0.2">
      <c r="A1428" s="259" t="s">
        <v>2230</v>
      </c>
      <c r="B1428" s="1" t="s">
        <v>895</v>
      </c>
      <c r="C1428" s="1" t="str">
        <f t="shared" si="66"/>
        <v>Sanger - Fresno</v>
      </c>
      <c r="D1428" s="512">
        <f t="shared" si="67"/>
        <v>8.0416666666666664E-2</v>
      </c>
      <c r="E1428" s="261">
        <f t="shared" si="68"/>
        <v>1.2110000000000001E-2</v>
      </c>
    </row>
    <row r="1429" spans="1:5" ht="12.75" x14ac:dyDescent="0.2">
      <c r="A1429" s="259" t="s">
        <v>2231</v>
      </c>
      <c r="B1429" s="1" t="s">
        <v>782</v>
      </c>
      <c r="C1429" s="1" t="str">
        <f t="shared" si="66"/>
        <v>Santa Ana - Orange</v>
      </c>
      <c r="D1429" s="512">
        <f t="shared" si="67"/>
        <v>3.9749999999999994E-2</v>
      </c>
      <c r="E1429" s="261">
        <f t="shared" si="68"/>
        <v>1.0660000000000001E-2</v>
      </c>
    </row>
    <row r="1430" spans="1:5" ht="12.75" x14ac:dyDescent="0.2">
      <c r="A1430" s="259" t="s">
        <v>911</v>
      </c>
      <c r="B1430" s="1" t="s">
        <v>911</v>
      </c>
      <c r="C1430" s="1" t="str">
        <f t="shared" si="66"/>
        <v>Santa Barbara - Santa Barbara</v>
      </c>
      <c r="D1430" s="512">
        <f t="shared" si="67"/>
        <v>4.5333333333333344E-2</v>
      </c>
      <c r="E1430" s="261">
        <f t="shared" si="68"/>
        <v>1.0740000000000001E-2</v>
      </c>
    </row>
    <row r="1431" spans="1:5" ht="12.75" x14ac:dyDescent="0.2">
      <c r="A1431" s="259" t="s">
        <v>788</v>
      </c>
      <c r="B1431" s="1" t="s">
        <v>788</v>
      </c>
      <c r="C1431" s="1" t="str">
        <f t="shared" si="66"/>
        <v>Santa Clara - Santa Clara</v>
      </c>
      <c r="D1431" s="512">
        <f t="shared" si="67"/>
        <v>4.0750000000000001E-2</v>
      </c>
      <c r="E1431" s="261">
        <f t="shared" si="68"/>
        <v>1.2110000000000001E-2</v>
      </c>
    </row>
    <row r="1432" spans="1:5" ht="12.75" x14ac:dyDescent="0.2">
      <c r="A1432" s="259" t="s">
        <v>2232</v>
      </c>
      <c r="B1432" s="1" t="s">
        <v>732</v>
      </c>
      <c r="C1432" s="1" t="str">
        <f t="shared" si="66"/>
        <v>Santa Clarita - Los Angeles</v>
      </c>
      <c r="D1432" s="512">
        <f t="shared" si="67"/>
        <v>5.4833333333333331E-2</v>
      </c>
      <c r="E1432" s="261">
        <f t="shared" si="68"/>
        <v>1.1599999999999999E-2</v>
      </c>
    </row>
    <row r="1433" spans="1:5" ht="12.75" x14ac:dyDescent="0.2">
      <c r="A1433" s="259" t="s">
        <v>856</v>
      </c>
      <c r="B1433" s="1" t="s">
        <v>856</v>
      </c>
      <c r="C1433" s="1" t="str">
        <f t="shared" si="66"/>
        <v>Santa Cruz - Santa Cruz</v>
      </c>
      <c r="D1433" s="512">
        <f t="shared" si="67"/>
        <v>6.2416666666666669E-2</v>
      </c>
      <c r="E1433" s="261">
        <f t="shared" si="68"/>
        <v>1.106E-2</v>
      </c>
    </row>
    <row r="1434" spans="1:5" ht="12.75" x14ac:dyDescent="0.2">
      <c r="A1434" s="259" t="s">
        <v>2233</v>
      </c>
      <c r="B1434" s="1" t="s">
        <v>732</v>
      </c>
      <c r="C1434" s="1" t="str">
        <f t="shared" si="66"/>
        <v>Santa Fe Springs - Los Angeles</v>
      </c>
      <c r="D1434" s="512">
        <f t="shared" si="67"/>
        <v>5.4833333333333331E-2</v>
      </c>
      <c r="E1434" s="261">
        <f t="shared" si="68"/>
        <v>1.1599999999999999E-2</v>
      </c>
    </row>
    <row r="1435" spans="1:5" ht="12.75" x14ac:dyDescent="0.2">
      <c r="A1435" s="259" t="s">
        <v>2234</v>
      </c>
      <c r="B1435" s="1" t="s">
        <v>735</v>
      </c>
      <c r="C1435" s="1" t="str">
        <f t="shared" si="66"/>
        <v>Santa Margarita - San Luis Obispo</v>
      </c>
      <c r="D1435" s="512">
        <f t="shared" si="67"/>
        <v>3.8833333333333331E-2</v>
      </c>
      <c r="E1435" s="261">
        <f t="shared" si="68"/>
        <v>1.085E-2</v>
      </c>
    </row>
    <row r="1436" spans="1:5" ht="12.75" x14ac:dyDescent="0.2">
      <c r="A1436" s="259" t="s">
        <v>2235</v>
      </c>
      <c r="B1436" s="1" t="s">
        <v>911</v>
      </c>
      <c r="C1436" s="1" t="str">
        <f t="shared" si="66"/>
        <v>Santa Maria - Santa Barbara</v>
      </c>
      <c r="D1436" s="512">
        <f t="shared" si="67"/>
        <v>4.5333333333333344E-2</v>
      </c>
      <c r="E1436" s="261">
        <f t="shared" si="68"/>
        <v>1.0740000000000001E-2</v>
      </c>
    </row>
    <row r="1437" spans="1:5" ht="12.75" x14ac:dyDescent="0.2">
      <c r="A1437" s="259" t="s">
        <v>2236</v>
      </c>
      <c r="B1437" s="1" t="s">
        <v>732</v>
      </c>
      <c r="C1437" s="1" t="str">
        <f t="shared" si="66"/>
        <v>Santa Monica - Los Angeles</v>
      </c>
      <c r="D1437" s="512">
        <f t="shared" si="67"/>
        <v>5.4833333333333331E-2</v>
      </c>
      <c r="E1437" s="261">
        <f t="shared" si="68"/>
        <v>1.1599999999999999E-2</v>
      </c>
    </row>
    <row r="1438" spans="1:5" ht="12.75" x14ac:dyDescent="0.2">
      <c r="A1438" s="259" t="s">
        <v>2237</v>
      </c>
      <c r="B1438" s="1" t="s">
        <v>892</v>
      </c>
      <c r="C1438" s="1" t="str">
        <f t="shared" si="66"/>
        <v>Santa Nella - Merced</v>
      </c>
      <c r="D1438" s="512">
        <f t="shared" si="67"/>
        <v>9.6416666666666678E-2</v>
      </c>
      <c r="E1438" s="261">
        <f t="shared" si="68"/>
        <v>1.0829999999999999E-2</v>
      </c>
    </row>
    <row r="1439" spans="1:5" ht="12.75" x14ac:dyDescent="0.2">
      <c r="A1439" s="259" t="s">
        <v>2238</v>
      </c>
      <c r="B1439" s="1" t="s">
        <v>1058</v>
      </c>
      <c r="C1439" s="1" t="str">
        <f t="shared" si="66"/>
        <v>Santa Paula - Ventura</v>
      </c>
      <c r="D1439" s="512">
        <f t="shared" si="67"/>
        <v>4.7250000000000007E-2</v>
      </c>
      <c r="E1439" s="261">
        <f t="shared" si="68"/>
        <v>1.098E-2</v>
      </c>
    </row>
    <row r="1440" spans="1:5" ht="12.75" x14ac:dyDescent="0.2">
      <c r="A1440" s="259" t="s">
        <v>2239</v>
      </c>
      <c r="B1440" s="1" t="s">
        <v>892</v>
      </c>
      <c r="C1440" s="1" t="str">
        <f t="shared" si="66"/>
        <v>Santa Rita Park - Merced</v>
      </c>
      <c r="D1440" s="512">
        <f t="shared" si="67"/>
        <v>9.6416666666666678E-2</v>
      </c>
      <c r="E1440" s="261">
        <f t="shared" si="68"/>
        <v>1.0829999999999999E-2</v>
      </c>
    </row>
    <row r="1441" spans="1:5" ht="12.75" x14ac:dyDescent="0.2">
      <c r="A1441" s="259" t="s">
        <v>2240</v>
      </c>
      <c r="B1441" s="1" t="s">
        <v>748</v>
      </c>
      <c r="C1441" s="1" t="str">
        <f t="shared" si="66"/>
        <v>Santa Rosa - Sonoma</v>
      </c>
      <c r="D1441" s="512">
        <f t="shared" si="67"/>
        <v>4.0583333333333325E-2</v>
      </c>
      <c r="E1441" s="261">
        <f t="shared" si="68"/>
        <v>1.133E-2</v>
      </c>
    </row>
    <row r="1442" spans="1:5" ht="12.75" x14ac:dyDescent="0.2">
      <c r="A1442" s="259" t="s">
        <v>2241</v>
      </c>
      <c r="B1442" s="1" t="s">
        <v>911</v>
      </c>
      <c r="C1442" s="1" t="str">
        <f t="shared" si="66"/>
        <v>Santa Ynez - Santa Barbara</v>
      </c>
      <c r="D1442" s="512">
        <f t="shared" si="67"/>
        <v>4.5333333333333344E-2</v>
      </c>
      <c r="E1442" s="261">
        <f t="shared" si="68"/>
        <v>1.0740000000000001E-2</v>
      </c>
    </row>
    <row r="1443" spans="1:5" ht="12.75" x14ac:dyDescent="0.2">
      <c r="A1443" s="259" t="s">
        <v>2242</v>
      </c>
      <c r="B1443" s="1" t="s">
        <v>751</v>
      </c>
      <c r="C1443" s="1" t="str">
        <f t="shared" si="66"/>
        <v>Santa Ysabel - San Diego</v>
      </c>
      <c r="D1443" s="512">
        <f t="shared" si="67"/>
        <v>4.4750000000000005E-2</v>
      </c>
      <c r="E1443" s="261">
        <f t="shared" si="68"/>
        <v>1.167E-2</v>
      </c>
    </row>
    <row r="1444" spans="1:5" ht="12.75" x14ac:dyDescent="0.2">
      <c r="A1444" s="259" t="s">
        <v>2243</v>
      </c>
      <c r="B1444" s="1" t="s">
        <v>751</v>
      </c>
      <c r="C1444" s="1" t="str">
        <f t="shared" si="66"/>
        <v>Santee - San Diego</v>
      </c>
      <c r="D1444" s="512">
        <f t="shared" si="67"/>
        <v>4.4750000000000005E-2</v>
      </c>
      <c r="E1444" s="261">
        <f t="shared" si="68"/>
        <v>1.167E-2</v>
      </c>
    </row>
    <row r="1445" spans="1:5" ht="12.75" x14ac:dyDescent="0.2">
      <c r="A1445" s="259" t="s">
        <v>2244</v>
      </c>
      <c r="B1445" s="1" t="s">
        <v>788</v>
      </c>
      <c r="C1445" s="1" t="str">
        <f t="shared" si="66"/>
        <v>Saratoga - Santa Clara</v>
      </c>
      <c r="D1445" s="512">
        <f t="shared" si="67"/>
        <v>4.0750000000000001E-2</v>
      </c>
      <c r="E1445" s="261">
        <f t="shared" si="68"/>
        <v>1.2110000000000001E-2</v>
      </c>
    </row>
    <row r="1446" spans="1:5" ht="12.75" x14ac:dyDescent="0.2">
      <c r="A1446" s="259" t="s">
        <v>2245</v>
      </c>
      <c r="B1446" s="1" t="s">
        <v>1058</v>
      </c>
      <c r="C1446" s="1" t="str">
        <f t="shared" si="66"/>
        <v>Saticoy - Ventura</v>
      </c>
      <c r="D1446" s="512">
        <f t="shared" si="67"/>
        <v>4.7250000000000007E-2</v>
      </c>
      <c r="E1446" s="261">
        <f t="shared" si="68"/>
        <v>1.098E-2</v>
      </c>
    </row>
    <row r="1447" spans="1:5" ht="12.75" x14ac:dyDescent="0.2">
      <c r="A1447" s="259" t="s">
        <v>2246</v>
      </c>
      <c r="B1447" s="1" t="s">
        <v>785</v>
      </c>
      <c r="C1447" s="1" t="str">
        <f t="shared" si="66"/>
        <v>Sattley - Sierra</v>
      </c>
      <c r="D1447" s="512">
        <f t="shared" si="67"/>
        <v>5.2250000000000005E-2</v>
      </c>
      <c r="E1447" s="261">
        <f t="shared" si="68"/>
        <v>0.01</v>
      </c>
    </row>
    <row r="1448" spans="1:5" ht="12.75" x14ac:dyDescent="0.2">
      <c r="A1448" s="259" t="s">
        <v>2247</v>
      </c>
      <c r="B1448" s="1" t="s">
        <v>732</v>
      </c>
      <c r="C1448" s="1" t="str">
        <f t="shared" si="66"/>
        <v>Saugus  - Los Angeles</v>
      </c>
      <c r="D1448" s="512">
        <f t="shared" si="67"/>
        <v>5.4833333333333331E-2</v>
      </c>
      <c r="E1448" s="261">
        <f t="shared" si="68"/>
        <v>1.1599999999999999E-2</v>
      </c>
    </row>
    <row r="1449" spans="1:5" ht="12.75" x14ac:dyDescent="0.2">
      <c r="A1449" s="259" t="s">
        <v>2248</v>
      </c>
      <c r="B1449" s="1" t="s">
        <v>946</v>
      </c>
      <c r="C1449" s="1" t="str">
        <f t="shared" si="66"/>
        <v>Sausalito - Marin</v>
      </c>
      <c r="D1449" s="512">
        <f t="shared" si="67"/>
        <v>3.7749999999999999E-2</v>
      </c>
      <c r="E1449" s="261">
        <f t="shared" si="68"/>
        <v>1.1299999999999999E-2</v>
      </c>
    </row>
    <row r="1450" spans="1:5" ht="12.75" x14ac:dyDescent="0.2">
      <c r="A1450" s="259" t="s">
        <v>2249</v>
      </c>
      <c r="B1450" s="1" t="s">
        <v>732</v>
      </c>
      <c r="C1450" s="1" t="str">
        <f t="shared" si="66"/>
        <v>Sawtelle  - Los Angeles</v>
      </c>
      <c r="D1450" s="512">
        <f t="shared" si="67"/>
        <v>5.4833333333333331E-2</v>
      </c>
      <c r="E1450" s="261">
        <f t="shared" si="68"/>
        <v>1.1599999999999999E-2</v>
      </c>
    </row>
    <row r="1451" spans="1:5" ht="12.75" x14ac:dyDescent="0.2">
      <c r="A1451" s="259" t="s">
        <v>2250</v>
      </c>
      <c r="B1451" s="1" t="s">
        <v>1053</v>
      </c>
      <c r="C1451" s="1" t="str">
        <f t="shared" si="66"/>
        <v>Sawyers Bar - Siskiyou</v>
      </c>
      <c r="D1451" s="512">
        <f t="shared" si="67"/>
        <v>6.883333333333333E-2</v>
      </c>
      <c r="E1451" s="261">
        <f t="shared" si="68"/>
        <v>1.0460000000000001E-2</v>
      </c>
    </row>
    <row r="1452" spans="1:5" ht="12.75" x14ac:dyDescent="0.2">
      <c r="A1452" s="259" t="s">
        <v>2251</v>
      </c>
      <c r="B1452" s="1" t="s">
        <v>777</v>
      </c>
      <c r="C1452" s="1" t="str">
        <f t="shared" si="66"/>
        <v>Scotia - Humboldt</v>
      </c>
      <c r="D1452" s="512">
        <f t="shared" si="67"/>
        <v>5.1583333333333321E-2</v>
      </c>
      <c r="E1452" s="261">
        <f t="shared" si="68"/>
        <v>1.115E-2</v>
      </c>
    </row>
    <row r="1453" spans="1:5" ht="12.75" x14ac:dyDescent="0.2">
      <c r="A1453" s="259" t="s">
        <v>2252</v>
      </c>
      <c r="B1453" s="1" t="s">
        <v>1053</v>
      </c>
      <c r="C1453" s="1" t="str">
        <f t="shared" si="66"/>
        <v>Scott Bar - Siskiyou</v>
      </c>
      <c r="D1453" s="512">
        <f t="shared" si="67"/>
        <v>6.883333333333333E-2</v>
      </c>
      <c r="E1453" s="261">
        <f t="shared" si="68"/>
        <v>1.0460000000000001E-2</v>
      </c>
    </row>
    <row r="1454" spans="1:5" ht="12.75" x14ac:dyDescent="0.2">
      <c r="A1454" s="259" t="s">
        <v>2253</v>
      </c>
      <c r="B1454" s="1" t="s">
        <v>856</v>
      </c>
      <c r="C1454" s="1" t="str">
        <f t="shared" si="66"/>
        <v>Scotts Valley - Santa Cruz</v>
      </c>
      <c r="D1454" s="512">
        <f t="shared" si="67"/>
        <v>6.2416666666666669E-2</v>
      </c>
      <c r="E1454" s="261">
        <f t="shared" si="68"/>
        <v>1.106E-2</v>
      </c>
    </row>
    <row r="1455" spans="1:5" ht="12.75" x14ac:dyDescent="0.2">
      <c r="A1455" s="259" t="s">
        <v>2254</v>
      </c>
      <c r="B1455" s="1" t="s">
        <v>748</v>
      </c>
      <c r="C1455" s="1" t="str">
        <f t="shared" si="66"/>
        <v>Sea Ranch - Sonoma</v>
      </c>
      <c r="D1455" s="512">
        <f t="shared" si="67"/>
        <v>4.0583333333333325E-2</v>
      </c>
      <c r="E1455" s="261">
        <f t="shared" si="68"/>
        <v>1.133E-2</v>
      </c>
    </row>
    <row r="1456" spans="1:5" ht="12.75" x14ac:dyDescent="0.2">
      <c r="A1456" s="259" t="s">
        <v>2255</v>
      </c>
      <c r="B1456" s="1" t="s">
        <v>856</v>
      </c>
      <c r="C1456" s="1" t="str">
        <f t="shared" si="66"/>
        <v>Seabright - Santa Cruz</v>
      </c>
      <c r="D1456" s="512">
        <f t="shared" si="67"/>
        <v>6.2416666666666669E-2</v>
      </c>
      <c r="E1456" s="261">
        <f t="shared" si="68"/>
        <v>1.106E-2</v>
      </c>
    </row>
    <row r="1457" spans="1:5" ht="12.75" x14ac:dyDescent="0.2">
      <c r="A1457" s="259" t="s">
        <v>2256</v>
      </c>
      <c r="B1457" s="1" t="s">
        <v>782</v>
      </c>
      <c r="C1457" s="1" t="str">
        <f t="shared" si="66"/>
        <v>Seal Beach - Orange</v>
      </c>
      <c r="D1457" s="512">
        <f t="shared" si="67"/>
        <v>3.9749999999999994E-2</v>
      </c>
      <c r="E1457" s="261">
        <f t="shared" si="68"/>
        <v>1.0660000000000001E-2</v>
      </c>
    </row>
    <row r="1458" spans="1:5" ht="12.75" x14ac:dyDescent="0.2">
      <c r="A1458" s="259" t="s">
        <v>2257</v>
      </c>
      <c r="B1458" s="1" t="s">
        <v>876</v>
      </c>
      <c r="C1458" s="1" t="str">
        <f t="shared" si="66"/>
        <v>Seaside - Monterey</v>
      </c>
      <c r="D1458" s="512">
        <f t="shared" si="67"/>
        <v>7.425000000000001E-2</v>
      </c>
      <c r="E1458" s="261">
        <f t="shared" si="68"/>
        <v>1.098E-2</v>
      </c>
    </row>
    <row r="1459" spans="1:5" ht="12.75" x14ac:dyDescent="0.2">
      <c r="A1459" s="259" t="s">
        <v>2258</v>
      </c>
      <c r="B1459" s="1" t="s">
        <v>748</v>
      </c>
      <c r="C1459" s="1" t="str">
        <f t="shared" si="66"/>
        <v>Sebastopol - Sonoma</v>
      </c>
      <c r="D1459" s="512">
        <f t="shared" si="67"/>
        <v>4.0583333333333325E-2</v>
      </c>
      <c r="E1459" s="261">
        <f t="shared" si="68"/>
        <v>1.133E-2</v>
      </c>
    </row>
    <row r="1460" spans="1:5" ht="12.75" x14ac:dyDescent="0.2">
      <c r="A1460" s="259" t="s">
        <v>2259</v>
      </c>
      <c r="B1460" s="1" t="s">
        <v>919</v>
      </c>
      <c r="C1460" s="1" t="str">
        <f t="shared" si="66"/>
        <v>Seeley - Imperial</v>
      </c>
      <c r="D1460" s="512">
        <f t="shared" si="67"/>
        <v>0.17949999999999999</v>
      </c>
      <c r="E1460" s="261">
        <f t="shared" si="68"/>
        <v>1.206E-2</v>
      </c>
    </row>
    <row r="1461" spans="1:5" ht="12.75" x14ac:dyDescent="0.2">
      <c r="A1461" s="259" t="s">
        <v>2260</v>
      </c>
      <c r="B1461" s="1" t="s">
        <v>1053</v>
      </c>
      <c r="C1461" s="1" t="str">
        <f t="shared" si="66"/>
        <v>Seiad Valley - Siskiyou</v>
      </c>
      <c r="D1461" s="512">
        <f t="shared" si="67"/>
        <v>6.883333333333333E-2</v>
      </c>
      <c r="E1461" s="261">
        <f t="shared" si="68"/>
        <v>1.0460000000000001E-2</v>
      </c>
    </row>
    <row r="1462" spans="1:5" ht="12.75" x14ac:dyDescent="0.2">
      <c r="A1462" s="259" t="s">
        <v>2261</v>
      </c>
      <c r="B1462" s="1" t="s">
        <v>767</v>
      </c>
      <c r="C1462" s="1" t="str">
        <f t="shared" si="66"/>
        <v>Selby - Contra Costa</v>
      </c>
      <c r="D1462" s="512">
        <f t="shared" si="67"/>
        <v>4.7250000000000007E-2</v>
      </c>
      <c r="E1462" s="261">
        <f t="shared" si="68"/>
        <v>1.163E-2</v>
      </c>
    </row>
    <row r="1463" spans="1:5" ht="12.75" x14ac:dyDescent="0.2">
      <c r="A1463" s="259" t="s">
        <v>2262</v>
      </c>
      <c r="B1463" s="1" t="s">
        <v>895</v>
      </c>
      <c r="C1463" s="1" t="str">
        <f t="shared" si="66"/>
        <v>Selma - Fresno</v>
      </c>
      <c r="D1463" s="512">
        <f t="shared" si="67"/>
        <v>8.0416666666666664E-2</v>
      </c>
      <c r="E1463" s="261">
        <f t="shared" si="68"/>
        <v>1.2110000000000001E-2</v>
      </c>
    </row>
    <row r="1464" spans="1:5" ht="12.75" x14ac:dyDescent="0.2">
      <c r="A1464" s="259" t="s">
        <v>2263</v>
      </c>
      <c r="B1464" s="1" t="s">
        <v>732</v>
      </c>
      <c r="C1464" s="1" t="str">
        <f t="shared" si="66"/>
        <v>Seminole Hot Springs - Los Angeles</v>
      </c>
      <c r="D1464" s="512">
        <f t="shared" si="67"/>
        <v>5.4833333333333331E-2</v>
      </c>
      <c r="E1464" s="261">
        <f t="shared" si="68"/>
        <v>1.1599999999999999E-2</v>
      </c>
    </row>
    <row r="1465" spans="1:5" ht="12.75" x14ac:dyDescent="0.2">
      <c r="A1465" s="259" t="s">
        <v>2264</v>
      </c>
      <c r="B1465" s="1" t="s">
        <v>732</v>
      </c>
      <c r="C1465" s="1" t="str">
        <f t="shared" si="66"/>
        <v>Sepulveda  - Los Angeles</v>
      </c>
      <c r="D1465" s="512">
        <f t="shared" si="67"/>
        <v>5.4833333333333331E-2</v>
      </c>
      <c r="E1465" s="261">
        <f t="shared" si="68"/>
        <v>1.1599999999999999E-2</v>
      </c>
    </row>
    <row r="1466" spans="1:5" ht="12.75" x14ac:dyDescent="0.2">
      <c r="A1466" s="259" t="s">
        <v>2265</v>
      </c>
      <c r="B1466" s="1" t="s">
        <v>798</v>
      </c>
      <c r="C1466" s="1" t="str">
        <f t="shared" si="66"/>
        <v>Sequoia National Park - Tulare</v>
      </c>
      <c r="D1466" s="512">
        <f t="shared" si="67"/>
        <v>0.10691666666666669</v>
      </c>
      <c r="E1466" s="261">
        <f t="shared" si="68"/>
        <v>1.0869999999999999E-2</v>
      </c>
    </row>
    <row r="1467" spans="1:5" ht="12.75" x14ac:dyDescent="0.2">
      <c r="A1467" s="259" t="s">
        <v>2266</v>
      </c>
      <c r="B1467" s="1" t="s">
        <v>884</v>
      </c>
      <c r="C1467" s="1" t="str">
        <f t="shared" si="66"/>
        <v>Shafter - Kern</v>
      </c>
      <c r="D1467" s="512">
        <f t="shared" si="67"/>
        <v>8.9333333333333334E-2</v>
      </c>
      <c r="E1467" s="261">
        <f t="shared" si="68"/>
        <v>1.238E-2</v>
      </c>
    </row>
    <row r="1468" spans="1:5" ht="12.75" x14ac:dyDescent="0.2">
      <c r="A1468" s="259" t="s">
        <v>2267</v>
      </c>
      <c r="B1468" s="1" t="s">
        <v>735</v>
      </c>
      <c r="C1468" s="1" t="str">
        <f t="shared" si="66"/>
        <v>Shandon - San Luis Obispo</v>
      </c>
      <c r="D1468" s="512">
        <f t="shared" si="67"/>
        <v>3.8833333333333331E-2</v>
      </c>
      <c r="E1468" s="261">
        <f t="shared" si="68"/>
        <v>1.085E-2</v>
      </c>
    </row>
    <row r="1469" spans="1:5" ht="12.75" x14ac:dyDescent="0.2">
      <c r="A1469" s="259" t="s">
        <v>2268</v>
      </c>
      <c r="B1469" s="1" t="s">
        <v>729</v>
      </c>
      <c r="C1469" s="1" t="str">
        <f t="shared" si="66"/>
        <v>Sharpe Army Depot - San Joaquin</v>
      </c>
      <c r="D1469" s="512">
        <f t="shared" si="67"/>
        <v>6.699999999999999E-2</v>
      </c>
      <c r="E1469" s="261">
        <f t="shared" si="68"/>
        <v>1.1299999999999999E-2</v>
      </c>
    </row>
    <row r="1470" spans="1:5" ht="12.75" x14ac:dyDescent="0.2">
      <c r="A1470" s="259" t="s">
        <v>832</v>
      </c>
      <c r="B1470" s="1" t="s">
        <v>832</v>
      </c>
      <c r="C1470" s="1" t="str">
        <f t="shared" si="66"/>
        <v>Shasta - Shasta</v>
      </c>
      <c r="D1470" s="512">
        <f t="shared" si="67"/>
        <v>5.6416666666666657E-2</v>
      </c>
      <c r="E1470" s="261">
        <f t="shared" si="68"/>
        <v>1.099E-2</v>
      </c>
    </row>
    <row r="1471" spans="1:5" ht="12.75" x14ac:dyDescent="0.2">
      <c r="A1471" s="259" t="s">
        <v>2269</v>
      </c>
      <c r="B1471" s="1" t="s">
        <v>832</v>
      </c>
      <c r="C1471" s="1" t="str">
        <f t="shared" si="66"/>
        <v>Shasta Lake - Shasta</v>
      </c>
      <c r="D1471" s="512">
        <f t="shared" si="67"/>
        <v>5.6416666666666657E-2</v>
      </c>
      <c r="E1471" s="261">
        <f t="shared" si="68"/>
        <v>1.099E-2</v>
      </c>
    </row>
    <row r="1472" spans="1:5" ht="12.75" x14ac:dyDescent="0.2">
      <c r="A1472" s="259" t="s">
        <v>2270</v>
      </c>
      <c r="B1472" s="1" t="s">
        <v>895</v>
      </c>
      <c r="C1472" s="1" t="str">
        <f t="shared" si="66"/>
        <v>Shaver Lake - Fresno</v>
      </c>
      <c r="D1472" s="512">
        <f t="shared" si="67"/>
        <v>8.0416666666666664E-2</v>
      </c>
      <c r="E1472" s="261">
        <f t="shared" si="68"/>
        <v>1.2110000000000001E-2</v>
      </c>
    </row>
    <row r="1473" spans="1:5" ht="12.75" x14ac:dyDescent="0.2">
      <c r="A1473" s="259" t="s">
        <v>2271</v>
      </c>
      <c r="B1473" s="1" t="s">
        <v>810</v>
      </c>
      <c r="C1473" s="1" t="str">
        <f t="shared" si="66"/>
        <v>Sheepranch - Calaveras</v>
      </c>
      <c r="D1473" s="512">
        <f t="shared" si="67"/>
        <v>4.7166666666666662E-2</v>
      </c>
      <c r="E1473" s="261">
        <f t="shared" si="68"/>
        <v>1.0920000000000001E-2</v>
      </c>
    </row>
    <row r="1474" spans="1:5" ht="12.75" x14ac:dyDescent="0.2">
      <c r="A1474" s="259" t="s">
        <v>2272</v>
      </c>
      <c r="B1474" s="1" t="s">
        <v>735</v>
      </c>
      <c r="C1474" s="1" t="str">
        <f t="shared" si="66"/>
        <v>Shell Beach  - San Luis Obispo</v>
      </c>
      <c r="D1474" s="512">
        <f t="shared" si="67"/>
        <v>3.8833333333333331E-2</v>
      </c>
      <c r="E1474" s="261">
        <f t="shared" si="68"/>
        <v>1.085E-2</v>
      </c>
    </row>
    <row r="1475" spans="1:5" ht="12.75" x14ac:dyDescent="0.2">
      <c r="A1475" s="259" t="s">
        <v>2273</v>
      </c>
      <c r="B1475" s="1" t="s">
        <v>803</v>
      </c>
      <c r="C1475" s="1" t="str">
        <f t="shared" si="66"/>
        <v>Sheridan - Placer</v>
      </c>
      <c r="D1475" s="512">
        <f t="shared" si="67"/>
        <v>4.1833333333333347E-2</v>
      </c>
      <c r="E1475" s="261">
        <f t="shared" si="68"/>
        <v>1.0880000000000001E-2</v>
      </c>
    </row>
    <row r="1476" spans="1:5" ht="12.75" x14ac:dyDescent="0.2">
      <c r="A1476" s="259" t="s">
        <v>2274</v>
      </c>
      <c r="B1476" s="1" t="s">
        <v>843</v>
      </c>
      <c r="C1476" s="1" t="str">
        <f t="shared" si="66"/>
        <v>Sherman Island - Sacramento</v>
      </c>
      <c r="D1476" s="512">
        <f t="shared" si="67"/>
        <v>4.8833333333333326E-2</v>
      </c>
      <c r="E1476" s="261">
        <f t="shared" si="68"/>
        <v>1.1519999999999999E-2</v>
      </c>
    </row>
    <row r="1477" spans="1:5" ht="12.75" x14ac:dyDescent="0.2">
      <c r="A1477" s="259" t="s">
        <v>2275</v>
      </c>
      <c r="B1477" s="1" t="s">
        <v>732</v>
      </c>
      <c r="C1477" s="1" t="str">
        <f t="shared" si="66"/>
        <v>Sherman Oaks  - Los Angeles</v>
      </c>
      <c r="D1477" s="512">
        <f t="shared" si="67"/>
        <v>5.4833333333333331E-2</v>
      </c>
      <c r="E1477" s="261">
        <f t="shared" si="68"/>
        <v>1.1599999999999999E-2</v>
      </c>
    </row>
    <row r="1478" spans="1:5" ht="12.75" x14ac:dyDescent="0.2">
      <c r="A1478" s="259" t="s">
        <v>2276</v>
      </c>
      <c r="B1478" s="1" t="s">
        <v>951</v>
      </c>
      <c r="C1478" s="1" t="str">
        <f t="shared" si="66"/>
        <v>Sherwin Plaza - Mono</v>
      </c>
      <c r="D1478" s="512">
        <f t="shared" si="67"/>
        <v>4.0166666666666663E-2</v>
      </c>
      <c r="E1478" s="261">
        <f t="shared" si="68"/>
        <v>1.154E-2</v>
      </c>
    </row>
    <row r="1479" spans="1:5" ht="12.75" x14ac:dyDescent="0.2">
      <c r="A1479" s="259" t="s">
        <v>2277</v>
      </c>
      <c r="B1479" s="1" t="s">
        <v>762</v>
      </c>
      <c r="C1479" s="1" t="str">
        <f t="shared" si="66"/>
        <v>Shingle Springs - El Dorado</v>
      </c>
      <c r="D1479" s="512">
        <f t="shared" si="67"/>
        <v>4.466666666666666E-2</v>
      </c>
      <c r="E1479" s="261">
        <f t="shared" si="68"/>
        <v>1.0660000000000001E-2</v>
      </c>
    </row>
    <row r="1480" spans="1:5" ht="12.75" x14ac:dyDescent="0.2">
      <c r="A1480" s="259" t="s">
        <v>2278</v>
      </c>
      <c r="B1480" s="1" t="s">
        <v>832</v>
      </c>
      <c r="C1480" s="1" t="str">
        <f t="shared" ref="C1480:C1543" si="69">A1480&amp;" - "&amp;B1480</f>
        <v>Shingletown - Shasta</v>
      </c>
      <c r="D1480" s="512">
        <f t="shared" si="67"/>
        <v>5.6416666666666657E-2</v>
      </c>
      <c r="E1480" s="261">
        <f t="shared" si="68"/>
        <v>1.099E-2</v>
      </c>
    </row>
    <row r="1481" spans="1:5" ht="12.75" x14ac:dyDescent="0.2">
      <c r="A1481" s="259" t="s">
        <v>2279</v>
      </c>
      <c r="B1481" s="1" t="s">
        <v>777</v>
      </c>
      <c r="C1481" s="1" t="str">
        <f t="shared" si="69"/>
        <v>Shively - Humboldt</v>
      </c>
      <c r="D1481" s="512">
        <f t="shared" ref="D1481:D1544" si="70">VLOOKUP(B1481,unemployment_rates,2, FALSE)</f>
        <v>5.1583333333333321E-2</v>
      </c>
      <c r="E1481" s="261">
        <f t="shared" ref="E1481:E1544" si="71">VLOOKUP(B1481,Prop_Tax_Rates,2,FALSE)</f>
        <v>1.115E-2</v>
      </c>
    </row>
    <row r="1482" spans="1:5" ht="12.75" x14ac:dyDescent="0.2">
      <c r="A1482" s="259" t="s">
        <v>2280</v>
      </c>
      <c r="B1482" s="1" t="s">
        <v>767</v>
      </c>
      <c r="C1482" s="1" t="str">
        <f t="shared" si="69"/>
        <v>Shore Acres - Contra Costa</v>
      </c>
      <c r="D1482" s="512">
        <f t="shared" si="70"/>
        <v>4.7250000000000007E-2</v>
      </c>
      <c r="E1482" s="261">
        <f t="shared" si="71"/>
        <v>1.163E-2</v>
      </c>
    </row>
    <row r="1483" spans="1:5" ht="12.75" x14ac:dyDescent="0.2">
      <c r="A1483" s="259" t="s">
        <v>2281</v>
      </c>
      <c r="B1483" s="1" t="s">
        <v>822</v>
      </c>
      <c r="C1483" s="1" t="str">
        <f t="shared" si="69"/>
        <v>Shoshone - Inyo</v>
      </c>
      <c r="D1483" s="512">
        <f t="shared" si="70"/>
        <v>3.9833333333333339E-2</v>
      </c>
      <c r="E1483" s="261">
        <f t="shared" si="71"/>
        <v>1.065E-2</v>
      </c>
    </row>
    <row r="1484" spans="1:5" ht="12.75" x14ac:dyDescent="0.2">
      <c r="A1484" s="259" t="s">
        <v>2282</v>
      </c>
      <c r="B1484" s="1" t="s">
        <v>785</v>
      </c>
      <c r="C1484" s="1" t="str">
        <f t="shared" si="69"/>
        <v>Sierra City - Sierra</v>
      </c>
      <c r="D1484" s="512">
        <f t="shared" si="70"/>
        <v>5.2250000000000005E-2</v>
      </c>
      <c r="E1484" s="261">
        <f t="shared" si="71"/>
        <v>0.01</v>
      </c>
    </row>
    <row r="1485" spans="1:5" ht="12.75" x14ac:dyDescent="0.2">
      <c r="A1485" s="259" t="s">
        <v>2283</v>
      </c>
      <c r="B1485" s="1" t="s">
        <v>732</v>
      </c>
      <c r="C1485" s="1" t="str">
        <f t="shared" si="69"/>
        <v>Sierra Madre - Los Angeles</v>
      </c>
      <c r="D1485" s="512">
        <f t="shared" si="70"/>
        <v>5.4833333333333331E-2</v>
      </c>
      <c r="E1485" s="261">
        <f t="shared" si="71"/>
        <v>1.1599999999999999E-2</v>
      </c>
    </row>
    <row r="1486" spans="1:5" ht="12.75" x14ac:dyDescent="0.2">
      <c r="A1486" s="259" t="s">
        <v>2284</v>
      </c>
      <c r="B1486" s="1" t="s">
        <v>785</v>
      </c>
      <c r="C1486" s="1" t="str">
        <f t="shared" si="69"/>
        <v>Sierraville - Sierra</v>
      </c>
      <c r="D1486" s="512">
        <f t="shared" si="70"/>
        <v>5.2250000000000005E-2</v>
      </c>
      <c r="E1486" s="261">
        <f t="shared" si="71"/>
        <v>0.01</v>
      </c>
    </row>
    <row r="1487" spans="1:5" ht="12.75" x14ac:dyDescent="0.2">
      <c r="A1487" s="259" t="s">
        <v>2285</v>
      </c>
      <c r="B1487" s="1" t="s">
        <v>732</v>
      </c>
      <c r="C1487" s="1" t="str">
        <f t="shared" si="69"/>
        <v>Signal Hill - Los Angeles</v>
      </c>
      <c r="D1487" s="512">
        <f t="shared" si="70"/>
        <v>5.4833333333333331E-2</v>
      </c>
      <c r="E1487" s="261">
        <f t="shared" si="71"/>
        <v>1.1599999999999999E-2</v>
      </c>
    </row>
    <row r="1488" spans="1:5" ht="12.75" x14ac:dyDescent="0.2">
      <c r="A1488" s="259" t="s">
        <v>2286</v>
      </c>
      <c r="B1488" s="1" t="s">
        <v>819</v>
      </c>
      <c r="C1488" s="1" t="str">
        <f t="shared" si="69"/>
        <v>Silver Lake - Amador</v>
      </c>
      <c r="D1488" s="512">
        <f t="shared" si="70"/>
        <v>5.3500000000000006E-2</v>
      </c>
      <c r="E1488" s="261">
        <f t="shared" si="71"/>
        <v>1.014E-2</v>
      </c>
    </row>
    <row r="1489" spans="1:5" ht="12.75" x14ac:dyDescent="0.2">
      <c r="A1489" s="259" t="s">
        <v>2287</v>
      </c>
      <c r="B1489" s="1" t="s">
        <v>782</v>
      </c>
      <c r="C1489" s="1" t="str">
        <f t="shared" si="69"/>
        <v>Silverado Canyon - Orange</v>
      </c>
      <c r="D1489" s="512">
        <f t="shared" si="70"/>
        <v>3.9749999999999994E-2</v>
      </c>
      <c r="E1489" s="261">
        <f t="shared" si="71"/>
        <v>1.0660000000000001E-2</v>
      </c>
    </row>
    <row r="1490" spans="1:5" ht="12.75" x14ac:dyDescent="0.2">
      <c r="A1490" s="259" t="s">
        <v>2288</v>
      </c>
      <c r="B1490" s="1" t="s">
        <v>1058</v>
      </c>
      <c r="C1490" s="1" t="str">
        <f t="shared" si="69"/>
        <v>Simi Valley - Ventura</v>
      </c>
      <c r="D1490" s="512">
        <f t="shared" si="70"/>
        <v>4.7250000000000007E-2</v>
      </c>
      <c r="E1490" s="261">
        <f t="shared" si="71"/>
        <v>1.098E-2</v>
      </c>
    </row>
    <row r="1491" spans="1:5" ht="12.75" x14ac:dyDescent="0.2">
      <c r="A1491" s="259" t="s">
        <v>2289</v>
      </c>
      <c r="B1491" s="1" t="s">
        <v>911</v>
      </c>
      <c r="C1491" s="1" t="str">
        <f t="shared" si="69"/>
        <v>Sisquoc - Santa Barbara</v>
      </c>
      <c r="D1491" s="512">
        <f t="shared" si="70"/>
        <v>4.5333333333333344E-2</v>
      </c>
      <c r="E1491" s="261">
        <f t="shared" si="71"/>
        <v>1.0740000000000001E-2</v>
      </c>
    </row>
    <row r="1492" spans="1:5" ht="12.75" x14ac:dyDescent="0.2">
      <c r="A1492" s="259" t="s">
        <v>2290</v>
      </c>
      <c r="B1492" s="1" t="s">
        <v>859</v>
      </c>
      <c r="C1492" s="1" t="str">
        <f t="shared" si="69"/>
        <v>Sites - Colusa</v>
      </c>
      <c r="D1492" s="512">
        <f t="shared" si="70"/>
        <v>0.13600000000000001</v>
      </c>
      <c r="E1492" s="261">
        <f t="shared" si="71"/>
        <v>1.098E-2</v>
      </c>
    </row>
    <row r="1493" spans="1:5" ht="12.75" x14ac:dyDescent="0.2">
      <c r="A1493" s="259" t="s">
        <v>2291</v>
      </c>
      <c r="B1493" s="1" t="s">
        <v>756</v>
      </c>
      <c r="C1493" s="1" t="str">
        <f t="shared" si="69"/>
        <v>Sky Valley - Riverside</v>
      </c>
      <c r="D1493" s="512">
        <f t="shared" si="70"/>
        <v>5.3749999999999999E-2</v>
      </c>
      <c r="E1493" s="261">
        <f t="shared" si="71"/>
        <v>1.1859999999999999E-2</v>
      </c>
    </row>
    <row r="1494" spans="1:5" ht="12.75" x14ac:dyDescent="0.2">
      <c r="A1494" s="259" t="s">
        <v>2292</v>
      </c>
      <c r="B1494" s="1" t="s">
        <v>738</v>
      </c>
      <c r="C1494" s="1" t="str">
        <f t="shared" si="69"/>
        <v>Skyforest - San Bernardino</v>
      </c>
      <c r="D1494" s="512">
        <f t="shared" si="70"/>
        <v>5.1583333333333342E-2</v>
      </c>
      <c r="E1494" s="261">
        <f t="shared" si="71"/>
        <v>1.1379999999999999E-2</v>
      </c>
    </row>
    <row r="1495" spans="1:5" ht="12.75" x14ac:dyDescent="0.2">
      <c r="A1495" s="259" t="s">
        <v>2293</v>
      </c>
      <c r="B1495" s="1" t="s">
        <v>732</v>
      </c>
      <c r="C1495" s="1" t="str">
        <f t="shared" si="69"/>
        <v>Sleepy Valley - Los Angeles</v>
      </c>
      <c r="D1495" s="512">
        <f t="shared" si="70"/>
        <v>5.4833333333333331E-2</v>
      </c>
      <c r="E1495" s="261">
        <f t="shared" si="71"/>
        <v>1.1599999999999999E-2</v>
      </c>
    </row>
    <row r="1496" spans="1:5" ht="12.75" x14ac:dyDescent="0.2">
      <c r="A1496" s="259" t="s">
        <v>2294</v>
      </c>
      <c r="B1496" s="1" t="s">
        <v>791</v>
      </c>
      <c r="C1496" s="1" t="str">
        <f t="shared" si="69"/>
        <v>Sloat - Plumas</v>
      </c>
      <c r="D1496" s="512">
        <f t="shared" si="70"/>
        <v>7.7250000000000013E-2</v>
      </c>
      <c r="E1496" s="261">
        <f t="shared" si="71"/>
        <v>1.099E-2</v>
      </c>
    </row>
    <row r="1497" spans="1:5" ht="12.75" x14ac:dyDescent="0.2">
      <c r="A1497" s="259" t="s">
        <v>2295</v>
      </c>
      <c r="B1497" s="1" t="s">
        <v>843</v>
      </c>
      <c r="C1497" s="1" t="str">
        <f t="shared" si="69"/>
        <v>Sloughhouse - Sacramento</v>
      </c>
      <c r="D1497" s="512">
        <f t="shared" si="70"/>
        <v>4.8833333333333326E-2</v>
      </c>
      <c r="E1497" s="261">
        <f t="shared" si="71"/>
        <v>1.1519999999999999E-2</v>
      </c>
    </row>
    <row r="1498" spans="1:5" ht="12.75" x14ac:dyDescent="0.2">
      <c r="A1498" s="259" t="s">
        <v>2296</v>
      </c>
      <c r="B1498" s="1" t="s">
        <v>932</v>
      </c>
      <c r="C1498" s="1" t="str">
        <f t="shared" si="69"/>
        <v>Smartsville - Yuba</v>
      </c>
      <c r="D1498" s="512">
        <f t="shared" si="70"/>
        <v>7.2416666666666657E-2</v>
      </c>
      <c r="E1498" s="261">
        <f t="shared" si="71"/>
        <v>1.102E-2</v>
      </c>
    </row>
    <row r="1499" spans="1:5" ht="12.75" x14ac:dyDescent="0.2">
      <c r="A1499" s="259" t="s">
        <v>2297</v>
      </c>
      <c r="B1499" s="1" t="s">
        <v>1207</v>
      </c>
      <c r="C1499" s="1" t="str">
        <f t="shared" si="69"/>
        <v>Smith River - Del Norte</v>
      </c>
      <c r="D1499" s="512">
        <f t="shared" si="70"/>
        <v>6.0749999999999992E-2</v>
      </c>
      <c r="E1499" s="261">
        <f t="shared" si="71"/>
        <v>1.035E-2</v>
      </c>
    </row>
    <row r="1500" spans="1:5" ht="12.75" x14ac:dyDescent="0.2">
      <c r="A1500" s="259" t="s">
        <v>2298</v>
      </c>
      <c r="B1500" s="1" t="s">
        <v>762</v>
      </c>
      <c r="C1500" s="1" t="str">
        <f t="shared" si="69"/>
        <v>Smithflat - El Dorado</v>
      </c>
      <c r="D1500" s="512">
        <f t="shared" si="70"/>
        <v>4.466666666666666E-2</v>
      </c>
      <c r="E1500" s="261">
        <f t="shared" si="71"/>
        <v>1.0660000000000001E-2</v>
      </c>
    </row>
    <row r="1501" spans="1:5" ht="12.75" x14ac:dyDescent="0.2">
      <c r="A1501" s="259" t="s">
        <v>2299</v>
      </c>
      <c r="B1501" s="1" t="s">
        <v>738</v>
      </c>
      <c r="C1501" s="1" t="str">
        <f t="shared" si="69"/>
        <v>Smoke Tree  - San Bernardino</v>
      </c>
      <c r="D1501" s="512">
        <f t="shared" si="70"/>
        <v>5.1583333333333342E-2</v>
      </c>
      <c r="E1501" s="261">
        <f t="shared" si="71"/>
        <v>1.1379999999999999E-2</v>
      </c>
    </row>
    <row r="1502" spans="1:5" ht="12.75" x14ac:dyDescent="0.2">
      <c r="A1502" s="259" t="s">
        <v>2300</v>
      </c>
      <c r="B1502" s="1" t="s">
        <v>892</v>
      </c>
      <c r="C1502" s="1" t="str">
        <f t="shared" si="69"/>
        <v>Snelling - Merced</v>
      </c>
      <c r="D1502" s="512">
        <f t="shared" si="70"/>
        <v>9.6416666666666678E-2</v>
      </c>
      <c r="E1502" s="261">
        <f t="shared" si="71"/>
        <v>1.0829999999999999E-2</v>
      </c>
    </row>
    <row r="1503" spans="1:5" ht="12.75" x14ac:dyDescent="0.2">
      <c r="A1503" s="259" t="s">
        <v>2301</v>
      </c>
      <c r="B1503" s="1" t="s">
        <v>1118</v>
      </c>
      <c r="C1503" s="1" t="str">
        <f t="shared" si="69"/>
        <v>Soda Springs - Nevada</v>
      </c>
      <c r="D1503" s="512">
        <f t="shared" si="70"/>
        <v>4.3166666666666673E-2</v>
      </c>
      <c r="E1503" s="261">
        <f t="shared" si="71"/>
        <v>1.0620000000000001E-2</v>
      </c>
    </row>
    <row r="1504" spans="1:5" ht="12.75" x14ac:dyDescent="0.2">
      <c r="A1504" s="259" t="s">
        <v>2302</v>
      </c>
      <c r="B1504" s="1" t="s">
        <v>751</v>
      </c>
      <c r="C1504" s="1" t="str">
        <f t="shared" si="69"/>
        <v>Solana Beach - San Diego</v>
      </c>
      <c r="D1504" s="512">
        <f t="shared" si="70"/>
        <v>4.4750000000000005E-2</v>
      </c>
      <c r="E1504" s="261">
        <f t="shared" si="71"/>
        <v>1.167E-2</v>
      </c>
    </row>
    <row r="1505" spans="1:5" ht="12.75" x14ac:dyDescent="0.2">
      <c r="A1505" s="259" t="s">
        <v>2303</v>
      </c>
      <c r="B1505" s="1" t="s">
        <v>876</v>
      </c>
      <c r="C1505" s="1" t="str">
        <f t="shared" si="69"/>
        <v>Soledad - Monterey</v>
      </c>
      <c r="D1505" s="512">
        <f t="shared" si="70"/>
        <v>7.425000000000001E-2</v>
      </c>
      <c r="E1505" s="261">
        <f t="shared" si="71"/>
        <v>1.098E-2</v>
      </c>
    </row>
    <row r="1506" spans="1:5" ht="12.75" x14ac:dyDescent="0.2">
      <c r="A1506" s="259" t="s">
        <v>2304</v>
      </c>
      <c r="B1506" s="1" t="s">
        <v>732</v>
      </c>
      <c r="C1506" s="1" t="str">
        <f t="shared" si="69"/>
        <v>Solemint - Los Angeles</v>
      </c>
      <c r="D1506" s="512">
        <f t="shared" si="70"/>
        <v>5.4833333333333331E-2</v>
      </c>
      <c r="E1506" s="261">
        <f t="shared" si="71"/>
        <v>1.1599999999999999E-2</v>
      </c>
    </row>
    <row r="1507" spans="1:5" ht="12.75" x14ac:dyDescent="0.2">
      <c r="A1507" s="259" t="s">
        <v>2305</v>
      </c>
      <c r="B1507" s="1" t="s">
        <v>911</v>
      </c>
      <c r="C1507" s="1" t="str">
        <f t="shared" si="69"/>
        <v>Solvang - Santa Barbara</v>
      </c>
      <c r="D1507" s="512">
        <f t="shared" si="70"/>
        <v>4.5333333333333344E-2</v>
      </c>
      <c r="E1507" s="261">
        <f t="shared" si="71"/>
        <v>1.0740000000000001E-2</v>
      </c>
    </row>
    <row r="1508" spans="1:5" ht="12.75" x14ac:dyDescent="0.2">
      <c r="A1508" s="259" t="s">
        <v>2306</v>
      </c>
      <c r="B1508" s="1" t="s">
        <v>762</v>
      </c>
      <c r="C1508" s="1" t="str">
        <f t="shared" si="69"/>
        <v>Somerset - El Dorado</v>
      </c>
      <c r="D1508" s="512">
        <f t="shared" si="70"/>
        <v>4.466666666666666E-2</v>
      </c>
      <c r="E1508" s="261">
        <f t="shared" si="71"/>
        <v>1.0660000000000001E-2</v>
      </c>
    </row>
    <row r="1509" spans="1:5" ht="12.75" x14ac:dyDescent="0.2">
      <c r="A1509" s="259" t="s">
        <v>2307</v>
      </c>
      <c r="B1509" s="1" t="s">
        <v>1053</v>
      </c>
      <c r="C1509" s="1" t="str">
        <f t="shared" si="69"/>
        <v>Somes Bar - Siskiyou</v>
      </c>
      <c r="D1509" s="512">
        <f t="shared" si="70"/>
        <v>6.883333333333333E-2</v>
      </c>
      <c r="E1509" s="261">
        <f t="shared" si="71"/>
        <v>1.0460000000000001E-2</v>
      </c>
    </row>
    <row r="1510" spans="1:5" ht="12.75" x14ac:dyDescent="0.2">
      <c r="A1510" s="259" t="s">
        <v>2308</v>
      </c>
      <c r="B1510" s="1" t="s">
        <v>1058</v>
      </c>
      <c r="C1510" s="1" t="str">
        <f t="shared" si="69"/>
        <v>Somis - Ventura</v>
      </c>
      <c r="D1510" s="512">
        <f t="shared" si="70"/>
        <v>4.7250000000000007E-2</v>
      </c>
      <c r="E1510" s="261">
        <f t="shared" si="71"/>
        <v>1.098E-2</v>
      </c>
    </row>
    <row r="1511" spans="1:5" ht="12.75" x14ac:dyDescent="0.2">
      <c r="A1511" s="259" t="s">
        <v>748</v>
      </c>
      <c r="B1511" s="1" t="s">
        <v>748</v>
      </c>
      <c r="C1511" s="1" t="str">
        <f t="shared" si="69"/>
        <v>Sonoma - Sonoma</v>
      </c>
      <c r="D1511" s="512">
        <f t="shared" si="70"/>
        <v>4.0583333333333325E-2</v>
      </c>
      <c r="E1511" s="261">
        <f t="shared" si="71"/>
        <v>1.133E-2</v>
      </c>
    </row>
    <row r="1512" spans="1:5" ht="12.75" x14ac:dyDescent="0.2">
      <c r="A1512" s="259" t="s">
        <v>2309</v>
      </c>
      <c r="B1512" s="1" t="s">
        <v>968</v>
      </c>
      <c r="C1512" s="1" t="str">
        <f t="shared" si="69"/>
        <v>Sonora - Tuolumne</v>
      </c>
      <c r="D1512" s="512">
        <f t="shared" si="70"/>
        <v>5.4333333333333338E-2</v>
      </c>
      <c r="E1512" s="261">
        <f t="shared" si="71"/>
        <v>1.0780000000000001E-2</v>
      </c>
    </row>
    <row r="1513" spans="1:5" ht="12.75" x14ac:dyDescent="0.2">
      <c r="A1513" s="259" t="s">
        <v>2310</v>
      </c>
      <c r="B1513" s="1" t="s">
        <v>856</v>
      </c>
      <c r="C1513" s="1" t="str">
        <f t="shared" si="69"/>
        <v>Soquel - Santa Cruz</v>
      </c>
      <c r="D1513" s="512">
        <f t="shared" si="70"/>
        <v>6.2416666666666669E-2</v>
      </c>
      <c r="E1513" s="261">
        <f t="shared" si="71"/>
        <v>1.106E-2</v>
      </c>
    </row>
    <row r="1514" spans="1:5" ht="12.75" x14ac:dyDescent="0.2">
      <c r="A1514" s="259" t="s">
        <v>2311</v>
      </c>
      <c r="B1514" s="1" t="s">
        <v>968</v>
      </c>
      <c r="C1514" s="1" t="str">
        <f t="shared" si="69"/>
        <v>Soulsbyville - Tuolumne</v>
      </c>
      <c r="D1514" s="512">
        <f t="shared" si="70"/>
        <v>5.4333333333333338E-2</v>
      </c>
      <c r="E1514" s="261">
        <f t="shared" si="71"/>
        <v>1.0780000000000001E-2</v>
      </c>
    </row>
    <row r="1515" spans="1:5" ht="12.75" x14ac:dyDescent="0.2">
      <c r="A1515" s="259" t="s">
        <v>2312</v>
      </c>
      <c r="B1515" s="1" t="s">
        <v>892</v>
      </c>
      <c r="C1515" s="1" t="str">
        <f t="shared" si="69"/>
        <v>South Dos Palos - Merced</v>
      </c>
      <c r="D1515" s="512">
        <f t="shared" si="70"/>
        <v>9.6416666666666678E-2</v>
      </c>
      <c r="E1515" s="261">
        <f t="shared" si="71"/>
        <v>1.0829999999999999E-2</v>
      </c>
    </row>
    <row r="1516" spans="1:5" ht="12.75" x14ac:dyDescent="0.2">
      <c r="A1516" s="259" t="s">
        <v>2313</v>
      </c>
      <c r="B1516" s="1" t="s">
        <v>732</v>
      </c>
      <c r="C1516" s="1" t="str">
        <f t="shared" si="69"/>
        <v>South El Monte - Los Angeles</v>
      </c>
      <c r="D1516" s="512">
        <f t="shared" si="70"/>
        <v>5.4833333333333331E-2</v>
      </c>
      <c r="E1516" s="261">
        <f t="shared" si="71"/>
        <v>1.1599999999999999E-2</v>
      </c>
    </row>
    <row r="1517" spans="1:5" ht="12.75" x14ac:dyDescent="0.2">
      <c r="A1517" s="259" t="s">
        <v>2314</v>
      </c>
      <c r="B1517" s="1" t="s">
        <v>777</v>
      </c>
      <c r="C1517" s="1" t="str">
        <f t="shared" si="69"/>
        <v>South Fork - Humboldt</v>
      </c>
      <c r="D1517" s="512">
        <f t="shared" si="70"/>
        <v>5.1583333333333321E-2</v>
      </c>
      <c r="E1517" s="261">
        <f t="shared" si="71"/>
        <v>1.115E-2</v>
      </c>
    </row>
    <row r="1518" spans="1:5" ht="12.75" x14ac:dyDescent="0.2">
      <c r="A1518" s="259" t="s">
        <v>2315</v>
      </c>
      <c r="B1518" s="1" t="s">
        <v>732</v>
      </c>
      <c r="C1518" s="1" t="str">
        <f t="shared" si="69"/>
        <v>South Gate - Los Angeles</v>
      </c>
      <c r="D1518" s="512">
        <f t="shared" si="70"/>
        <v>5.4833333333333331E-2</v>
      </c>
      <c r="E1518" s="261">
        <f t="shared" si="71"/>
        <v>1.1599999999999999E-2</v>
      </c>
    </row>
    <row r="1519" spans="1:5" ht="12.75" x14ac:dyDescent="0.2">
      <c r="A1519" s="259" t="s">
        <v>2316</v>
      </c>
      <c r="B1519" s="1" t="s">
        <v>782</v>
      </c>
      <c r="C1519" s="1" t="str">
        <f t="shared" si="69"/>
        <v>South Laguna  - Orange</v>
      </c>
      <c r="D1519" s="512">
        <f t="shared" si="70"/>
        <v>3.9749999999999994E-2</v>
      </c>
      <c r="E1519" s="261">
        <f t="shared" si="71"/>
        <v>1.0660000000000001E-2</v>
      </c>
    </row>
    <row r="1520" spans="1:5" ht="12.75" x14ac:dyDescent="0.2">
      <c r="A1520" s="259" t="s">
        <v>2317</v>
      </c>
      <c r="B1520" s="1" t="s">
        <v>762</v>
      </c>
      <c r="C1520" s="1" t="str">
        <f t="shared" si="69"/>
        <v>South Lake Tahoe - El Dorado</v>
      </c>
      <c r="D1520" s="512">
        <f t="shared" si="70"/>
        <v>4.466666666666666E-2</v>
      </c>
      <c r="E1520" s="261">
        <f t="shared" si="71"/>
        <v>1.0660000000000001E-2</v>
      </c>
    </row>
    <row r="1521" spans="1:5" ht="12.75" x14ac:dyDescent="0.2">
      <c r="A1521" s="259" t="s">
        <v>2318</v>
      </c>
      <c r="B1521" s="1" t="s">
        <v>732</v>
      </c>
      <c r="C1521" s="1" t="str">
        <f t="shared" si="69"/>
        <v>South Pasadena - Los Angeles</v>
      </c>
      <c r="D1521" s="512">
        <f t="shared" si="70"/>
        <v>5.4833333333333331E-2</v>
      </c>
      <c r="E1521" s="261">
        <f t="shared" si="71"/>
        <v>1.1599999999999999E-2</v>
      </c>
    </row>
    <row r="1522" spans="1:5" ht="12.75" x14ac:dyDescent="0.2">
      <c r="A1522" s="259" t="s">
        <v>2319</v>
      </c>
      <c r="B1522" s="1" t="s">
        <v>890</v>
      </c>
      <c r="C1522" s="1" t="str">
        <f t="shared" si="69"/>
        <v>South San Francisco - San Mateo</v>
      </c>
      <c r="D1522" s="512">
        <f t="shared" si="70"/>
        <v>3.5000000000000003E-2</v>
      </c>
      <c r="E1522" s="261">
        <f t="shared" si="71"/>
        <v>1.1089999999999999E-2</v>
      </c>
    </row>
    <row r="1523" spans="1:5" ht="12.75" x14ac:dyDescent="0.2">
      <c r="A1523" s="259" t="s">
        <v>2320</v>
      </c>
      <c r="B1523" s="1" t="s">
        <v>764</v>
      </c>
      <c r="C1523" s="1" t="str">
        <f t="shared" si="69"/>
        <v>South Shore  - Alameda</v>
      </c>
      <c r="D1523" s="512">
        <f t="shared" si="70"/>
        <v>4.7E-2</v>
      </c>
      <c r="E1523" s="261">
        <f t="shared" si="71"/>
        <v>1.2430000000000002E-2</v>
      </c>
    </row>
    <row r="1524" spans="1:5" ht="12.75" x14ac:dyDescent="0.2">
      <c r="A1524" s="259" t="s">
        <v>2321</v>
      </c>
      <c r="B1524" s="1" t="s">
        <v>732</v>
      </c>
      <c r="C1524" s="1" t="str">
        <f t="shared" si="69"/>
        <v>South Whittier - Los Angeles</v>
      </c>
      <c r="D1524" s="512">
        <f t="shared" si="70"/>
        <v>5.4833333333333331E-2</v>
      </c>
      <c r="E1524" s="261">
        <f t="shared" si="71"/>
        <v>1.1599999999999999E-2</v>
      </c>
    </row>
    <row r="1525" spans="1:5" ht="12.75" x14ac:dyDescent="0.2">
      <c r="A1525" s="259" t="s">
        <v>2322</v>
      </c>
      <c r="B1525" s="1" t="s">
        <v>827</v>
      </c>
      <c r="C1525" s="1" t="str">
        <f t="shared" si="69"/>
        <v>Spanish Flat - Napa</v>
      </c>
      <c r="D1525" s="512">
        <f t="shared" si="70"/>
        <v>0.04</v>
      </c>
      <c r="E1525" s="261">
        <f t="shared" si="71"/>
        <v>1.102E-2</v>
      </c>
    </row>
    <row r="1526" spans="1:5" ht="12.75" x14ac:dyDescent="0.2">
      <c r="A1526" s="259" t="s">
        <v>2323</v>
      </c>
      <c r="B1526" s="1" t="s">
        <v>876</v>
      </c>
      <c r="C1526" s="1" t="str">
        <f t="shared" si="69"/>
        <v>Spreckels - Monterey</v>
      </c>
      <c r="D1526" s="512">
        <f t="shared" si="70"/>
        <v>7.425000000000001E-2</v>
      </c>
      <c r="E1526" s="261">
        <f t="shared" si="71"/>
        <v>1.098E-2</v>
      </c>
    </row>
    <row r="1527" spans="1:5" ht="12.75" x14ac:dyDescent="0.2">
      <c r="A1527" s="259" t="s">
        <v>2324</v>
      </c>
      <c r="B1527" s="1" t="s">
        <v>791</v>
      </c>
      <c r="C1527" s="1" t="str">
        <f t="shared" si="69"/>
        <v>Spring Garden - Plumas</v>
      </c>
      <c r="D1527" s="512">
        <f t="shared" si="70"/>
        <v>7.7250000000000013E-2</v>
      </c>
      <c r="E1527" s="261">
        <f t="shared" si="71"/>
        <v>1.099E-2</v>
      </c>
    </row>
    <row r="1528" spans="1:5" ht="12.75" x14ac:dyDescent="0.2">
      <c r="A1528" s="259" t="s">
        <v>2325</v>
      </c>
      <c r="B1528" s="1" t="s">
        <v>751</v>
      </c>
      <c r="C1528" s="1" t="str">
        <f t="shared" si="69"/>
        <v>Spring Valley - San Diego</v>
      </c>
      <c r="D1528" s="512">
        <f t="shared" si="70"/>
        <v>4.4750000000000005E-2</v>
      </c>
      <c r="E1528" s="261">
        <f t="shared" si="71"/>
        <v>1.167E-2</v>
      </c>
    </row>
    <row r="1529" spans="1:5" ht="12.75" x14ac:dyDescent="0.2">
      <c r="A1529" s="259" t="s">
        <v>2326</v>
      </c>
      <c r="B1529" s="1" t="s">
        <v>798</v>
      </c>
      <c r="C1529" s="1" t="str">
        <f t="shared" si="69"/>
        <v>Springville - Tulare</v>
      </c>
      <c r="D1529" s="512">
        <f t="shared" si="70"/>
        <v>0.10691666666666669</v>
      </c>
      <c r="E1529" s="261">
        <f t="shared" si="71"/>
        <v>1.0869999999999999E-2</v>
      </c>
    </row>
    <row r="1530" spans="1:5" ht="12.75" x14ac:dyDescent="0.2">
      <c r="A1530" s="259" t="s">
        <v>2327</v>
      </c>
      <c r="B1530" s="1" t="s">
        <v>774</v>
      </c>
      <c r="C1530" s="1" t="str">
        <f t="shared" si="69"/>
        <v>Spyrock - Mendocino</v>
      </c>
      <c r="D1530" s="512">
        <f t="shared" si="70"/>
        <v>5.1916666666666667E-2</v>
      </c>
      <c r="E1530" s="261">
        <f t="shared" si="71"/>
        <v>1.1650000000000001E-2</v>
      </c>
    </row>
    <row r="1531" spans="1:5" ht="12.75" x14ac:dyDescent="0.2">
      <c r="A1531" s="259" t="s">
        <v>2328</v>
      </c>
      <c r="B1531" s="1" t="s">
        <v>895</v>
      </c>
      <c r="C1531" s="1" t="str">
        <f t="shared" si="69"/>
        <v>Squaw Valley - Fresno</v>
      </c>
      <c r="D1531" s="512">
        <f t="shared" si="70"/>
        <v>8.0416666666666664E-2</v>
      </c>
      <c r="E1531" s="261">
        <f t="shared" si="71"/>
        <v>1.2110000000000001E-2</v>
      </c>
    </row>
    <row r="1532" spans="1:5" ht="12.75" x14ac:dyDescent="0.2">
      <c r="A1532" s="259" t="s">
        <v>2329</v>
      </c>
      <c r="B1532" s="1" t="s">
        <v>827</v>
      </c>
      <c r="C1532" s="1" t="str">
        <f t="shared" si="69"/>
        <v>St. Helena - Napa</v>
      </c>
      <c r="D1532" s="512">
        <f t="shared" si="70"/>
        <v>0.04</v>
      </c>
      <c r="E1532" s="261">
        <f t="shared" si="71"/>
        <v>1.102E-2</v>
      </c>
    </row>
    <row r="1533" spans="1:5" ht="12.75" x14ac:dyDescent="0.2">
      <c r="A1533" s="259" t="s">
        <v>2330</v>
      </c>
      <c r="B1533" s="1" t="s">
        <v>968</v>
      </c>
      <c r="C1533" s="1" t="str">
        <f t="shared" si="69"/>
        <v>Standard - Tuolumne</v>
      </c>
      <c r="D1533" s="512">
        <f t="shared" si="70"/>
        <v>5.4333333333333338E-2</v>
      </c>
      <c r="E1533" s="261">
        <f t="shared" si="71"/>
        <v>1.0780000000000001E-2</v>
      </c>
    </row>
    <row r="1534" spans="1:5" ht="12.75" x14ac:dyDescent="0.2">
      <c r="A1534" s="259" t="s">
        <v>2331</v>
      </c>
      <c r="B1534" s="1" t="s">
        <v>959</v>
      </c>
      <c r="C1534" s="1" t="str">
        <f t="shared" si="69"/>
        <v>Standish - Lassen</v>
      </c>
      <c r="D1534" s="512">
        <f t="shared" si="70"/>
        <v>5.8083333333333327E-2</v>
      </c>
      <c r="E1534" s="261">
        <f t="shared" si="71"/>
        <v>1.018E-2</v>
      </c>
    </row>
    <row r="1535" spans="1:5" ht="12.75" x14ac:dyDescent="0.2">
      <c r="A1535" s="259" t="s">
        <v>2332</v>
      </c>
      <c r="B1535" s="1" t="s">
        <v>788</v>
      </c>
      <c r="C1535" s="1" t="str">
        <f t="shared" si="69"/>
        <v>Stanford - Santa Clara</v>
      </c>
      <c r="D1535" s="512">
        <f t="shared" si="70"/>
        <v>4.0750000000000001E-2</v>
      </c>
      <c r="E1535" s="261">
        <f t="shared" si="71"/>
        <v>1.2110000000000001E-2</v>
      </c>
    </row>
    <row r="1536" spans="1:5" ht="12.75" x14ac:dyDescent="0.2">
      <c r="A1536" s="259" t="s">
        <v>1124</v>
      </c>
      <c r="B1536" s="1" t="s">
        <v>968</v>
      </c>
      <c r="C1536" s="1" t="str">
        <f t="shared" si="69"/>
        <v>Stanislaus - Tuolumne</v>
      </c>
      <c r="D1536" s="512">
        <f t="shared" si="70"/>
        <v>5.4333333333333338E-2</v>
      </c>
      <c r="E1536" s="261">
        <f t="shared" si="71"/>
        <v>1.0780000000000001E-2</v>
      </c>
    </row>
    <row r="1537" spans="1:5" ht="12.75" x14ac:dyDescent="0.2">
      <c r="A1537" s="259" t="s">
        <v>2333</v>
      </c>
      <c r="B1537" s="1" t="s">
        <v>782</v>
      </c>
      <c r="C1537" s="1" t="str">
        <f t="shared" si="69"/>
        <v>Stanton - Orange</v>
      </c>
      <c r="D1537" s="512">
        <f t="shared" si="70"/>
        <v>3.9749999999999994E-2</v>
      </c>
      <c r="E1537" s="261">
        <f t="shared" si="71"/>
        <v>1.0660000000000001E-2</v>
      </c>
    </row>
    <row r="1538" spans="1:5" ht="12.75" x14ac:dyDescent="0.2">
      <c r="A1538" s="259" t="s">
        <v>2334</v>
      </c>
      <c r="B1538" s="1" t="s">
        <v>827</v>
      </c>
      <c r="C1538" s="1" t="str">
        <f t="shared" si="69"/>
        <v>Steele Park - Napa</v>
      </c>
      <c r="D1538" s="512">
        <f t="shared" si="70"/>
        <v>0.04</v>
      </c>
      <c r="E1538" s="261">
        <f t="shared" si="71"/>
        <v>1.102E-2</v>
      </c>
    </row>
    <row r="1539" spans="1:5" ht="12.75" x14ac:dyDescent="0.2">
      <c r="A1539" s="259" t="s">
        <v>2335</v>
      </c>
      <c r="B1539" s="1" t="s">
        <v>732</v>
      </c>
      <c r="C1539" s="1" t="str">
        <f t="shared" si="69"/>
        <v>Stevenson Ranch - Los Angeles</v>
      </c>
      <c r="D1539" s="512">
        <f t="shared" si="70"/>
        <v>5.4833333333333331E-2</v>
      </c>
      <c r="E1539" s="261">
        <f t="shared" si="71"/>
        <v>1.1599999999999999E-2</v>
      </c>
    </row>
    <row r="1540" spans="1:5" ht="12.75" x14ac:dyDescent="0.2">
      <c r="A1540" s="259" t="s">
        <v>2336</v>
      </c>
      <c r="B1540" s="1" t="s">
        <v>892</v>
      </c>
      <c r="C1540" s="1" t="str">
        <f t="shared" si="69"/>
        <v>Stevinson - Merced</v>
      </c>
      <c r="D1540" s="512">
        <f t="shared" si="70"/>
        <v>9.6416666666666678E-2</v>
      </c>
      <c r="E1540" s="261">
        <f t="shared" si="71"/>
        <v>1.0829999999999999E-2</v>
      </c>
    </row>
    <row r="1541" spans="1:5" ht="12.75" x14ac:dyDescent="0.2">
      <c r="A1541" s="259" t="s">
        <v>2337</v>
      </c>
      <c r="B1541" s="1" t="s">
        <v>748</v>
      </c>
      <c r="C1541" s="1" t="str">
        <f t="shared" si="69"/>
        <v>Stewarts Point - Sonoma</v>
      </c>
      <c r="D1541" s="512">
        <f t="shared" si="70"/>
        <v>4.0583333333333325E-2</v>
      </c>
      <c r="E1541" s="261">
        <f t="shared" si="71"/>
        <v>1.133E-2</v>
      </c>
    </row>
    <row r="1542" spans="1:5" ht="12.75" x14ac:dyDescent="0.2">
      <c r="A1542" s="259" t="s">
        <v>2338</v>
      </c>
      <c r="B1542" s="1" t="s">
        <v>946</v>
      </c>
      <c r="C1542" s="1" t="str">
        <f t="shared" si="69"/>
        <v>Stinson Beach - Marin</v>
      </c>
      <c r="D1542" s="512">
        <f t="shared" si="70"/>
        <v>3.7749999999999999E-2</v>
      </c>
      <c r="E1542" s="261">
        <f t="shared" si="71"/>
        <v>1.1299999999999999E-2</v>
      </c>
    </row>
    <row r="1543" spans="1:5" ht="12.75" x14ac:dyDescent="0.2">
      <c r="A1543" s="259" t="s">
        <v>2339</v>
      </c>
      <c r="B1543" s="1" t="s">
        <v>915</v>
      </c>
      <c r="C1543" s="1" t="str">
        <f t="shared" si="69"/>
        <v>Stirling City - Butte</v>
      </c>
      <c r="D1543" s="512">
        <f t="shared" si="70"/>
        <v>5.8999999999999983E-2</v>
      </c>
      <c r="E1543" s="261">
        <f t="shared" si="71"/>
        <v>1.1169999999999999E-2</v>
      </c>
    </row>
    <row r="1544" spans="1:5" ht="12.75" x14ac:dyDescent="0.2">
      <c r="A1544" s="259" t="s">
        <v>2340</v>
      </c>
      <c r="B1544" s="1" t="s">
        <v>729</v>
      </c>
      <c r="C1544" s="1" t="str">
        <f t="shared" ref="C1544:C1607" si="72">A1544&amp;" - "&amp;B1544</f>
        <v>Stockton - San Joaquin</v>
      </c>
      <c r="D1544" s="512">
        <f t="shared" si="70"/>
        <v>6.699999999999999E-2</v>
      </c>
      <c r="E1544" s="261">
        <f t="shared" si="71"/>
        <v>1.1299999999999999E-2</v>
      </c>
    </row>
    <row r="1545" spans="1:5" ht="12.75" x14ac:dyDescent="0.2">
      <c r="A1545" s="259" t="s">
        <v>2341</v>
      </c>
      <c r="B1545" s="1" t="s">
        <v>859</v>
      </c>
      <c r="C1545" s="1" t="str">
        <f t="shared" si="72"/>
        <v>Stonyford - Colusa</v>
      </c>
      <c r="D1545" s="512">
        <f t="shared" ref="D1545:D1608" si="73">VLOOKUP(B1545,unemployment_rates,2, FALSE)</f>
        <v>0.13600000000000001</v>
      </c>
      <c r="E1545" s="261">
        <f t="shared" ref="E1545:E1608" si="74">VLOOKUP(B1545,Prop_Tax_Rates,2,FALSE)</f>
        <v>1.098E-2</v>
      </c>
    </row>
    <row r="1546" spans="1:5" ht="12.75" x14ac:dyDescent="0.2">
      <c r="A1546" s="259" t="s">
        <v>2342</v>
      </c>
      <c r="B1546" s="1" t="s">
        <v>791</v>
      </c>
      <c r="C1546" s="1" t="str">
        <f t="shared" si="72"/>
        <v>Storrie - Plumas</v>
      </c>
      <c r="D1546" s="512">
        <f t="shared" si="73"/>
        <v>7.7250000000000013E-2</v>
      </c>
      <c r="E1546" s="261">
        <f t="shared" si="74"/>
        <v>1.099E-2</v>
      </c>
    </row>
    <row r="1547" spans="1:5" ht="12.75" x14ac:dyDescent="0.2">
      <c r="A1547" s="259" t="s">
        <v>2343</v>
      </c>
      <c r="B1547" s="1" t="s">
        <v>872</v>
      </c>
      <c r="C1547" s="1" t="str">
        <f t="shared" si="72"/>
        <v>Stratford - Kings</v>
      </c>
      <c r="D1547" s="512">
        <f t="shared" si="73"/>
        <v>8.7083333333333346E-2</v>
      </c>
      <c r="E1547" s="261">
        <f t="shared" si="74"/>
        <v>1.0820000000000001E-2</v>
      </c>
    </row>
    <row r="1548" spans="1:5" ht="12.75" x14ac:dyDescent="0.2">
      <c r="A1548" s="259" t="s">
        <v>2344</v>
      </c>
      <c r="B1548" s="1" t="s">
        <v>798</v>
      </c>
      <c r="C1548" s="1" t="str">
        <f t="shared" si="72"/>
        <v>Strathmore - Tulare</v>
      </c>
      <c r="D1548" s="512">
        <f t="shared" si="73"/>
        <v>0.10691666666666669</v>
      </c>
      <c r="E1548" s="261">
        <f t="shared" si="74"/>
        <v>1.0869999999999999E-2</v>
      </c>
    </row>
    <row r="1549" spans="1:5" ht="12.75" x14ac:dyDescent="0.2">
      <c r="A1549" s="259" t="s">
        <v>2345</v>
      </c>
      <c r="B1549" s="1" t="s">
        <v>968</v>
      </c>
      <c r="C1549" s="1" t="str">
        <f t="shared" si="72"/>
        <v>Strawberry - Tuolumne</v>
      </c>
      <c r="D1549" s="512">
        <f t="shared" si="73"/>
        <v>5.4333333333333338E-2</v>
      </c>
      <c r="E1549" s="261">
        <f t="shared" si="74"/>
        <v>1.0780000000000001E-2</v>
      </c>
    </row>
    <row r="1550" spans="1:5" ht="12.75" x14ac:dyDescent="0.2">
      <c r="A1550" s="259" t="s">
        <v>2346</v>
      </c>
      <c r="B1550" s="1" t="s">
        <v>932</v>
      </c>
      <c r="C1550" s="1" t="str">
        <f t="shared" si="72"/>
        <v>Strawberry Valley - Yuba</v>
      </c>
      <c r="D1550" s="512">
        <f t="shared" si="73"/>
        <v>7.2416666666666657E-2</v>
      </c>
      <c r="E1550" s="261">
        <f t="shared" si="74"/>
        <v>1.102E-2</v>
      </c>
    </row>
    <row r="1551" spans="1:5" ht="12.75" x14ac:dyDescent="0.2">
      <c r="A1551" s="259" t="s">
        <v>2347</v>
      </c>
      <c r="B1551" s="1" t="s">
        <v>732</v>
      </c>
      <c r="C1551" s="1" t="str">
        <f t="shared" si="72"/>
        <v>Studio City  - Los Angeles</v>
      </c>
      <c r="D1551" s="512">
        <f t="shared" si="73"/>
        <v>5.4833333333333331E-2</v>
      </c>
      <c r="E1551" s="261">
        <f t="shared" si="74"/>
        <v>1.1599999999999999E-2</v>
      </c>
    </row>
    <row r="1552" spans="1:5" ht="12.75" x14ac:dyDescent="0.2">
      <c r="A1552" s="259" t="s">
        <v>2348</v>
      </c>
      <c r="B1552" s="1" t="s">
        <v>738</v>
      </c>
      <c r="C1552" s="1" t="str">
        <f t="shared" si="72"/>
        <v>Sugarloaf - San Bernardino</v>
      </c>
      <c r="D1552" s="512">
        <f t="shared" si="73"/>
        <v>5.1583333333333342E-2</v>
      </c>
      <c r="E1552" s="261">
        <f t="shared" si="74"/>
        <v>1.1379999999999999E-2</v>
      </c>
    </row>
    <row r="1553" spans="1:5" ht="12.75" x14ac:dyDescent="0.2">
      <c r="A1553" s="259" t="s">
        <v>2349</v>
      </c>
      <c r="B1553" s="1" t="s">
        <v>949</v>
      </c>
      <c r="C1553" s="1" t="str">
        <f t="shared" si="72"/>
        <v>Suisun City - Solano</v>
      </c>
      <c r="D1553" s="512">
        <f t="shared" si="73"/>
        <v>5.1916666666666673E-2</v>
      </c>
      <c r="E1553" s="261">
        <f t="shared" si="74"/>
        <v>1.18E-2</v>
      </c>
    </row>
    <row r="1554" spans="1:5" ht="12.75" x14ac:dyDescent="0.2">
      <c r="A1554" s="259" t="s">
        <v>2350</v>
      </c>
      <c r="B1554" s="1" t="s">
        <v>732</v>
      </c>
      <c r="C1554" s="1" t="str">
        <f t="shared" si="72"/>
        <v>Sulphur Springs - Los Angeles</v>
      </c>
      <c r="D1554" s="512">
        <f t="shared" si="73"/>
        <v>5.4833333333333331E-2</v>
      </c>
      <c r="E1554" s="261">
        <f t="shared" si="74"/>
        <v>1.1599999999999999E-2</v>
      </c>
    </row>
    <row r="1555" spans="1:5" ht="12.75" x14ac:dyDescent="0.2">
      <c r="A1555" s="259" t="s">
        <v>2351</v>
      </c>
      <c r="B1555" s="1" t="s">
        <v>798</v>
      </c>
      <c r="C1555" s="1" t="str">
        <f t="shared" si="72"/>
        <v>Sultana - Tulare</v>
      </c>
      <c r="D1555" s="512">
        <f t="shared" si="73"/>
        <v>0.10691666666666669</v>
      </c>
      <c r="E1555" s="261">
        <f t="shared" si="74"/>
        <v>1.0869999999999999E-2</v>
      </c>
    </row>
    <row r="1556" spans="1:5" ht="12.75" x14ac:dyDescent="0.2">
      <c r="A1556" s="259" t="s">
        <v>2352</v>
      </c>
      <c r="B1556" s="1" t="s">
        <v>911</v>
      </c>
      <c r="C1556" s="1" t="str">
        <f t="shared" si="72"/>
        <v>Summerland - Santa Barbara</v>
      </c>
      <c r="D1556" s="512">
        <f t="shared" si="73"/>
        <v>4.5333333333333344E-2</v>
      </c>
      <c r="E1556" s="261">
        <f t="shared" si="74"/>
        <v>1.0740000000000001E-2</v>
      </c>
    </row>
    <row r="1557" spans="1:5" ht="12.75" x14ac:dyDescent="0.2">
      <c r="A1557" s="259" t="s">
        <v>2353</v>
      </c>
      <c r="B1557" s="1" t="s">
        <v>738</v>
      </c>
      <c r="C1557" s="1" t="str">
        <f t="shared" si="72"/>
        <v>Summit - San Bernardino</v>
      </c>
      <c r="D1557" s="512">
        <f t="shared" si="73"/>
        <v>5.1583333333333342E-2</v>
      </c>
      <c r="E1557" s="261">
        <f t="shared" si="74"/>
        <v>1.1379999999999999E-2</v>
      </c>
    </row>
    <row r="1558" spans="1:5" ht="12.75" x14ac:dyDescent="0.2">
      <c r="A1558" s="259" t="s">
        <v>2354</v>
      </c>
      <c r="B1558" s="1" t="s">
        <v>832</v>
      </c>
      <c r="C1558" s="1" t="str">
        <f t="shared" si="72"/>
        <v>Summit City - Shasta</v>
      </c>
      <c r="D1558" s="512">
        <f t="shared" si="73"/>
        <v>5.6416666666666657E-2</v>
      </c>
      <c r="E1558" s="261">
        <f t="shared" si="74"/>
        <v>1.099E-2</v>
      </c>
    </row>
    <row r="1559" spans="1:5" ht="12.75" x14ac:dyDescent="0.2">
      <c r="A1559" s="259" t="s">
        <v>2355</v>
      </c>
      <c r="B1559" s="1" t="s">
        <v>756</v>
      </c>
      <c r="C1559" s="1" t="str">
        <f t="shared" si="72"/>
        <v>Sun City - Riverside</v>
      </c>
      <c r="D1559" s="512">
        <f t="shared" si="73"/>
        <v>5.3749999999999999E-2</v>
      </c>
      <c r="E1559" s="261">
        <f t="shared" si="74"/>
        <v>1.1859999999999999E-2</v>
      </c>
    </row>
    <row r="1560" spans="1:5" ht="12.75" x14ac:dyDescent="0.2">
      <c r="A1560" s="259" t="s">
        <v>2356</v>
      </c>
      <c r="B1560" s="1" t="s">
        <v>732</v>
      </c>
      <c r="C1560" s="1" t="str">
        <f t="shared" si="72"/>
        <v>Sun Valley  - Los Angeles</v>
      </c>
      <c r="D1560" s="512">
        <f t="shared" si="73"/>
        <v>5.4833333333333331E-2</v>
      </c>
      <c r="E1560" s="261">
        <f t="shared" si="74"/>
        <v>1.1599999999999999E-2</v>
      </c>
    </row>
    <row r="1561" spans="1:5" ht="12.75" x14ac:dyDescent="0.2">
      <c r="A1561" s="259" t="s">
        <v>2357</v>
      </c>
      <c r="B1561" s="1" t="s">
        <v>732</v>
      </c>
      <c r="C1561" s="1" t="str">
        <f t="shared" si="72"/>
        <v>Sunland  - Los Angeles</v>
      </c>
      <c r="D1561" s="512">
        <f t="shared" si="73"/>
        <v>5.4833333333333331E-2</v>
      </c>
      <c r="E1561" s="261">
        <f t="shared" si="74"/>
        <v>1.1599999999999999E-2</v>
      </c>
    </row>
    <row r="1562" spans="1:5" ht="12.75" x14ac:dyDescent="0.2">
      <c r="A1562" s="259" t="s">
        <v>2358</v>
      </c>
      <c r="B1562" s="1" t="s">
        <v>756</v>
      </c>
      <c r="C1562" s="1" t="str">
        <f t="shared" si="72"/>
        <v>Sunnymead  - Riverside</v>
      </c>
      <c r="D1562" s="512">
        <f t="shared" si="73"/>
        <v>5.3749999999999999E-2</v>
      </c>
      <c r="E1562" s="261">
        <f t="shared" si="74"/>
        <v>1.1859999999999999E-2</v>
      </c>
    </row>
    <row r="1563" spans="1:5" ht="12.75" x14ac:dyDescent="0.2">
      <c r="A1563" s="259" t="s">
        <v>2359</v>
      </c>
      <c r="B1563" s="1" t="s">
        <v>751</v>
      </c>
      <c r="C1563" s="1" t="str">
        <f t="shared" si="72"/>
        <v>Sunnyside - San Diego</v>
      </c>
      <c r="D1563" s="512">
        <f t="shared" si="73"/>
        <v>4.4750000000000005E-2</v>
      </c>
      <c r="E1563" s="261">
        <f t="shared" si="74"/>
        <v>1.167E-2</v>
      </c>
    </row>
    <row r="1564" spans="1:5" ht="12.75" x14ac:dyDescent="0.2">
      <c r="A1564" s="259" t="s">
        <v>2360</v>
      </c>
      <c r="B1564" s="1" t="s">
        <v>788</v>
      </c>
      <c r="C1564" s="1" t="str">
        <f t="shared" si="72"/>
        <v>Sunnyvale - Santa Clara</v>
      </c>
      <c r="D1564" s="512">
        <f t="shared" si="73"/>
        <v>4.0750000000000001E-2</v>
      </c>
      <c r="E1564" s="261">
        <f t="shared" si="74"/>
        <v>1.2110000000000001E-2</v>
      </c>
    </row>
    <row r="1565" spans="1:5" ht="12.75" x14ac:dyDescent="0.2">
      <c r="A1565" s="259" t="s">
        <v>2361</v>
      </c>
      <c r="B1565" s="1" t="s">
        <v>764</v>
      </c>
      <c r="C1565" s="1" t="str">
        <f t="shared" si="72"/>
        <v>Sunol - Alameda</v>
      </c>
      <c r="D1565" s="512">
        <f t="shared" si="73"/>
        <v>4.7E-2</v>
      </c>
      <c r="E1565" s="261">
        <f t="shared" si="74"/>
        <v>1.2430000000000002E-2</v>
      </c>
    </row>
    <row r="1566" spans="1:5" ht="12.75" x14ac:dyDescent="0.2">
      <c r="A1566" s="259" t="s">
        <v>2362</v>
      </c>
      <c r="B1566" s="1" t="s">
        <v>782</v>
      </c>
      <c r="C1566" s="1" t="str">
        <f t="shared" si="72"/>
        <v>Sunset Beach - Orange</v>
      </c>
      <c r="D1566" s="512">
        <f t="shared" si="73"/>
        <v>3.9749999999999994E-2</v>
      </c>
      <c r="E1566" s="261">
        <f t="shared" si="74"/>
        <v>1.0660000000000001E-2</v>
      </c>
    </row>
    <row r="1567" spans="1:5" ht="12.75" x14ac:dyDescent="0.2">
      <c r="A1567" s="259" t="s">
        <v>2363</v>
      </c>
      <c r="B1567" s="1" t="s">
        <v>803</v>
      </c>
      <c r="C1567" s="1" t="str">
        <f t="shared" si="72"/>
        <v>Sunset Whitney Ranch - Placer</v>
      </c>
      <c r="D1567" s="512">
        <f t="shared" si="73"/>
        <v>4.1833333333333347E-2</v>
      </c>
      <c r="E1567" s="261">
        <f t="shared" si="74"/>
        <v>1.0880000000000001E-2</v>
      </c>
    </row>
    <row r="1568" spans="1:5" ht="12.75" x14ac:dyDescent="0.2">
      <c r="A1568" s="259" t="s">
        <v>2364</v>
      </c>
      <c r="B1568" s="1" t="s">
        <v>782</v>
      </c>
      <c r="C1568" s="1" t="str">
        <f t="shared" si="72"/>
        <v>Surfside  - Orange</v>
      </c>
      <c r="D1568" s="512">
        <f t="shared" si="73"/>
        <v>3.9749999999999994E-2</v>
      </c>
      <c r="E1568" s="261">
        <f t="shared" si="74"/>
        <v>1.0660000000000001E-2</v>
      </c>
    </row>
    <row r="1569" spans="1:5" ht="12.75" x14ac:dyDescent="0.2">
      <c r="A1569" s="259" t="s">
        <v>2365</v>
      </c>
      <c r="B1569" s="1" t="s">
        <v>959</v>
      </c>
      <c r="C1569" s="1" t="str">
        <f t="shared" si="72"/>
        <v>Susanville - Lassen</v>
      </c>
      <c r="D1569" s="512">
        <f t="shared" si="73"/>
        <v>5.8083333333333327E-2</v>
      </c>
      <c r="E1569" s="261">
        <f t="shared" si="74"/>
        <v>1.018E-2</v>
      </c>
    </row>
    <row r="1570" spans="1:5" ht="12.75" x14ac:dyDescent="0.2">
      <c r="A1570" s="259" t="s">
        <v>1300</v>
      </c>
      <c r="B1570" s="1" t="s">
        <v>1300</v>
      </c>
      <c r="C1570" s="1" t="str">
        <f t="shared" si="72"/>
        <v>Sutter - Sutter</v>
      </c>
      <c r="D1570" s="512">
        <f t="shared" si="73"/>
        <v>8.2583333333333328E-2</v>
      </c>
      <c r="E1570" s="261">
        <f t="shared" si="74"/>
        <v>1.099E-2</v>
      </c>
    </row>
    <row r="1571" spans="1:5" ht="12.75" x14ac:dyDescent="0.2">
      <c r="A1571" s="259" t="s">
        <v>2366</v>
      </c>
      <c r="B1571" s="1" t="s">
        <v>819</v>
      </c>
      <c r="C1571" s="1" t="str">
        <f t="shared" si="72"/>
        <v>Sutter Creek - Amador</v>
      </c>
      <c r="D1571" s="512">
        <f t="shared" si="73"/>
        <v>5.3500000000000006E-2</v>
      </c>
      <c r="E1571" s="261">
        <f t="shared" si="74"/>
        <v>1.014E-2</v>
      </c>
    </row>
    <row r="1572" spans="1:5" ht="12.75" x14ac:dyDescent="0.2">
      <c r="A1572" s="259" t="s">
        <v>2367</v>
      </c>
      <c r="B1572" s="1" t="s">
        <v>822</v>
      </c>
      <c r="C1572" s="1" t="str">
        <f t="shared" si="72"/>
        <v>Swall Meadows  - Inyo</v>
      </c>
      <c r="D1572" s="512">
        <f t="shared" si="73"/>
        <v>3.9833333333333339E-2</v>
      </c>
      <c r="E1572" s="261">
        <f t="shared" si="74"/>
        <v>1.065E-2</v>
      </c>
    </row>
    <row r="1573" spans="1:5" ht="12.75" x14ac:dyDescent="0.2">
      <c r="A1573" s="259" t="s">
        <v>2368</v>
      </c>
      <c r="B1573" s="1" t="s">
        <v>732</v>
      </c>
      <c r="C1573" s="1" t="str">
        <f t="shared" si="72"/>
        <v>Sylmar  - Los Angeles</v>
      </c>
      <c r="D1573" s="512">
        <f t="shared" si="73"/>
        <v>5.4833333333333331E-2</v>
      </c>
      <c r="E1573" s="261">
        <f t="shared" si="74"/>
        <v>1.1599999999999999E-2</v>
      </c>
    </row>
    <row r="1574" spans="1:5" ht="12.75" x14ac:dyDescent="0.2">
      <c r="A1574" s="259" t="s">
        <v>2369</v>
      </c>
      <c r="B1574" s="1" t="s">
        <v>884</v>
      </c>
      <c r="C1574" s="1" t="str">
        <f t="shared" si="72"/>
        <v>Taft - Kern</v>
      </c>
      <c r="D1574" s="512">
        <f t="shared" si="73"/>
        <v>8.9333333333333334E-2</v>
      </c>
      <c r="E1574" s="261">
        <f t="shared" si="74"/>
        <v>1.238E-2</v>
      </c>
    </row>
    <row r="1575" spans="1:5" ht="12.75" x14ac:dyDescent="0.2">
      <c r="A1575" s="259" t="s">
        <v>2370</v>
      </c>
      <c r="B1575" s="1" t="s">
        <v>798</v>
      </c>
      <c r="C1575" s="1" t="str">
        <f t="shared" si="72"/>
        <v>Tagus Ranch - Tulare</v>
      </c>
      <c r="D1575" s="512">
        <f t="shared" si="73"/>
        <v>0.10691666666666669</v>
      </c>
      <c r="E1575" s="261">
        <f t="shared" si="74"/>
        <v>1.0869999999999999E-2</v>
      </c>
    </row>
    <row r="1576" spans="1:5" ht="12.75" x14ac:dyDescent="0.2">
      <c r="A1576" s="259" t="s">
        <v>2371</v>
      </c>
      <c r="B1576" s="1" t="s">
        <v>803</v>
      </c>
      <c r="C1576" s="1" t="str">
        <f t="shared" si="72"/>
        <v>Tahoe City - Placer</v>
      </c>
      <c r="D1576" s="512">
        <f t="shared" si="73"/>
        <v>4.1833333333333347E-2</v>
      </c>
      <c r="E1576" s="261">
        <f t="shared" si="74"/>
        <v>1.0880000000000001E-2</v>
      </c>
    </row>
    <row r="1577" spans="1:5" ht="12.75" x14ac:dyDescent="0.2">
      <c r="A1577" s="259" t="s">
        <v>2372</v>
      </c>
      <c r="B1577" s="1" t="s">
        <v>762</v>
      </c>
      <c r="C1577" s="1" t="str">
        <f t="shared" si="72"/>
        <v>Tahoe Paradise - El Dorado</v>
      </c>
      <c r="D1577" s="512">
        <f t="shared" si="73"/>
        <v>4.466666666666666E-2</v>
      </c>
      <c r="E1577" s="261">
        <f t="shared" si="74"/>
        <v>1.0660000000000001E-2</v>
      </c>
    </row>
    <row r="1578" spans="1:5" ht="12.75" x14ac:dyDescent="0.2">
      <c r="A1578" s="259" t="s">
        <v>2373</v>
      </c>
      <c r="B1578" s="1" t="s">
        <v>762</v>
      </c>
      <c r="C1578" s="1" t="str">
        <f t="shared" si="72"/>
        <v>Tahoe Valley - El Dorado</v>
      </c>
      <c r="D1578" s="512">
        <f t="shared" si="73"/>
        <v>4.466666666666666E-2</v>
      </c>
      <c r="E1578" s="261">
        <f t="shared" si="74"/>
        <v>1.0660000000000001E-2</v>
      </c>
    </row>
    <row r="1579" spans="1:5" ht="12.75" x14ac:dyDescent="0.2">
      <c r="A1579" s="259" t="s">
        <v>2374</v>
      </c>
      <c r="B1579" s="1" t="s">
        <v>803</v>
      </c>
      <c r="C1579" s="1" t="str">
        <f t="shared" si="72"/>
        <v>Tahoe Vista - Placer</v>
      </c>
      <c r="D1579" s="512">
        <f t="shared" si="73"/>
        <v>4.1833333333333347E-2</v>
      </c>
      <c r="E1579" s="261">
        <f t="shared" si="74"/>
        <v>1.0880000000000001E-2</v>
      </c>
    </row>
    <row r="1580" spans="1:5" ht="12.75" x14ac:dyDescent="0.2">
      <c r="A1580" s="259" t="s">
        <v>2375</v>
      </c>
      <c r="B1580" s="1" t="s">
        <v>803</v>
      </c>
      <c r="C1580" s="1" t="str">
        <f t="shared" si="72"/>
        <v>Tahoma - Placer</v>
      </c>
      <c r="D1580" s="512">
        <f t="shared" si="73"/>
        <v>4.1833333333333347E-2</v>
      </c>
      <c r="E1580" s="261">
        <f t="shared" si="74"/>
        <v>1.0880000000000001E-2</v>
      </c>
    </row>
    <row r="1581" spans="1:5" ht="12.75" x14ac:dyDescent="0.2">
      <c r="A1581" s="259" t="s">
        <v>2376</v>
      </c>
      <c r="B1581" s="1" t="s">
        <v>774</v>
      </c>
      <c r="C1581" s="1" t="str">
        <f t="shared" si="72"/>
        <v>Talmage - Mendocino</v>
      </c>
      <c r="D1581" s="512">
        <f t="shared" si="73"/>
        <v>5.1916666666666667E-2</v>
      </c>
      <c r="E1581" s="261">
        <f t="shared" si="74"/>
        <v>1.1650000000000001E-2</v>
      </c>
    </row>
    <row r="1582" spans="1:5" ht="12.75" x14ac:dyDescent="0.2">
      <c r="A1582" s="259" t="s">
        <v>2377</v>
      </c>
      <c r="B1582" s="1" t="s">
        <v>946</v>
      </c>
      <c r="C1582" s="1" t="str">
        <f t="shared" si="72"/>
        <v>Tamal  - Marin</v>
      </c>
      <c r="D1582" s="512">
        <f t="shared" si="73"/>
        <v>3.7749999999999999E-2</v>
      </c>
      <c r="E1582" s="261">
        <f t="shared" si="74"/>
        <v>1.1299999999999999E-2</v>
      </c>
    </row>
    <row r="1583" spans="1:5" ht="12.75" x14ac:dyDescent="0.2">
      <c r="A1583" s="259" t="s">
        <v>2378</v>
      </c>
      <c r="B1583" s="1" t="s">
        <v>732</v>
      </c>
      <c r="C1583" s="1" t="str">
        <f t="shared" si="72"/>
        <v>Tarzana - Los Angeles</v>
      </c>
      <c r="D1583" s="512">
        <f t="shared" si="73"/>
        <v>5.4833333333333331E-2</v>
      </c>
      <c r="E1583" s="261">
        <f t="shared" si="74"/>
        <v>1.1599999999999999E-2</v>
      </c>
    </row>
    <row r="1584" spans="1:5" ht="12.75" x14ac:dyDescent="0.2">
      <c r="A1584" s="259" t="s">
        <v>2379</v>
      </c>
      <c r="B1584" s="1" t="s">
        <v>791</v>
      </c>
      <c r="C1584" s="1" t="str">
        <f t="shared" si="72"/>
        <v>Taylorsville - Plumas</v>
      </c>
      <c r="D1584" s="512">
        <f t="shared" si="73"/>
        <v>7.7250000000000013E-2</v>
      </c>
      <c r="E1584" s="261">
        <f t="shared" si="74"/>
        <v>1.099E-2</v>
      </c>
    </row>
    <row r="1585" spans="1:5" ht="12.75" x14ac:dyDescent="0.2">
      <c r="A1585" s="259" t="s">
        <v>2380</v>
      </c>
      <c r="B1585" s="1" t="s">
        <v>751</v>
      </c>
      <c r="C1585" s="1" t="str">
        <f t="shared" si="72"/>
        <v>Tecate - San Diego</v>
      </c>
      <c r="D1585" s="512">
        <f t="shared" si="73"/>
        <v>4.4750000000000005E-2</v>
      </c>
      <c r="E1585" s="261">
        <f t="shared" si="74"/>
        <v>1.167E-2</v>
      </c>
    </row>
    <row r="1586" spans="1:5" ht="12.75" x14ac:dyDescent="0.2">
      <c r="A1586" s="259" t="s">
        <v>2381</v>
      </c>
      <c r="B1586" s="1" t="s">
        <v>822</v>
      </c>
      <c r="C1586" s="1" t="str">
        <f t="shared" si="72"/>
        <v>Tecopa - Inyo</v>
      </c>
      <c r="D1586" s="512">
        <f t="shared" si="73"/>
        <v>3.9833333333333339E-2</v>
      </c>
      <c r="E1586" s="261">
        <f t="shared" si="74"/>
        <v>1.065E-2</v>
      </c>
    </row>
    <row r="1587" spans="1:5" ht="12.75" x14ac:dyDescent="0.2">
      <c r="A1587" s="259" t="s">
        <v>2382</v>
      </c>
      <c r="B1587" s="1" t="s">
        <v>884</v>
      </c>
      <c r="C1587" s="1" t="str">
        <f t="shared" si="72"/>
        <v>Tehachapi - Kern</v>
      </c>
      <c r="D1587" s="512">
        <f t="shared" si="73"/>
        <v>8.9333333333333334E-2</v>
      </c>
      <c r="E1587" s="261">
        <f t="shared" si="74"/>
        <v>1.238E-2</v>
      </c>
    </row>
    <row r="1588" spans="1:5" ht="12.75" x14ac:dyDescent="0.2">
      <c r="A1588" s="259" t="s">
        <v>1188</v>
      </c>
      <c r="B1588" s="1" t="s">
        <v>1188</v>
      </c>
      <c r="C1588" s="1" t="str">
        <f t="shared" si="72"/>
        <v>Tehama - Tehama</v>
      </c>
      <c r="D1588" s="512">
        <f t="shared" si="73"/>
        <v>6.3083333333333325E-2</v>
      </c>
      <c r="E1588" s="261">
        <f t="shared" si="74"/>
        <v>1.057E-2</v>
      </c>
    </row>
    <row r="1589" spans="1:5" ht="12.75" x14ac:dyDescent="0.2">
      <c r="A1589" s="259" t="s">
        <v>2383</v>
      </c>
      <c r="B1589" s="1" t="s">
        <v>756</v>
      </c>
      <c r="C1589" s="1" t="str">
        <f t="shared" si="72"/>
        <v>Temecula - Riverside</v>
      </c>
      <c r="D1589" s="512">
        <f t="shared" si="73"/>
        <v>5.3749999999999999E-2</v>
      </c>
      <c r="E1589" s="261">
        <f t="shared" si="74"/>
        <v>1.1859999999999999E-2</v>
      </c>
    </row>
    <row r="1590" spans="1:5" ht="12.75" x14ac:dyDescent="0.2">
      <c r="A1590" s="259" t="s">
        <v>2384</v>
      </c>
      <c r="B1590" s="1" t="s">
        <v>732</v>
      </c>
      <c r="C1590" s="1" t="str">
        <f t="shared" si="72"/>
        <v>Temple City - Los Angeles</v>
      </c>
      <c r="D1590" s="512">
        <f t="shared" si="73"/>
        <v>5.4833333333333331E-2</v>
      </c>
      <c r="E1590" s="261">
        <f t="shared" si="74"/>
        <v>1.1599999999999999E-2</v>
      </c>
    </row>
    <row r="1591" spans="1:5" ht="12.75" x14ac:dyDescent="0.2">
      <c r="A1591" s="259" t="s">
        <v>2385</v>
      </c>
      <c r="B1591" s="1" t="s">
        <v>735</v>
      </c>
      <c r="C1591" s="1" t="str">
        <f t="shared" si="72"/>
        <v>Templeton - San Luis Obispo</v>
      </c>
      <c r="D1591" s="512">
        <f t="shared" si="73"/>
        <v>3.8833333333333331E-2</v>
      </c>
      <c r="E1591" s="261">
        <f t="shared" si="74"/>
        <v>1.085E-2</v>
      </c>
    </row>
    <row r="1592" spans="1:5" ht="12.75" x14ac:dyDescent="0.2">
      <c r="A1592" s="259" t="s">
        <v>2386</v>
      </c>
      <c r="B1592" s="1" t="s">
        <v>732</v>
      </c>
      <c r="C1592" s="1" t="str">
        <f t="shared" si="72"/>
        <v>Terminal Island  - Los Angeles</v>
      </c>
      <c r="D1592" s="512">
        <f t="shared" si="73"/>
        <v>5.4833333333333331E-2</v>
      </c>
      <c r="E1592" s="261">
        <f t="shared" si="74"/>
        <v>1.1599999999999999E-2</v>
      </c>
    </row>
    <row r="1593" spans="1:5" ht="12.75" x14ac:dyDescent="0.2">
      <c r="A1593" s="259" t="s">
        <v>2387</v>
      </c>
      <c r="B1593" s="1" t="s">
        <v>959</v>
      </c>
      <c r="C1593" s="1" t="str">
        <f t="shared" si="72"/>
        <v>Termo - Lassen</v>
      </c>
      <c r="D1593" s="512">
        <f t="shared" si="73"/>
        <v>5.8083333333333327E-2</v>
      </c>
      <c r="E1593" s="261">
        <f t="shared" si="74"/>
        <v>1.018E-2</v>
      </c>
    </row>
    <row r="1594" spans="1:5" ht="12.75" x14ac:dyDescent="0.2">
      <c r="A1594" s="259" t="s">
        <v>2388</v>
      </c>
      <c r="B1594" s="1" t="s">
        <v>798</v>
      </c>
      <c r="C1594" s="1" t="str">
        <f t="shared" si="72"/>
        <v>Terra Bella - Tulare</v>
      </c>
      <c r="D1594" s="512">
        <f t="shared" si="73"/>
        <v>0.10691666666666669</v>
      </c>
      <c r="E1594" s="261">
        <f t="shared" si="74"/>
        <v>1.0869999999999999E-2</v>
      </c>
    </row>
    <row r="1595" spans="1:5" ht="12.75" x14ac:dyDescent="0.2">
      <c r="A1595" s="259" t="s">
        <v>2389</v>
      </c>
      <c r="B1595" s="1" t="s">
        <v>756</v>
      </c>
      <c r="C1595" s="1" t="str">
        <f t="shared" si="72"/>
        <v>Thermal - Riverside</v>
      </c>
      <c r="D1595" s="512">
        <f t="shared" si="73"/>
        <v>5.3749999999999999E-2</v>
      </c>
      <c r="E1595" s="261">
        <f t="shared" si="74"/>
        <v>1.1859999999999999E-2</v>
      </c>
    </row>
    <row r="1596" spans="1:5" ht="12.75" x14ac:dyDescent="0.2">
      <c r="A1596" s="259" t="s">
        <v>2390</v>
      </c>
      <c r="B1596" s="1" t="s">
        <v>729</v>
      </c>
      <c r="C1596" s="1" t="str">
        <f t="shared" si="72"/>
        <v>Thornton - San Joaquin</v>
      </c>
      <c r="D1596" s="512">
        <f t="shared" si="73"/>
        <v>6.699999999999999E-2</v>
      </c>
      <c r="E1596" s="261">
        <f t="shared" si="74"/>
        <v>1.1299999999999999E-2</v>
      </c>
    </row>
    <row r="1597" spans="1:5" ht="12.75" x14ac:dyDescent="0.2">
      <c r="A1597" s="259" t="s">
        <v>2391</v>
      </c>
      <c r="B1597" s="1" t="s">
        <v>1058</v>
      </c>
      <c r="C1597" s="1" t="str">
        <f t="shared" si="72"/>
        <v>Thousand Oaks - Ventura</v>
      </c>
      <c r="D1597" s="512">
        <f t="shared" si="73"/>
        <v>4.7250000000000007E-2</v>
      </c>
      <c r="E1597" s="261">
        <f t="shared" si="74"/>
        <v>1.098E-2</v>
      </c>
    </row>
    <row r="1598" spans="1:5" ht="12.75" x14ac:dyDescent="0.2">
      <c r="A1598" s="259" t="s">
        <v>2392</v>
      </c>
      <c r="B1598" s="1" t="s">
        <v>756</v>
      </c>
      <c r="C1598" s="1" t="str">
        <f t="shared" si="72"/>
        <v>Thousand Palms - Riverside</v>
      </c>
      <c r="D1598" s="512">
        <f t="shared" si="73"/>
        <v>5.3749999999999999E-2</v>
      </c>
      <c r="E1598" s="261">
        <f t="shared" si="74"/>
        <v>1.1859999999999999E-2</v>
      </c>
    </row>
    <row r="1599" spans="1:5" ht="12.75" x14ac:dyDescent="0.2">
      <c r="A1599" s="259" t="s">
        <v>2393</v>
      </c>
      <c r="B1599" s="1" t="s">
        <v>798</v>
      </c>
      <c r="C1599" s="1" t="str">
        <f t="shared" si="72"/>
        <v>Three Rivers - Tulare</v>
      </c>
      <c r="D1599" s="512">
        <f t="shared" si="73"/>
        <v>0.10691666666666669</v>
      </c>
      <c r="E1599" s="261">
        <f t="shared" si="74"/>
        <v>1.0869999999999999E-2</v>
      </c>
    </row>
    <row r="1600" spans="1:5" ht="12.75" x14ac:dyDescent="0.2">
      <c r="A1600" s="259" t="s">
        <v>2394</v>
      </c>
      <c r="B1600" s="1" t="s">
        <v>946</v>
      </c>
      <c r="C1600" s="1" t="str">
        <f t="shared" si="72"/>
        <v>Tiburon - Marin</v>
      </c>
      <c r="D1600" s="512">
        <f t="shared" si="73"/>
        <v>3.7749999999999999E-2</v>
      </c>
      <c r="E1600" s="261">
        <f t="shared" si="74"/>
        <v>1.1299999999999999E-2</v>
      </c>
    </row>
    <row r="1601" spans="1:5" ht="12.75" x14ac:dyDescent="0.2">
      <c r="A1601" s="259" t="s">
        <v>2395</v>
      </c>
      <c r="B1601" s="1" t="s">
        <v>751</v>
      </c>
      <c r="C1601" s="1" t="str">
        <f t="shared" si="72"/>
        <v>Tierra Del Sol - San Diego</v>
      </c>
      <c r="D1601" s="512">
        <f t="shared" si="73"/>
        <v>4.4750000000000005E-2</v>
      </c>
      <c r="E1601" s="261">
        <f t="shared" si="74"/>
        <v>1.167E-2</v>
      </c>
    </row>
    <row r="1602" spans="1:5" ht="12.75" x14ac:dyDescent="0.2">
      <c r="A1602" s="259" t="s">
        <v>2396</v>
      </c>
      <c r="B1602" s="1" t="s">
        <v>751</v>
      </c>
      <c r="C1602" s="1" t="str">
        <f t="shared" si="72"/>
        <v>Tierrasanta  - San Diego</v>
      </c>
      <c r="D1602" s="512">
        <f t="shared" si="73"/>
        <v>4.4750000000000005E-2</v>
      </c>
      <c r="E1602" s="261">
        <f t="shared" si="74"/>
        <v>1.167E-2</v>
      </c>
    </row>
    <row r="1603" spans="1:5" ht="12.75" x14ac:dyDescent="0.2">
      <c r="A1603" s="259" t="s">
        <v>2397</v>
      </c>
      <c r="B1603" s="1" t="s">
        <v>798</v>
      </c>
      <c r="C1603" s="1" t="str">
        <f t="shared" si="72"/>
        <v>Tipton - Tulare</v>
      </c>
      <c r="D1603" s="512">
        <f t="shared" si="73"/>
        <v>0.10691666666666669</v>
      </c>
      <c r="E1603" s="261">
        <f t="shared" si="74"/>
        <v>1.0869999999999999E-2</v>
      </c>
    </row>
    <row r="1604" spans="1:5" ht="12.75" x14ac:dyDescent="0.2">
      <c r="A1604" s="259" t="s">
        <v>2398</v>
      </c>
      <c r="B1604" s="1" t="s">
        <v>895</v>
      </c>
      <c r="C1604" s="1" t="str">
        <f t="shared" si="72"/>
        <v>Tollhouse - Fresno</v>
      </c>
      <c r="D1604" s="512">
        <f t="shared" si="73"/>
        <v>8.0416666666666664E-2</v>
      </c>
      <c r="E1604" s="261">
        <f t="shared" si="74"/>
        <v>1.2110000000000001E-2</v>
      </c>
    </row>
    <row r="1605" spans="1:5" ht="12.75" x14ac:dyDescent="0.2">
      <c r="A1605" s="259" t="s">
        <v>2399</v>
      </c>
      <c r="B1605" s="1" t="s">
        <v>732</v>
      </c>
      <c r="C1605" s="1" t="str">
        <f t="shared" si="72"/>
        <v>Toluca Lake  - Los Angeles</v>
      </c>
      <c r="D1605" s="512">
        <f t="shared" si="73"/>
        <v>5.4833333333333331E-2</v>
      </c>
      <c r="E1605" s="261">
        <f t="shared" si="74"/>
        <v>1.1599999999999999E-2</v>
      </c>
    </row>
    <row r="1606" spans="1:5" ht="12.75" x14ac:dyDescent="0.2">
      <c r="A1606" s="259" t="s">
        <v>2400</v>
      </c>
      <c r="B1606" s="1" t="s">
        <v>946</v>
      </c>
      <c r="C1606" s="1" t="str">
        <f t="shared" si="72"/>
        <v>Tomales - Marin</v>
      </c>
      <c r="D1606" s="512">
        <f t="shared" si="73"/>
        <v>3.7749999999999999E-2</v>
      </c>
      <c r="E1606" s="261">
        <f t="shared" si="74"/>
        <v>1.1299999999999999E-2</v>
      </c>
    </row>
    <row r="1607" spans="1:5" ht="12.75" x14ac:dyDescent="0.2">
      <c r="A1607" s="259" t="s">
        <v>2401</v>
      </c>
      <c r="B1607" s="1" t="s">
        <v>951</v>
      </c>
      <c r="C1607" s="1" t="str">
        <f t="shared" si="72"/>
        <v>Toms Place - Mono</v>
      </c>
      <c r="D1607" s="512">
        <f t="shared" si="73"/>
        <v>4.0166666666666663E-2</v>
      </c>
      <c r="E1607" s="261">
        <f t="shared" si="74"/>
        <v>1.154E-2</v>
      </c>
    </row>
    <row r="1608" spans="1:5" ht="12.75" x14ac:dyDescent="0.2">
      <c r="A1608" s="259" t="s">
        <v>2402</v>
      </c>
      <c r="B1608" s="1" t="s">
        <v>732</v>
      </c>
      <c r="C1608" s="1" t="str">
        <f t="shared" ref="C1608:C1671" si="75">A1608&amp;" - "&amp;B1608</f>
        <v>Topanga  - Los Angeles</v>
      </c>
      <c r="D1608" s="512">
        <f t="shared" si="73"/>
        <v>5.4833333333333331E-2</v>
      </c>
      <c r="E1608" s="261">
        <f t="shared" si="74"/>
        <v>1.1599999999999999E-2</v>
      </c>
    </row>
    <row r="1609" spans="1:5" ht="12.75" x14ac:dyDescent="0.2">
      <c r="A1609" s="259" t="s">
        <v>2403</v>
      </c>
      <c r="B1609" s="1" t="s">
        <v>732</v>
      </c>
      <c r="C1609" s="1" t="str">
        <f t="shared" si="75"/>
        <v>Topanga Park  - Los Angeles</v>
      </c>
      <c r="D1609" s="512">
        <f t="shared" ref="D1609:D1672" si="76">VLOOKUP(B1609,unemployment_rates,2, FALSE)</f>
        <v>5.4833333333333331E-2</v>
      </c>
      <c r="E1609" s="261">
        <f t="shared" ref="E1609:E1672" si="77">VLOOKUP(B1609,Prop_Tax_Rates,2,FALSE)</f>
        <v>1.1599999999999999E-2</v>
      </c>
    </row>
    <row r="1610" spans="1:5" ht="12.75" x14ac:dyDescent="0.2">
      <c r="A1610" s="259" t="s">
        <v>2404</v>
      </c>
      <c r="B1610" s="1" t="s">
        <v>951</v>
      </c>
      <c r="C1610" s="1" t="str">
        <f t="shared" si="75"/>
        <v>Topaz - Mono</v>
      </c>
      <c r="D1610" s="512">
        <f t="shared" si="76"/>
        <v>4.0166666666666663E-2</v>
      </c>
      <c r="E1610" s="261">
        <f t="shared" si="77"/>
        <v>1.154E-2</v>
      </c>
    </row>
    <row r="1611" spans="1:5" ht="12.75" x14ac:dyDescent="0.2">
      <c r="A1611" s="259" t="s">
        <v>2405</v>
      </c>
      <c r="B1611" s="1" t="s">
        <v>732</v>
      </c>
      <c r="C1611" s="1" t="str">
        <f t="shared" si="75"/>
        <v>Torrance - Los Angeles</v>
      </c>
      <c r="D1611" s="512">
        <f t="shared" si="76"/>
        <v>5.4833333333333331E-2</v>
      </c>
      <c r="E1611" s="261">
        <f t="shared" si="77"/>
        <v>1.1599999999999999E-2</v>
      </c>
    </row>
    <row r="1612" spans="1:5" ht="12.75" x14ac:dyDescent="0.2">
      <c r="A1612" s="259" t="s">
        <v>2406</v>
      </c>
      <c r="B1612" s="1" t="s">
        <v>798</v>
      </c>
      <c r="C1612" s="1" t="str">
        <f t="shared" si="75"/>
        <v>Town Center - Tulare</v>
      </c>
      <c r="D1612" s="512">
        <f t="shared" si="76"/>
        <v>0.10691666666666669</v>
      </c>
      <c r="E1612" s="261">
        <f t="shared" si="77"/>
        <v>1.0869999999999999E-2</v>
      </c>
    </row>
    <row r="1613" spans="1:5" ht="12.75" x14ac:dyDescent="0.2">
      <c r="A1613" s="259" t="s">
        <v>2407</v>
      </c>
      <c r="B1613" s="1" t="s">
        <v>782</v>
      </c>
      <c r="C1613" s="1" t="str">
        <f t="shared" si="75"/>
        <v>Trabuco Canyon - Orange</v>
      </c>
      <c r="D1613" s="512">
        <f t="shared" si="76"/>
        <v>3.9749999999999994E-2</v>
      </c>
      <c r="E1613" s="261">
        <f t="shared" si="77"/>
        <v>1.0660000000000001E-2</v>
      </c>
    </row>
    <row r="1614" spans="1:5" ht="12.75" x14ac:dyDescent="0.2">
      <c r="A1614" s="259" t="s">
        <v>2408</v>
      </c>
      <c r="B1614" s="1" t="s">
        <v>729</v>
      </c>
      <c r="C1614" s="1" t="str">
        <f t="shared" si="75"/>
        <v>Tracy - San Joaquin</v>
      </c>
      <c r="D1614" s="512">
        <f t="shared" si="76"/>
        <v>6.699999999999999E-2</v>
      </c>
      <c r="E1614" s="261">
        <f t="shared" si="77"/>
        <v>1.1299999999999999E-2</v>
      </c>
    </row>
    <row r="1615" spans="1:5" ht="12.75" x14ac:dyDescent="0.2">
      <c r="A1615" s="259" t="s">
        <v>2409</v>
      </c>
      <c r="B1615" s="1" t="s">
        <v>895</v>
      </c>
      <c r="C1615" s="1" t="str">
        <f t="shared" si="75"/>
        <v>Tranquillity - Fresno</v>
      </c>
      <c r="D1615" s="512">
        <f t="shared" si="76"/>
        <v>8.0416666666666664E-2</v>
      </c>
      <c r="E1615" s="261">
        <f t="shared" si="77"/>
        <v>1.2110000000000001E-2</v>
      </c>
    </row>
    <row r="1616" spans="1:5" ht="12.75" x14ac:dyDescent="0.2">
      <c r="A1616" s="259" t="s">
        <v>2410</v>
      </c>
      <c r="B1616" s="1" t="s">
        <v>798</v>
      </c>
      <c r="C1616" s="1" t="str">
        <f t="shared" si="75"/>
        <v>Traver - Tulare</v>
      </c>
      <c r="D1616" s="512">
        <f t="shared" si="76"/>
        <v>0.10691666666666669</v>
      </c>
      <c r="E1616" s="261">
        <f t="shared" si="77"/>
        <v>1.0869999999999999E-2</v>
      </c>
    </row>
    <row r="1617" spans="1:5" ht="12.75" x14ac:dyDescent="0.2">
      <c r="A1617" s="259" t="s">
        <v>2411</v>
      </c>
      <c r="B1617" s="1" t="s">
        <v>949</v>
      </c>
      <c r="C1617" s="1" t="str">
        <f t="shared" si="75"/>
        <v>Travis A.F.B.  - Solano</v>
      </c>
      <c r="D1617" s="512">
        <f t="shared" si="76"/>
        <v>5.1916666666666673E-2</v>
      </c>
      <c r="E1617" s="261">
        <f t="shared" si="77"/>
        <v>1.18E-2</v>
      </c>
    </row>
    <row r="1618" spans="1:5" ht="12.75" x14ac:dyDescent="0.2">
      <c r="A1618" s="259" t="s">
        <v>2412</v>
      </c>
      <c r="B1618" s="1" t="s">
        <v>1530</v>
      </c>
      <c r="C1618" s="1" t="str">
        <f t="shared" si="75"/>
        <v>Tres Pinos - San Benito</v>
      </c>
      <c r="D1618" s="512">
        <f t="shared" si="76"/>
        <v>6.5999999999999989E-2</v>
      </c>
      <c r="E1618" s="261">
        <f t="shared" si="77"/>
        <v>1.2119999999999999E-2</v>
      </c>
    </row>
    <row r="1619" spans="1:5" ht="12.75" x14ac:dyDescent="0.2">
      <c r="A1619" s="259" t="s">
        <v>2413</v>
      </c>
      <c r="B1619" s="1" t="s">
        <v>777</v>
      </c>
      <c r="C1619" s="1" t="str">
        <f t="shared" si="75"/>
        <v>Trinidad - Humboldt</v>
      </c>
      <c r="D1619" s="512">
        <f t="shared" si="76"/>
        <v>5.1583333333333321E-2</v>
      </c>
      <c r="E1619" s="261">
        <f t="shared" si="77"/>
        <v>1.115E-2</v>
      </c>
    </row>
    <row r="1620" spans="1:5" ht="12.75" x14ac:dyDescent="0.2">
      <c r="A1620" s="259" t="s">
        <v>2414</v>
      </c>
      <c r="B1620" s="1" t="s">
        <v>961</v>
      </c>
      <c r="C1620" s="1" t="str">
        <f t="shared" si="75"/>
        <v>Trinity Center - Trinity</v>
      </c>
      <c r="D1620" s="512">
        <f t="shared" si="76"/>
        <v>5.916666666666668E-2</v>
      </c>
      <c r="E1620" s="261">
        <f t="shared" si="77"/>
        <v>1.043E-2</v>
      </c>
    </row>
    <row r="1621" spans="1:5" ht="12.75" x14ac:dyDescent="0.2">
      <c r="A1621" s="259" t="s">
        <v>2415</v>
      </c>
      <c r="B1621" s="1" t="s">
        <v>738</v>
      </c>
      <c r="C1621" s="1" t="str">
        <f t="shared" si="75"/>
        <v>Trona - San Bernardino</v>
      </c>
      <c r="D1621" s="512">
        <f t="shared" si="76"/>
        <v>5.1583333333333342E-2</v>
      </c>
      <c r="E1621" s="261">
        <f t="shared" si="77"/>
        <v>1.1379999999999999E-2</v>
      </c>
    </row>
    <row r="1622" spans="1:5" ht="12.75" x14ac:dyDescent="0.2">
      <c r="A1622" s="259" t="s">
        <v>2416</v>
      </c>
      <c r="B1622" s="1" t="s">
        <v>1300</v>
      </c>
      <c r="C1622" s="1" t="str">
        <f t="shared" si="75"/>
        <v>Trowbridge - Sutter</v>
      </c>
      <c r="D1622" s="512">
        <f t="shared" si="76"/>
        <v>8.2583333333333328E-2</v>
      </c>
      <c r="E1622" s="261">
        <f t="shared" si="77"/>
        <v>1.099E-2</v>
      </c>
    </row>
    <row r="1623" spans="1:5" ht="12.75" x14ac:dyDescent="0.2">
      <c r="A1623" s="259" t="s">
        <v>2417</v>
      </c>
      <c r="B1623" s="1" t="s">
        <v>1118</v>
      </c>
      <c r="C1623" s="1" t="str">
        <f t="shared" si="75"/>
        <v>Truckee - Nevada</v>
      </c>
      <c r="D1623" s="512">
        <f t="shared" si="76"/>
        <v>4.3166666666666673E-2</v>
      </c>
      <c r="E1623" s="261">
        <f t="shared" si="77"/>
        <v>1.0620000000000001E-2</v>
      </c>
    </row>
    <row r="1624" spans="1:5" ht="12.75" x14ac:dyDescent="0.2">
      <c r="A1624" s="259" t="s">
        <v>2418</v>
      </c>
      <c r="B1624" s="1" t="s">
        <v>732</v>
      </c>
      <c r="C1624" s="1" t="str">
        <f t="shared" si="75"/>
        <v>Tujunga  - Los Angeles</v>
      </c>
      <c r="D1624" s="512">
        <f t="shared" si="76"/>
        <v>5.4833333333333331E-2</v>
      </c>
      <c r="E1624" s="261">
        <f t="shared" si="77"/>
        <v>1.1599999999999999E-2</v>
      </c>
    </row>
    <row r="1625" spans="1:5" ht="12.75" x14ac:dyDescent="0.2">
      <c r="A1625" s="259" t="s">
        <v>798</v>
      </c>
      <c r="B1625" s="1" t="s">
        <v>798</v>
      </c>
      <c r="C1625" s="1" t="str">
        <f t="shared" si="75"/>
        <v>Tulare - Tulare</v>
      </c>
      <c r="D1625" s="512">
        <f t="shared" si="76"/>
        <v>0.10691666666666669</v>
      </c>
      <c r="E1625" s="261">
        <f t="shared" si="77"/>
        <v>1.0869999999999999E-2</v>
      </c>
    </row>
    <row r="1626" spans="1:5" ht="12.75" x14ac:dyDescent="0.2">
      <c r="A1626" s="259" t="s">
        <v>2419</v>
      </c>
      <c r="B1626" s="1" t="s">
        <v>1053</v>
      </c>
      <c r="C1626" s="1" t="str">
        <f t="shared" si="75"/>
        <v>Tulelake - Siskiyou</v>
      </c>
      <c r="D1626" s="512">
        <f t="shared" si="76"/>
        <v>6.883333333333333E-2</v>
      </c>
      <c r="E1626" s="261">
        <f t="shared" si="77"/>
        <v>1.0460000000000001E-2</v>
      </c>
    </row>
    <row r="1627" spans="1:5" ht="12.75" x14ac:dyDescent="0.2">
      <c r="A1627" s="259" t="s">
        <v>968</v>
      </c>
      <c r="B1627" s="1" t="s">
        <v>968</v>
      </c>
      <c r="C1627" s="1" t="str">
        <f t="shared" si="75"/>
        <v>Tuolumne - Tuolumne</v>
      </c>
      <c r="D1627" s="512">
        <f t="shared" si="76"/>
        <v>5.4333333333333338E-2</v>
      </c>
      <c r="E1627" s="261">
        <f t="shared" si="77"/>
        <v>1.0780000000000001E-2</v>
      </c>
    </row>
    <row r="1628" spans="1:5" ht="12.75" x14ac:dyDescent="0.2">
      <c r="A1628" s="259" t="s">
        <v>2420</v>
      </c>
      <c r="B1628" s="1" t="s">
        <v>935</v>
      </c>
      <c r="C1628" s="1" t="str">
        <f t="shared" si="75"/>
        <v>Tuolumne Meadows - Mariposa</v>
      </c>
      <c r="D1628" s="512">
        <f t="shared" si="76"/>
        <v>5.2833333333333329E-2</v>
      </c>
      <c r="E1628" s="261">
        <f t="shared" si="77"/>
        <v>1.0369999999999999E-2</v>
      </c>
    </row>
    <row r="1629" spans="1:5" ht="12.75" x14ac:dyDescent="0.2">
      <c r="A1629" s="259" t="s">
        <v>2421</v>
      </c>
      <c r="B1629" s="1" t="s">
        <v>884</v>
      </c>
      <c r="C1629" s="1" t="str">
        <f t="shared" si="75"/>
        <v>Tupman - Kern</v>
      </c>
      <c r="D1629" s="512">
        <f t="shared" si="76"/>
        <v>8.9333333333333334E-2</v>
      </c>
      <c r="E1629" s="261">
        <f t="shared" si="77"/>
        <v>1.238E-2</v>
      </c>
    </row>
    <row r="1630" spans="1:5" ht="12.75" x14ac:dyDescent="0.2">
      <c r="A1630" s="259" t="s">
        <v>2422</v>
      </c>
      <c r="B1630" s="1" t="s">
        <v>1124</v>
      </c>
      <c r="C1630" s="1" t="str">
        <f t="shared" si="75"/>
        <v>Turlock - Stanislaus</v>
      </c>
      <c r="D1630" s="512">
        <f t="shared" si="76"/>
        <v>6.9833333333333331E-2</v>
      </c>
      <c r="E1630" s="261">
        <f t="shared" si="77"/>
        <v>1.1080000000000001E-2</v>
      </c>
    </row>
    <row r="1631" spans="1:5" ht="12.75" x14ac:dyDescent="0.2">
      <c r="A1631" s="259" t="s">
        <v>2423</v>
      </c>
      <c r="B1631" s="1" t="s">
        <v>782</v>
      </c>
      <c r="C1631" s="1" t="str">
        <f t="shared" si="75"/>
        <v>Tustin - Orange</v>
      </c>
      <c r="D1631" s="512">
        <f t="shared" si="76"/>
        <v>3.9749999999999994E-2</v>
      </c>
      <c r="E1631" s="261">
        <f t="shared" si="77"/>
        <v>1.0660000000000001E-2</v>
      </c>
    </row>
    <row r="1632" spans="1:5" ht="12.75" x14ac:dyDescent="0.2">
      <c r="A1632" s="259" t="s">
        <v>2424</v>
      </c>
      <c r="B1632" s="1" t="s">
        <v>791</v>
      </c>
      <c r="C1632" s="1" t="str">
        <f t="shared" si="75"/>
        <v>Twain - Plumas</v>
      </c>
      <c r="D1632" s="512">
        <f t="shared" si="76"/>
        <v>7.7250000000000013E-2</v>
      </c>
      <c r="E1632" s="261">
        <f t="shared" si="77"/>
        <v>1.099E-2</v>
      </c>
    </row>
    <row r="1633" spans="1:5" ht="12.75" x14ac:dyDescent="0.2">
      <c r="A1633" s="259" t="s">
        <v>2425</v>
      </c>
      <c r="B1633" s="1" t="s">
        <v>968</v>
      </c>
      <c r="C1633" s="1" t="str">
        <f t="shared" si="75"/>
        <v>Twain Harte - Tuolumne</v>
      </c>
      <c r="D1633" s="512">
        <f t="shared" si="76"/>
        <v>5.4333333333333338E-2</v>
      </c>
      <c r="E1633" s="261">
        <f t="shared" si="77"/>
        <v>1.0780000000000001E-2</v>
      </c>
    </row>
    <row r="1634" spans="1:5" ht="12.75" x14ac:dyDescent="0.2">
      <c r="A1634" s="259" t="s">
        <v>2426</v>
      </c>
      <c r="B1634" s="1" t="s">
        <v>738</v>
      </c>
      <c r="C1634" s="1" t="str">
        <f t="shared" si="75"/>
        <v>Twentynine Palms - San Bernardino</v>
      </c>
      <c r="D1634" s="512">
        <f t="shared" si="76"/>
        <v>5.1583333333333342E-2</v>
      </c>
      <c r="E1634" s="261">
        <f t="shared" si="77"/>
        <v>1.1379999999999999E-2</v>
      </c>
    </row>
    <row r="1635" spans="1:5" ht="12.75" x14ac:dyDescent="0.2">
      <c r="A1635" s="259" t="s">
        <v>2427</v>
      </c>
      <c r="B1635" s="1" t="s">
        <v>762</v>
      </c>
      <c r="C1635" s="1" t="str">
        <f t="shared" si="75"/>
        <v>Twin Bridges - El Dorado</v>
      </c>
      <c r="D1635" s="512">
        <f t="shared" si="76"/>
        <v>4.466666666666666E-2</v>
      </c>
      <c r="E1635" s="261">
        <f t="shared" si="77"/>
        <v>1.0660000000000001E-2</v>
      </c>
    </row>
    <row r="1636" spans="1:5" ht="12.75" x14ac:dyDescent="0.2">
      <c r="A1636" s="259" t="s">
        <v>2428</v>
      </c>
      <c r="B1636" s="1" t="s">
        <v>738</v>
      </c>
      <c r="C1636" s="1" t="str">
        <f t="shared" si="75"/>
        <v>Twin Peaks - San Bernardino</v>
      </c>
      <c r="D1636" s="512">
        <f t="shared" si="76"/>
        <v>5.1583333333333342E-2</v>
      </c>
      <c r="E1636" s="261">
        <f t="shared" si="77"/>
        <v>1.1379999999999999E-2</v>
      </c>
    </row>
    <row r="1637" spans="1:5" ht="12.75" x14ac:dyDescent="0.2">
      <c r="A1637" s="259" t="s">
        <v>2429</v>
      </c>
      <c r="B1637" s="1" t="s">
        <v>748</v>
      </c>
      <c r="C1637" s="1" t="str">
        <f t="shared" si="75"/>
        <v>Two Rock Coast Guard Station - Sonoma</v>
      </c>
      <c r="D1637" s="512">
        <f t="shared" si="76"/>
        <v>4.0583333333333325E-2</v>
      </c>
      <c r="E1637" s="261">
        <f t="shared" si="77"/>
        <v>1.133E-2</v>
      </c>
    </row>
    <row r="1638" spans="1:5" ht="12.75" x14ac:dyDescent="0.2">
      <c r="A1638" s="259" t="s">
        <v>2430</v>
      </c>
      <c r="B1638" s="1" t="s">
        <v>876</v>
      </c>
      <c r="C1638" s="1" t="str">
        <f t="shared" si="75"/>
        <v>U.S.Naval Postgrad School  - Monterey</v>
      </c>
      <c r="D1638" s="512">
        <f t="shared" si="76"/>
        <v>7.425000000000001E-2</v>
      </c>
      <c r="E1638" s="261">
        <f t="shared" si="77"/>
        <v>1.098E-2</v>
      </c>
    </row>
    <row r="1639" spans="1:5" ht="12.75" x14ac:dyDescent="0.2">
      <c r="A1639" s="259" t="s">
        <v>2431</v>
      </c>
      <c r="B1639" s="1" t="s">
        <v>774</v>
      </c>
      <c r="C1639" s="1" t="str">
        <f t="shared" si="75"/>
        <v>Ukiah - Mendocino</v>
      </c>
      <c r="D1639" s="512">
        <f t="shared" si="76"/>
        <v>5.1916666666666667E-2</v>
      </c>
      <c r="E1639" s="261">
        <f t="shared" si="77"/>
        <v>1.1650000000000001E-2</v>
      </c>
    </row>
    <row r="1640" spans="1:5" ht="12.75" x14ac:dyDescent="0.2">
      <c r="A1640" s="259" t="s">
        <v>2432</v>
      </c>
      <c r="B1640" s="1" t="s">
        <v>764</v>
      </c>
      <c r="C1640" s="1" t="str">
        <f t="shared" si="75"/>
        <v>Union City - Alameda</v>
      </c>
      <c r="D1640" s="512">
        <f t="shared" si="76"/>
        <v>4.7E-2</v>
      </c>
      <c r="E1640" s="261">
        <f t="shared" si="77"/>
        <v>1.2430000000000002E-2</v>
      </c>
    </row>
    <row r="1641" spans="1:5" ht="12.75" x14ac:dyDescent="0.2">
      <c r="A1641" s="259" t="s">
        <v>2433</v>
      </c>
      <c r="B1641" s="1" t="s">
        <v>732</v>
      </c>
      <c r="C1641" s="1" t="str">
        <f t="shared" si="75"/>
        <v>Universal City - Los Angeles</v>
      </c>
      <c r="D1641" s="512">
        <f t="shared" si="76"/>
        <v>5.4833333333333331E-2</v>
      </c>
      <c r="E1641" s="261">
        <f t="shared" si="77"/>
        <v>1.1599999999999999E-2</v>
      </c>
    </row>
    <row r="1642" spans="1:5" ht="12.75" x14ac:dyDescent="0.2">
      <c r="A1642" s="259" t="s">
        <v>2434</v>
      </c>
      <c r="B1642" s="1" t="s">
        <v>911</v>
      </c>
      <c r="C1642" s="1" t="str">
        <f t="shared" si="75"/>
        <v>University - Santa Barbara</v>
      </c>
      <c r="D1642" s="512">
        <f t="shared" si="76"/>
        <v>4.5333333333333344E-2</v>
      </c>
      <c r="E1642" s="261">
        <f t="shared" si="77"/>
        <v>1.0740000000000001E-2</v>
      </c>
    </row>
    <row r="1643" spans="1:5" ht="12.75" x14ac:dyDescent="0.2">
      <c r="A1643" s="259" t="s">
        <v>2435</v>
      </c>
      <c r="B1643" s="1" t="s">
        <v>782</v>
      </c>
      <c r="C1643" s="1" t="str">
        <f t="shared" si="75"/>
        <v>University Park  - Orange</v>
      </c>
      <c r="D1643" s="512">
        <f t="shared" si="76"/>
        <v>3.9749999999999994E-2</v>
      </c>
      <c r="E1643" s="261">
        <f t="shared" si="77"/>
        <v>1.0660000000000001E-2</v>
      </c>
    </row>
    <row r="1644" spans="1:5" ht="12.75" x14ac:dyDescent="0.2">
      <c r="A1644" s="259" t="s">
        <v>2436</v>
      </c>
      <c r="B1644" s="1" t="s">
        <v>738</v>
      </c>
      <c r="C1644" s="1" t="str">
        <f t="shared" si="75"/>
        <v>Upland - San Bernardino</v>
      </c>
      <c r="D1644" s="512">
        <f t="shared" si="76"/>
        <v>5.1583333333333342E-2</v>
      </c>
      <c r="E1644" s="261">
        <f t="shared" si="77"/>
        <v>1.1379999999999999E-2</v>
      </c>
    </row>
    <row r="1645" spans="1:5" ht="12.75" x14ac:dyDescent="0.2">
      <c r="A1645" s="259" t="s">
        <v>2437</v>
      </c>
      <c r="B1645" s="1" t="s">
        <v>1154</v>
      </c>
      <c r="C1645" s="1" t="str">
        <f t="shared" si="75"/>
        <v>Upper Lake/ Upper Lake Valley - Lake</v>
      </c>
      <c r="D1645" s="512">
        <f t="shared" si="76"/>
        <v>6.1750000000000006E-2</v>
      </c>
      <c r="E1645" s="261">
        <f t="shared" si="77"/>
        <v>1.1160000000000002E-2</v>
      </c>
    </row>
    <row r="1646" spans="1:5" ht="12.75" x14ac:dyDescent="0.2">
      <c r="A1646" s="259" t="s">
        <v>2438</v>
      </c>
      <c r="B1646" s="1" t="s">
        <v>949</v>
      </c>
      <c r="C1646" s="1" t="str">
        <f t="shared" si="75"/>
        <v>Vacaville - Solano</v>
      </c>
      <c r="D1646" s="512">
        <f t="shared" si="76"/>
        <v>5.1916666666666673E-2</v>
      </c>
      <c r="E1646" s="261">
        <f t="shared" si="77"/>
        <v>1.18E-2</v>
      </c>
    </row>
    <row r="1647" spans="1:5" ht="12.75" x14ac:dyDescent="0.2">
      <c r="A1647" s="259" t="s">
        <v>2439</v>
      </c>
      <c r="B1647" s="1" t="s">
        <v>732</v>
      </c>
      <c r="C1647" s="1" t="str">
        <f t="shared" si="75"/>
        <v>Val Verde Park - Los Angeles</v>
      </c>
      <c r="D1647" s="512">
        <f t="shared" si="76"/>
        <v>5.4833333333333331E-2</v>
      </c>
      <c r="E1647" s="261">
        <f t="shared" si="77"/>
        <v>1.1599999999999999E-2</v>
      </c>
    </row>
    <row r="1648" spans="1:5" ht="12.75" x14ac:dyDescent="0.2">
      <c r="A1648" s="259" t="s">
        <v>2440</v>
      </c>
      <c r="B1648" s="1" t="s">
        <v>732</v>
      </c>
      <c r="C1648" s="1" t="str">
        <f t="shared" si="75"/>
        <v>Valencia  - Los Angeles</v>
      </c>
      <c r="D1648" s="512">
        <f t="shared" si="76"/>
        <v>5.4833333333333331E-2</v>
      </c>
      <c r="E1648" s="261">
        <f t="shared" si="77"/>
        <v>1.1599999999999999E-2</v>
      </c>
    </row>
    <row r="1649" spans="1:5" ht="12.75" x14ac:dyDescent="0.2">
      <c r="A1649" s="259" t="s">
        <v>2441</v>
      </c>
      <c r="B1649" s="1" t="s">
        <v>732</v>
      </c>
      <c r="C1649" s="1" t="str">
        <f t="shared" si="75"/>
        <v>Valinda - Los Angeles</v>
      </c>
      <c r="D1649" s="512">
        <f t="shared" si="76"/>
        <v>5.4833333333333331E-2</v>
      </c>
      <c r="E1649" s="261">
        <f t="shared" si="77"/>
        <v>1.1599999999999999E-2</v>
      </c>
    </row>
    <row r="1650" spans="1:5" ht="12.75" x14ac:dyDescent="0.2">
      <c r="A1650" s="259" t="s">
        <v>2442</v>
      </c>
      <c r="B1650" s="1" t="s">
        <v>810</v>
      </c>
      <c r="C1650" s="1" t="str">
        <f t="shared" si="75"/>
        <v>Vallecito - Calaveras</v>
      </c>
      <c r="D1650" s="512">
        <f t="shared" si="76"/>
        <v>4.7166666666666662E-2</v>
      </c>
      <c r="E1650" s="261">
        <f t="shared" si="77"/>
        <v>1.0920000000000001E-2</v>
      </c>
    </row>
    <row r="1651" spans="1:5" ht="12.75" x14ac:dyDescent="0.2">
      <c r="A1651" s="259" t="s">
        <v>2443</v>
      </c>
      <c r="B1651" s="1" t="s">
        <v>949</v>
      </c>
      <c r="C1651" s="1" t="str">
        <f t="shared" si="75"/>
        <v>Vallejo - Solano</v>
      </c>
      <c r="D1651" s="512">
        <f t="shared" si="76"/>
        <v>5.1916666666666673E-2</v>
      </c>
      <c r="E1651" s="261">
        <f t="shared" si="77"/>
        <v>1.18E-2</v>
      </c>
    </row>
    <row r="1652" spans="1:5" ht="12.75" x14ac:dyDescent="0.2">
      <c r="A1652" s="259" t="s">
        <v>2444</v>
      </c>
      <c r="B1652" s="1" t="s">
        <v>751</v>
      </c>
      <c r="C1652" s="1" t="str">
        <f t="shared" si="75"/>
        <v>Valley Center - San Diego</v>
      </c>
      <c r="D1652" s="512">
        <f t="shared" si="76"/>
        <v>4.4750000000000005E-2</v>
      </c>
      <c r="E1652" s="261">
        <f t="shared" si="77"/>
        <v>1.167E-2</v>
      </c>
    </row>
    <row r="1653" spans="1:5" ht="12.75" x14ac:dyDescent="0.2">
      <c r="A1653" s="259" t="s">
        <v>2445</v>
      </c>
      <c r="B1653" s="1" t="s">
        <v>788</v>
      </c>
      <c r="C1653" s="1" t="str">
        <f t="shared" si="75"/>
        <v>Valley Fair - Santa Clara</v>
      </c>
      <c r="D1653" s="512">
        <f t="shared" si="76"/>
        <v>4.0750000000000001E-2</v>
      </c>
      <c r="E1653" s="261">
        <f t="shared" si="77"/>
        <v>1.2110000000000001E-2</v>
      </c>
    </row>
    <row r="1654" spans="1:5" ht="12.75" x14ac:dyDescent="0.2">
      <c r="A1654" s="259" t="s">
        <v>2446</v>
      </c>
      <c r="B1654" s="1" t="s">
        <v>748</v>
      </c>
      <c r="C1654" s="1" t="str">
        <f t="shared" si="75"/>
        <v>Valley Ford - Sonoma</v>
      </c>
      <c r="D1654" s="512">
        <f t="shared" si="76"/>
        <v>4.0583333333333325E-2</v>
      </c>
      <c r="E1654" s="261">
        <f t="shared" si="77"/>
        <v>1.133E-2</v>
      </c>
    </row>
    <row r="1655" spans="1:5" ht="12.75" x14ac:dyDescent="0.2">
      <c r="A1655" s="259" t="s">
        <v>2447</v>
      </c>
      <c r="B1655" s="1" t="s">
        <v>1124</v>
      </c>
      <c r="C1655" s="1" t="str">
        <f t="shared" si="75"/>
        <v>Valley Home - Stanislaus</v>
      </c>
      <c r="D1655" s="512">
        <f t="shared" si="76"/>
        <v>6.9833333333333331E-2</v>
      </c>
      <c r="E1655" s="261">
        <f t="shared" si="77"/>
        <v>1.1080000000000001E-2</v>
      </c>
    </row>
    <row r="1656" spans="1:5" ht="12.75" x14ac:dyDescent="0.2">
      <c r="A1656" s="259" t="s">
        <v>2448</v>
      </c>
      <c r="B1656" s="1" t="s">
        <v>810</v>
      </c>
      <c r="C1656" s="1" t="str">
        <f t="shared" si="75"/>
        <v>Valley Springs - Calaveras</v>
      </c>
      <c r="D1656" s="512">
        <f t="shared" si="76"/>
        <v>4.7166666666666662E-2</v>
      </c>
      <c r="E1656" s="261">
        <f t="shared" si="77"/>
        <v>1.0920000000000001E-2</v>
      </c>
    </row>
    <row r="1657" spans="1:5" ht="12.75" x14ac:dyDescent="0.2">
      <c r="A1657" s="259" t="s">
        <v>2449</v>
      </c>
      <c r="B1657" s="1" t="s">
        <v>732</v>
      </c>
      <c r="C1657" s="1" t="str">
        <f t="shared" si="75"/>
        <v>Valley Village - Los Angeles</v>
      </c>
      <c r="D1657" s="512">
        <f t="shared" si="76"/>
        <v>5.4833333333333331E-2</v>
      </c>
      <c r="E1657" s="261">
        <f t="shared" si="77"/>
        <v>1.1599999999999999E-2</v>
      </c>
    </row>
    <row r="1658" spans="1:5" ht="12.75" x14ac:dyDescent="0.2">
      <c r="A1658" s="259" t="s">
        <v>2450</v>
      </c>
      <c r="B1658" s="1" t="s">
        <v>732</v>
      </c>
      <c r="C1658" s="1" t="str">
        <f t="shared" si="75"/>
        <v>Valyermo - Los Angeles</v>
      </c>
      <c r="D1658" s="512">
        <f t="shared" si="76"/>
        <v>5.4833333333333331E-2</v>
      </c>
      <c r="E1658" s="261">
        <f t="shared" si="77"/>
        <v>1.1599999999999999E-2</v>
      </c>
    </row>
    <row r="1659" spans="1:5" ht="12.75" x14ac:dyDescent="0.2">
      <c r="A1659" s="259" t="s">
        <v>2451</v>
      </c>
      <c r="B1659" s="1" t="s">
        <v>732</v>
      </c>
      <c r="C1659" s="1" t="str">
        <f t="shared" si="75"/>
        <v>Van Nuys  - Los Angeles</v>
      </c>
      <c r="D1659" s="512">
        <f t="shared" si="76"/>
        <v>5.4833333333333331E-2</v>
      </c>
      <c r="E1659" s="261">
        <f t="shared" si="77"/>
        <v>1.1599999999999999E-2</v>
      </c>
    </row>
    <row r="1660" spans="1:5" ht="12.75" x14ac:dyDescent="0.2">
      <c r="A1660" s="259" t="s">
        <v>2452</v>
      </c>
      <c r="B1660" s="1" t="s">
        <v>911</v>
      </c>
      <c r="C1660" s="1" t="str">
        <f t="shared" si="75"/>
        <v>Vandenberg A.F.B - Santa Barbara</v>
      </c>
      <c r="D1660" s="512">
        <f t="shared" si="76"/>
        <v>4.5333333333333344E-2</v>
      </c>
      <c r="E1660" s="261">
        <f t="shared" si="77"/>
        <v>1.0740000000000001E-2</v>
      </c>
    </row>
    <row r="1661" spans="1:5" ht="12.75" x14ac:dyDescent="0.2">
      <c r="A1661" s="259" t="s">
        <v>2453</v>
      </c>
      <c r="B1661" s="1" t="s">
        <v>732</v>
      </c>
      <c r="C1661" s="1" t="str">
        <f t="shared" si="75"/>
        <v>Vasquez Rocks - Los Angeles</v>
      </c>
      <c r="D1661" s="512">
        <f t="shared" si="76"/>
        <v>5.4833333333333331E-2</v>
      </c>
      <c r="E1661" s="261">
        <f t="shared" si="77"/>
        <v>1.1599999999999999E-2</v>
      </c>
    </row>
    <row r="1662" spans="1:5" ht="12.75" x14ac:dyDescent="0.2">
      <c r="A1662" s="259" t="s">
        <v>2454</v>
      </c>
      <c r="B1662" s="1" t="s">
        <v>732</v>
      </c>
      <c r="C1662" s="1" t="str">
        <f t="shared" si="75"/>
        <v>Venice - Los Angeles</v>
      </c>
      <c r="D1662" s="512">
        <f t="shared" si="76"/>
        <v>5.4833333333333331E-2</v>
      </c>
      <c r="E1662" s="261">
        <f t="shared" si="77"/>
        <v>1.1599999999999999E-2</v>
      </c>
    </row>
    <row r="1663" spans="1:5" ht="12.75" x14ac:dyDescent="0.2">
      <c r="A1663" s="259" t="s">
        <v>2455</v>
      </c>
      <c r="B1663" s="1" t="s">
        <v>911</v>
      </c>
      <c r="C1663" s="1" t="str">
        <f t="shared" si="75"/>
        <v>Ventucopa - Santa Barbara</v>
      </c>
      <c r="D1663" s="512">
        <f t="shared" si="76"/>
        <v>4.5333333333333344E-2</v>
      </c>
      <c r="E1663" s="261">
        <f t="shared" si="77"/>
        <v>1.0740000000000001E-2</v>
      </c>
    </row>
    <row r="1664" spans="1:5" ht="12.75" x14ac:dyDescent="0.2">
      <c r="A1664" s="259" t="s">
        <v>1058</v>
      </c>
      <c r="B1664" s="1" t="s">
        <v>1058</v>
      </c>
      <c r="C1664" s="1" t="str">
        <f t="shared" si="75"/>
        <v>Ventura - Ventura</v>
      </c>
      <c r="D1664" s="512">
        <f t="shared" si="76"/>
        <v>4.7250000000000007E-2</v>
      </c>
      <c r="E1664" s="261">
        <f t="shared" si="77"/>
        <v>1.098E-2</v>
      </c>
    </row>
    <row r="1665" spans="1:5" ht="12.75" x14ac:dyDescent="0.2">
      <c r="A1665" s="259" t="s">
        <v>2456</v>
      </c>
      <c r="B1665" s="1" t="s">
        <v>732</v>
      </c>
      <c r="C1665" s="1" t="str">
        <f t="shared" si="75"/>
        <v>Verdugo City  - Los Angeles</v>
      </c>
      <c r="D1665" s="512">
        <f t="shared" si="76"/>
        <v>5.4833333333333331E-2</v>
      </c>
      <c r="E1665" s="261">
        <f t="shared" si="77"/>
        <v>1.1599999999999999E-2</v>
      </c>
    </row>
    <row r="1666" spans="1:5" ht="12.75" x14ac:dyDescent="0.2">
      <c r="A1666" s="259" t="s">
        <v>2457</v>
      </c>
      <c r="B1666" s="1" t="s">
        <v>729</v>
      </c>
      <c r="C1666" s="1" t="str">
        <f t="shared" si="75"/>
        <v>Vernalis - San Joaquin</v>
      </c>
      <c r="D1666" s="512">
        <f t="shared" si="76"/>
        <v>6.699999999999999E-2</v>
      </c>
      <c r="E1666" s="261">
        <f t="shared" si="77"/>
        <v>1.1299999999999999E-2</v>
      </c>
    </row>
    <row r="1667" spans="1:5" ht="12.75" x14ac:dyDescent="0.2">
      <c r="A1667" s="259" t="s">
        <v>2458</v>
      </c>
      <c r="B1667" s="1" t="s">
        <v>732</v>
      </c>
      <c r="C1667" s="1" t="str">
        <f t="shared" si="75"/>
        <v>Vernon - Los Angeles</v>
      </c>
      <c r="D1667" s="512">
        <f t="shared" si="76"/>
        <v>5.4833333333333331E-2</v>
      </c>
      <c r="E1667" s="261">
        <f t="shared" si="77"/>
        <v>1.1599999999999999E-2</v>
      </c>
    </row>
    <row r="1668" spans="1:5" ht="12.75" x14ac:dyDescent="0.2">
      <c r="A1668" s="259" t="s">
        <v>2459</v>
      </c>
      <c r="B1668" s="1" t="s">
        <v>732</v>
      </c>
      <c r="C1668" s="1" t="str">
        <f t="shared" si="75"/>
        <v>Veteran's Hospital  - Los Angeles</v>
      </c>
      <c r="D1668" s="512">
        <f t="shared" si="76"/>
        <v>5.4833333333333331E-2</v>
      </c>
      <c r="E1668" s="261">
        <f t="shared" si="77"/>
        <v>1.1599999999999999E-2</v>
      </c>
    </row>
    <row r="1669" spans="1:5" ht="12.75" x14ac:dyDescent="0.2">
      <c r="A1669" s="259" t="s">
        <v>2460</v>
      </c>
      <c r="B1669" s="1" t="s">
        <v>729</v>
      </c>
      <c r="C1669" s="1" t="str">
        <f t="shared" si="75"/>
        <v>Victor - San Joaquin</v>
      </c>
      <c r="D1669" s="512">
        <f t="shared" si="76"/>
        <v>6.699999999999999E-2</v>
      </c>
      <c r="E1669" s="261">
        <f t="shared" si="77"/>
        <v>1.1299999999999999E-2</v>
      </c>
    </row>
    <row r="1670" spans="1:5" ht="12.75" x14ac:dyDescent="0.2">
      <c r="A1670" s="259" t="s">
        <v>2461</v>
      </c>
      <c r="B1670" s="1" t="s">
        <v>738</v>
      </c>
      <c r="C1670" s="1" t="str">
        <f t="shared" si="75"/>
        <v>Victorville - San Bernardino</v>
      </c>
      <c r="D1670" s="512">
        <f t="shared" si="76"/>
        <v>5.1583333333333342E-2</v>
      </c>
      <c r="E1670" s="261">
        <f t="shared" si="77"/>
        <v>1.1379999999999999E-2</v>
      </c>
    </row>
    <row r="1671" spans="1:5" ht="12.75" x14ac:dyDescent="0.2">
      <c r="A1671" s="259" t="s">
        <v>2462</v>
      </c>
      <c r="B1671" s="1" t="s">
        <v>738</v>
      </c>
      <c r="C1671" s="1" t="str">
        <f t="shared" si="75"/>
        <v>Vidal - San Bernardino</v>
      </c>
      <c r="D1671" s="512">
        <f t="shared" si="76"/>
        <v>5.1583333333333342E-2</v>
      </c>
      <c r="E1671" s="261">
        <f t="shared" si="77"/>
        <v>1.1379999999999999E-2</v>
      </c>
    </row>
    <row r="1672" spans="1:5" ht="12.75" x14ac:dyDescent="0.2">
      <c r="A1672" s="259" t="s">
        <v>2463</v>
      </c>
      <c r="B1672" s="1" t="s">
        <v>732</v>
      </c>
      <c r="C1672" s="1" t="str">
        <f t="shared" ref="C1672:C1735" si="78">A1672&amp;" - "&amp;B1672</f>
        <v>View Park - Los Angeles</v>
      </c>
      <c r="D1672" s="512">
        <f t="shared" si="76"/>
        <v>5.4833333333333331E-2</v>
      </c>
      <c r="E1672" s="261">
        <f t="shared" si="77"/>
        <v>1.1599999999999999E-2</v>
      </c>
    </row>
    <row r="1673" spans="1:5" ht="12.75" x14ac:dyDescent="0.2">
      <c r="A1673" s="259" t="s">
        <v>2464</v>
      </c>
      <c r="B1673" s="1" t="s">
        <v>748</v>
      </c>
      <c r="C1673" s="1" t="str">
        <f t="shared" si="78"/>
        <v>Villa Grande - Sonoma</v>
      </c>
      <c r="D1673" s="512">
        <f t="shared" ref="D1673:D1736" si="79">VLOOKUP(B1673,unemployment_rates,2, FALSE)</f>
        <v>4.0583333333333325E-2</v>
      </c>
      <c r="E1673" s="261">
        <f t="shared" ref="E1673:E1736" si="80">VLOOKUP(B1673,Prop_Tax_Rates,2,FALSE)</f>
        <v>1.133E-2</v>
      </c>
    </row>
    <row r="1674" spans="1:5" ht="12.75" x14ac:dyDescent="0.2">
      <c r="A1674" s="259" t="s">
        <v>2465</v>
      </c>
      <c r="B1674" s="1" t="s">
        <v>782</v>
      </c>
      <c r="C1674" s="1" t="str">
        <f t="shared" si="78"/>
        <v>Villa Park - Orange</v>
      </c>
      <c r="D1674" s="512">
        <f t="shared" si="79"/>
        <v>3.9749999999999994E-2</v>
      </c>
      <c r="E1674" s="261">
        <f t="shared" si="80"/>
        <v>1.0660000000000001E-2</v>
      </c>
    </row>
    <row r="1675" spans="1:5" ht="12.75" x14ac:dyDescent="0.2">
      <c r="A1675" s="259" t="s">
        <v>2466</v>
      </c>
      <c r="B1675" s="1" t="s">
        <v>1188</v>
      </c>
      <c r="C1675" s="1" t="str">
        <f t="shared" si="78"/>
        <v>Vina - Tehama</v>
      </c>
      <c r="D1675" s="512">
        <f t="shared" si="79"/>
        <v>6.3083333333333325E-2</v>
      </c>
      <c r="E1675" s="261">
        <f t="shared" si="80"/>
        <v>1.057E-2</v>
      </c>
    </row>
    <row r="1676" spans="1:5" ht="12.75" x14ac:dyDescent="0.2">
      <c r="A1676" s="259" t="s">
        <v>2467</v>
      </c>
      <c r="B1676" s="1" t="s">
        <v>732</v>
      </c>
      <c r="C1676" s="1" t="str">
        <f t="shared" si="78"/>
        <v>Vincent - Los Angeles</v>
      </c>
      <c r="D1676" s="512">
        <f t="shared" si="79"/>
        <v>5.4833333333333331E-2</v>
      </c>
      <c r="E1676" s="261">
        <f t="shared" si="80"/>
        <v>1.1599999999999999E-2</v>
      </c>
    </row>
    <row r="1677" spans="1:5" ht="12.75" x14ac:dyDescent="0.2">
      <c r="A1677" s="259" t="s">
        <v>2468</v>
      </c>
      <c r="B1677" s="1" t="s">
        <v>748</v>
      </c>
      <c r="C1677" s="1" t="str">
        <f t="shared" si="78"/>
        <v>Vineburg - Sonoma</v>
      </c>
      <c r="D1677" s="512">
        <f t="shared" si="79"/>
        <v>4.0583333333333325E-2</v>
      </c>
      <c r="E1677" s="261">
        <f t="shared" si="80"/>
        <v>1.133E-2</v>
      </c>
    </row>
    <row r="1678" spans="1:5" ht="12.75" x14ac:dyDescent="0.2">
      <c r="A1678" s="259" t="s">
        <v>2469</v>
      </c>
      <c r="B1678" s="1" t="s">
        <v>791</v>
      </c>
      <c r="C1678" s="1" t="str">
        <f t="shared" si="78"/>
        <v>Vinton - Plumas</v>
      </c>
      <c r="D1678" s="512">
        <f t="shared" si="79"/>
        <v>7.7250000000000013E-2</v>
      </c>
      <c r="E1678" s="261">
        <f t="shared" si="80"/>
        <v>1.099E-2</v>
      </c>
    </row>
    <row r="1679" spans="1:5" ht="12.75" x14ac:dyDescent="0.2">
      <c r="A1679" s="259" t="s">
        <v>2470</v>
      </c>
      <c r="B1679" s="1" t="s">
        <v>791</v>
      </c>
      <c r="C1679" s="1" t="str">
        <f t="shared" si="78"/>
        <v>Virgilia - Plumas</v>
      </c>
      <c r="D1679" s="512">
        <f t="shared" si="79"/>
        <v>7.7250000000000013E-2</v>
      </c>
      <c r="E1679" s="261">
        <f t="shared" si="80"/>
        <v>1.099E-2</v>
      </c>
    </row>
    <row r="1680" spans="1:5" ht="12.75" x14ac:dyDescent="0.2">
      <c r="A1680" s="259" t="s">
        <v>2471</v>
      </c>
      <c r="B1680" s="1" t="s">
        <v>798</v>
      </c>
      <c r="C1680" s="1" t="str">
        <f t="shared" si="78"/>
        <v>Visalia - Tulare</v>
      </c>
      <c r="D1680" s="512">
        <f t="shared" si="79"/>
        <v>0.10691666666666669</v>
      </c>
      <c r="E1680" s="261">
        <f t="shared" si="80"/>
        <v>1.0869999999999999E-2</v>
      </c>
    </row>
    <row r="1681" spans="1:5" ht="12.75" x14ac:dyDescent="0.2">
      <c r="A1681" s="259" t="s">
        <v>2472</v>
      </c>
      <c r="B1681" s="1" t="s">
        <v>751</v>
      </c>
      <c r="C1681" s="1" t="str">
        <f t="shared" si="78"/>
        <v>Vista - San Diego</v>
      </c>
      <c r="D1681" s="512">
        <f t="shared" si="79"/>
        <v>4.4750000000000005E-2</v>
      </c>
      <c r="E1681" s="261">
        <f t="shared" si="80"/>
        <v>1.167E-2</v>
      </c>
    </row>
    <row r="1682" spans="1:5" ht="12.75" x14ac:dyDescent="0.2">
      <c r="A1682" s="259" t="s">
        <v>2473</v>
      </c>
      <c r="B1682" s="1" t="s">
        <v>884</v>
      </c>
      <c r="C1682" s="1" t="str">
        <f t="shared" si="78"/>
        <v>Vista Park - Kern</v>
      </c>
      <c r="D1682" s="512">
        <f t="shared" si="79"/>
        <v>8.9333333333333334E-2</v>
      </c>
      <c r="E1682" s="261">
        <f t="shared" si="80"/>
        <v>1.238E-2</v>
      </c>
    </row>
    <row r="1683" spans="1:5" ht="12.75" x14ac:dyDescent="0.2">
      <c r="A1683" s="259" t="s">
        <v>2474</v>
      </c>
      <c r="B1683" s="1" t="s">
        <v>819</v>
      </c>
      <c r="C1683" s="1" t="str">
        <f t="shared" si="78"/>
        <v>Volcano - Amador</v>
      </c>
      <c r="D1683" s="512">
        <f t="shared" si="79"/>
        <v>5.3500000000000006E-2</v>
      </c>
      <c r="E1683" s="261">
        <f t="shared" si="80"/>
        <v>1.014E-2</v>
      </c>
    </row>
    <row r="1684" spans="1:5" ht="12.75" x14ac:dyDescent="0.2">
      <c r="A1684" s="259" t="s">
        <v>2475</v>
      </c>
      <c r="B1684" s="1" t="s">
        <v>892</v>
      </c>
      <c r="C1684" s="1" t="str">
        <f t="shared" si="78"/>
        <v>Volta - Merced</v>
      </c>
      <c r="D1684" s="512">
        <f t="shared" si="79"/>
        <v>9.6416666666666678E-2</v>
      </c>
      <c r="E1684" s="261">
        <f t="shared" si="80"/>
        <v>1.0829999999999999E-2</v>
      </c>
    </row>
    <row r="1685" spans="1:5" ht="12.75" x14ac:dyDescent="0.2">
      <c r="A1685" s="259" t="s">
        <v>2476</v>
      </c>
      <c r="B1685" s="1" t="s">
        <v>810</v>
      </c>
      <c r="C1685" s="1" t="str">
        <f t="shared" si="78"/>
        <v>Wallace - Calaveras</v>
      </c>
      <c r="D1685" s="512">
        <f t="shared" si="79"/>
        <v>4.7166666666666662E-2</v>
      </c>
      <c r="E1685" s="261">
        <f t="shared" si="80"/>
        <v>1.0920000000000001E-2</v>
      </c>
    </row>
    <row r="1686" spans="1:5" ht="12.75" x14ac:dyDescent="0.2">
      <c r="A1686" s="259" t="s">
        <v>2477</v>
      </c>
      <c r="B1686" s="1" t="s">
        <v>732</v>
      </c>
      <c r="C1686" s="1" t="str">
        <f t="shared" si="78"/>
        <v>Walnut - Los Angeles</v>
      </c>
      <c r="D1686" s="512">
        <f t="shared" si="79"/>
        <v>5.4833333333333331E-2</v>
      </c>
      <c r="E1686" s="261">
        <f t="shared" si="80"/>
        <v>1.1599999999999999E-2</v>
      </c>
    </row>
    <row r="1687" spans="1:5" ht="12.75" x14ac:dyDescent="0.2">
      <c r="A1687" s="259" t="s">
        <v>2478</v>
      </c>
      <c r="B1687" s="1" t="s">
        <v>767</v>
      </c>
      <c r="C1687" s="1" t="str">
        <f t="shared" si="78"/>
        <v>Walnut Creek - Contra Costa</v>
      </c>
      <c r="D1687" s="512">
        <f t="shared" si="79"/>
        <v>4.7250000000000007E-2</v>
      </c>
      <c r="E1687" s="261">
        <f t="shared" si="80"/>
        <v>1.163E-2</v>
      </c>
    </row>
    <row r="1688" spans="1:5" ht="12.75" x14ac:dyDescent="0.2">
      <c r="A1688" s="259" t="s">
        <v>2479</v>
      </c>
      <c r="B1688" s="1" t="s">
        <v>843</v>
      </c>
      <c r="C1688" s="1" t="str">
        <f t="shared" si="78"/>
        <v>Walnut Grove - Sacramento</v>
      </c>
      <c r="D1688" s="512">
        <f t="shared" si="79"/>
        <v>4.8833333333333326E-2</v>
      </c>
      <c r="E1688" s="261">
        <f t="shared" si="80"/>
        <v>1.1519999999999999E-2</v>
      </c>
    </row>
    <row r="1689" spans="1:5" ht="12.75" x14ac:dyDescent="0.2">
      <c r="A1689" s="259" t="s">
        <v>2480</v>
      </c>
      <c r="B1689" s="1" t="s">
        <v>732</v>
      </c>
      <c r="C1689" s="1" t="str">
        <f t="shared" si="78"/>
        <v>Walnut Park - Los Angeles</v>
      </c>
      <c r="D1689" s="512">
        <f t="shared" si="79"/>
        <v>5.4833333333333331E-2</v>
      </c>
      <c r="E1689" s="261">
        <f t="shared" si="80"/>
        <v>1.1599999999999999E-2</v>
      </c>
    </row>
    <row r="1690" spans="1:5" ht="12.75" x14ac:dyDescent="0.2">
      <c r="A1690" s="259" t="s">
        <v>2481</v>
      </c>
      <c r="B1690" s="1" t="s">
        <v>764</v>
      </c>
      <c r="C1690" s="1" t="str">
        <f t="shared" si="78"/>
        <v>Warm Springs  - Alameda</v>
      </c>
      <c r="D1690" s="512">
        <f t="shared" si="79"/>
        <v>4.7E-2</v>
      </c>
      <c r="E1690" s="261">
        <f t="shared" si="80"/>
        <v>1.2430000000000002E-2</v>
      </c>
    </row>
    <row r="1691" spans="1:5" ht="12.75" x14ac:dyDescent="0.2">
      <c r="A1691" s="259" t="s">
        <v>2482</v>
      </c>
      <c r="B1691" s="1" t="s">
        <v>751</v>
      </c>
      <c r="C1691" s="1" t="str">
        <f t="shared" si="78"/>
        <v>Warner Springs - San Diego</v>
      </c>
      <c r="D1691" s="512">
        <f t="shared" si="79"/>
        <v>4.4750000000000005E-2</v>
      </c>
      <c r="E1691" s="261">
        <f t="shared" si="80"/>
        <v>1.167E-2</v>
      </c>
    </row>
    <row r="1692" spans="1:5" ht="12.75" x14ac:dyDescent="0.2">
      <c r="A1692" s="259" t="s">
        <v>2483</v>
      </c>
      <c r="B1692" s="1" t="s">
        <v>884</v>
      </c>
      <c r="C1692" s="1" t="str">
        <f t="shared" si="78"/>
        <v>Wasco - Kern</v>
      </c>
      <c r="D1692" s="512">
        <f t="shared" si="79"/>
        <v>8.9333333333333334E-2</v>
      </c>
      <c r="E1692" s="261">
        <f t="shared" si="80"/>
        <v>1.238E-2</v>
      </c>
    </row>
    <row r="1693" spans="1:5" ht="12.75" x14ac:dyDescent="0.2">
      <c r="A1693" s="259" t="s">
        <v>2484</v>
      </c>
      <c r="B1693" s="1" t="s">
        <v>1124</v>
      </c>
      <c r="C1693" s="1" t="str">
        <f t="shared" si="78"/>
        <v>Waterford - Stanislaus</v>
      </c>
      <c r="D1693" s="512">
        <f t="shared" si="79"/>
        <v>6.9833333333333331E-2</v>
      </c>
      <c r="E1693" s="261">
        <f t="shared" si="80"/>
        <v>1.1080000000000001E-2</v>
      </c>
    </row>
    <row r="1694" spans="1:5" ht="12.75" x14ac:dyDescent="0.2">
      <c r="A1694" s="259" t="s">
        <v>2485</v>
      </c>
      <c r="B1694" s="1" t="s">
        <v>856</v>
      </c>
      <c r="C1694" s="1" t="str">
        <f t="shared" si="78"/>
        <v>Watsonville - Santa Cruz</v>
      </c>
      <c r="D1694" s="512">
        <f t="shared" si="79"/>
        <v>6.2416666666666669E-2</v>
      </c>
      <c r="E1694" s="261">
        <f t="shared" si="80"/>
        <v>1.106E-2</v>
      </c>
    </row>
    <row r="1695" spans="1:5" ht="12.75" x14ac:dyDescent="0.2">
      <c r="A1695" s="259" t="s">
        <v>2486</v>
      </c>
      <c r="B1695" s="1" t="s">
        <v>732</v>
      </c>
      <c r="C1695" s="1" t="str">
        <f t="shared" si="78"/>
        <v>Watts - Los Angeles</v>
      </c>
      <c r="D1695" s="512">
        <f t="shared" si="79"/>
        <v>5.4833333333333331E-2</v>
      </c>
      <c r="E1695" s="261">
        <f t="shared" si="80"/>
        <v>1.1599999999999999E-2</v>
      </c>
    </row>
    <row r="1696" spans="1:5" ht="12.75" x14ac:dyDescent="0.2">
      <c r="A1696" s="259" t="s">
        <v>2487</v>
      </c>
      <c r="B1696" s="1" t="s">
        <v>798</v>
      </c>
      <c r="C1696" s="1" t="str">
        <f t="shared" si="78"/>
        <v>Waukena - Tulare</v>
      </c>
      <c r="D1696" s="512">
        <f t="shared" si="79"/>
        <v>0.10691666666666669</v>
      </c>
      <c r="E1696" s="261">
        <f t="shared" si="80"/>
        <v>1.0869999999999999E-2</v>
      </c>
    </row>
    <row r="1697" spans="1:5" ht="12.75" x14ac:dyDescent="0.2">
      <c r="A1697" s="259" t="s">
        <v>2488</v>
      </c>
      <c r="B1697" s="1" t="s">
        <v>935</v>
      </c>
      <c r="C1697" s="1" t="str">
        <f t="shared" si="78"/>
        <v>Wawona - Mariposa</v>
      </c>
      <c r="D1697" s="512">
        <f t="shared" si="79"/>
        <v>5.2833333333333329E-2</v>
      </c>
      <c r="E1697" s="261">
        <f t="shared" si="80"/>
        <v>1.0369999999999999E-2</v>
      </c>
    </row>
    <row r="1698" spans="1:5" ht="12.75" x14ac:dyDescent="0.2">
      <c r="A1698" s="259" t="s">
        <v>2489</v>
      </c>
      <c r="B1698" s="1" t="s">
        <v>961</v>
      </c>
      <c r="C1698" s="1" t="str">
        <f t="shared" si="78"/>
        <v>Weaverville - Trinity</v>
      </c>
      <c r="D1698" s="512">
        <f t="shared" si="79"/>
        <v>5.916666666666668E-2</v>
      </c>
      <c r="E1698" s="261">
        <f t="shared" si="80"/>
        <v>1.043E-2</v>
      </c>
    </row>
    <row r="1699" spans="1:5" ht="12.75" x14ac:dyDescent="0.2">
      <c r="A1699" s="259" t="s">
        <v>2490</v>
      </c>
      <c r="B1699" s="1" t="s">
        <v>1053</v>
      </c>
      <c r="C1699" s="1" t="str">
        <f t="shared" si="78"/>
        <v>Weed - Siskiyou</v>
      </c>
      <c r="D1699" s="512">
        <f t="shared" si="79"/>
        <v>6.883333333333333E-2</v>
      </c>
      <c r="E1699" s="261">
        <f t="shared" si="80"/>
        <v>1.0460000000000001E-2</v>
      </c>
    </row>
    <row r="1700" spans="1:5" ht="12.75" x14ac:dyDescent="0.2">
      <c r="A1700" s="259" t="s">
        <v>2491</v>
      </c>
      <c r="B1700" s="1" t="s">
        <v>803</v>
      </c>
      <c r="C1700" s="1" t="str">
        <f t="shared" si="78"/>
        <v>Weimar - Placer</v>
      </c>
      <c r="D1700" s="512">
        <f t="shared" si="79"/>
        <v>4.1833333333333347E-2</v>
      </c>
      <c r="E1700" s="261">
        <f t="shared" si="80"/>
        <v>1.0880000000000001E-2</v>
      </c>
    </row>
    <row r="1701" spans="1:5" ht="12.75" x14ac:dyDescent="0.2">
      <c r="A1701" s="259" t="s">
        <v>2492</v>
      </c>
      <c r="B1701" s="1" t="s">
        <v>884</v>
      </c>
      <c r="C1701" s="1" t="str">
        <f t="shared" si="78"/>
        <v>Weldon - Kern</v>
      </c>
      <c r="D1701" s="512">
        <f t="shared" si="79"/>
        <v>8.9333333333333334E-2</v>
      </c>
      <c r="E1701" s="261">
        <f t="shared" si="80"/>
        <v>1.238E-2</v>
      </c>
    </row>
    <row r="1702" spans="1:5" ht="12.75" x14ac:dyDescent="0.2">
      <c r="A1702" s="259" t="s">
        <v>2493</v>
      </c>
      <c r="B1702" s="1" t="s">
        <v>959</v>
      </c>
      <c r="C1702" s="1" t="str">
        <f t="shared" si="78"/>
        <v>Wendel - Lassen</v>
      </c>
      <c r="D1702" s="512">
        <f t="shared" si="79"/>
        <v>5.8083333333333327E-2</v>
      </c>
      <c r="E1702" s="261">
        <f t="shared" si="80"/>
        <v>1.018E-2</v>
      </c>
    </row>
    <row r="1703" spans="1:5" ht="12.75" x14ac:dyDescent="0.2">
      <c r="A1703" s="259" t="s">
        <v>2494</v>
      </c>
      <c r="B1703" s="1" t="s">
        <v>777</v>
      </c>
      <c r="C1703" s="1" t="str">
        <f t="shared" si="78"/>
        <v>Weott - Humboldt</v>
      </c>
      <c r="D1703" s="512">
        <f t="shared" si="79"/>
        <v>5.1583333333333321E-2</v>
      </c>
      <c r="E1703" s="261">
        <f t="shared" si="80"/>
        <v>1.115E-2</v>
      </c>
    </row>
    <row r="1704" spans="1:5" ht="12.75" x14ac:dyDescent="0.2">
      <c r="A1704" s="259" t="s">
        <v>2495</v>
      </c>
      <c r="B1704" s="1" t="s">
        <v>732</v>
      </c>
      <c r="C1704" s="1" t="str">
        <f t="shared" si="78"/>
        <v>West Covina - Los Angeles</v>
      </c>
      <c r="D1704" s="512">
        <f t="shared" si="79"/>
        <v>5.4833333333333331E-2</v>
      </c>
      <c r="E1704" s="261">
        <f t="shared" si="80"/>
        <v>1.1599999999999999E-2</v>
      </c>
    </row>
    <row r="1705" spans="1:5" ht="12.75" x14ac:dyDescent="0.2">
      <c r="A1705" s="259" t="s">
        <v>2496</v>
      </c>
      <c r="B1705" s="1" t="s">
        <v>732</v>
      </c>
      <c r="C1705" s="1" t="str">
        <f t="shared" si="78"/>
        <v>West Hills - Los Angeles</v>
      </c>
      <c r="D1705" s="512">
        <f t="shared" si="79"/>
        <v>5.4833333333333331E-2</v>
      </c>
      <c r="E1705" s="261">
        <f t="shared" si="80"/>
        <v>1.1599999999999999E-2</v>
      </c>
    </row>
    <row r="1706" spans="1:5" ht="12.75" x14ac:dyDescent="0.2">
      <c r="A1706" s="259" t="s">
        <v>2497</v>
      </c>
      <c r="B1706" s="1" t="s">
        <v>732</v>
      </c>
      <c r="C1706" s="1" t="str">
        <f t="shared" si="78"/>
        <v>West Hollywood - Los Angeles</v>
      </c>
      <c r="D1706" s="512">
        <f t="shared" si="79"/>
        <v>5.4833333333333331E-2</v>
      </c>
      <c r="E1706" s="261">
        <f t="shared" si="80"/>
        <v>1.1599999999999999E-2</v>
      </c>
    </row>
    <row r="1707" spans="1:5" ht="12.75" x14ac:dyDescent="0.2">
      <c r="A1707" s="259" t="s">
        <v>2498</v>
      </c>
      <c r="B1707" s="1" t="s">
        <v>732</v>
      </c>
      <c r="C1707" s="1" t="str">
        <f t="shared" si="78"/>
        <v>West Los Angeles - Los Angeles</v>
      </c>
      <c r="D1707" s="512">
        <f t="shared" si="79"/>
        <v>5.4833333333333331E-2</v>
      </c>
      <c r="E1707" s="261">
        <f t="shared" si="80"/>
        <v>1.1599999999999999E-2</v>
      </c>
    </row>
    <row r="1708" spans="1:5" ht="12.75" x14ac:dyDescent="0.2">
      <c r="A1708" s="259" t="s">
        <v>2499</v>
      </c>
      <c r="B1708" s="1" t="s">
        <v>767</v>
      </c>
      <c r="C1708" s="1" t="str">
        <f t="shared" si="78"/>
        <v>West Pittsburg - Contra Costa</v>
      </c>
      <c r="D1708" s="512">
        <f t="shared" si="79"/>
        <v>4.7250000000000007E-2</v>
      </c>
      <c r="E1708" s="261">
        <f t="shared" si="80"/>
        <v>1.163E-2</v>
      </c>
    </row>
    <row r="1709" spans="1:5" ht="12.75" x14ac:dyDescent="0.2">
      <c r="A1709" s="259" t="s">
        <v>2500</v>
      </c>
      <c r="B1709" s="1" t="s">
        <v>810</v>
      </c>
      <c r="C1709" s="1" t="str">
        <f t="shared" si="78"/>
        <v>West Point - Calaveras</v>
      </c>
      <c r="D1709" s="512">
        <f t="shared" si="79"/>
        <v>4.7166666666666662E-2</v>
      </c>
      <c r="E1709" s="261">
        <f t="shared" si="80"/>
        <v>1.0920000000000001E-2</v>
      </c>
    </row>
    <row r="1710" spans="1:5" ht="12.75" x14ac:dyDescent="0.2">
      <c r="A1710" s="259" t="s">
        <v>2501</v>
      </c>
      <c r="B1710" s="1" t="s">
        <v>1018</v>
      </c>
      <c r="C1710" s="1" t="str">
        <f t="shared" si="78"/>
        <v>West Sacramento - Yolo</v>
      </c>
      <c r="D1710" s="512">
        <f t="shared" si="79"/>
        <v>5.2666666666666667E-2</v>
      </c>
      <c r="E1710" s="261">
        <f t="shared" si="80"/>
        <v>1.11E-2</v>
      </c>
    </row>
    <row r="1711" spans="1:5" ht="12.75" x14ac:dyDescent="0.2">
      <c r="A1711" s="259" t="s">
        <v>2502</v>
      </c>
      <c r="B1711" s="1" t="s">
        <v>732</v>
      </c>
      <c r="C1711" s="1" t="str">
        <f t="shared" si="78"/>
        <v>Westchester  - Los Angeles</v>
      </c>
      <c r="D1711" s="512">
        <f t="shared" si="79"/>
        <v>5.4833333333333331E-2</v>
      </c>
      <c r="E1711" s="261">
        <f t="shared" si="80"/>
        <v>1.1599999999999999E-2</v>
      </c>
    </row>
    <row r="1712" spans="1:5" ht="12.75" x14ac:dyDescent="0.2">
      <c r="A1712" s="259" t="s">
        <v>2503</v>
      </c>
      <c r="B1712" s="1" t="s">
        <v>738</v>
      </c>
      <c r="C1712" s="1" t="str">
        <f t="shared" si="78"/>
        <v>Westend - San Bernardino</v>
      </c>
      <c r="D1712" s="512">
        <f t="shared" si="79"/>
        <v>5.1583333333333342E-2</v>
      </c>
      <c r="E1712" s="261">
        <f t="shared" si="80"/>
        <v>1.1379999999999999E-2</v>
      </c>
    </row>
    <row r="1713" spans="1:5" ht="12.75" x14ac:dyDescent="0.2">
      <c r="A1713" s="259" t="s">
        <v>2504</v>
      </c>
      <c r="B1713" s="1" t="s">
        <v>777</v>
      </c>
      <c r="C1713" s="1" t="str">
        <f t="shared" si="78"/>
        <v>Westhaven - Humboldt</v>
      </c>
      <c r="D1713" s="512">
        <f t="shared" si="79"/>
        <v>5.1583333333333321E-2</v>
      </c>
      <c r="E1713" s="261">
        <f t="shared" si="80"/>
        <v>1.115E-2</v>
      </c>
    </row>
    <row r="1714" spans="1:5" ht="12.75" x14ac:dyDescent="0.2">
      <c r="A1714" s="259" t="s">
        <v>2505</v>
      </c>
      <c r="B1714" s="1" t="s">
        <v>732</v>
      </c>
      <c r="C1714" s="1" t="str">
        <f t="shared" si="78"/>
        <v>Westlake - Los Angeles</v>
      </c>
      <c r="D1714" s="512">
        <f t="shared" si="79"/>
        <v>5.4833333333333331E-2</v>
      </c>
      <c r="E1714" s="261">
        <f t="shared" si="80"/>
        <v>1.1599999999999999E-2</v>
      </c>
    </row>
    <row r="1715" spans="1:5" ht="12.75" x14ac:dyDescent="0.2">
      <c r="A1715" s="259" t="s">
        <v>2506</v>
      </c>
      <c r="B1715" s="1" t="s">
        <v>1058</v>
      </c>
      <c r="C1715" s="1" t="str">
        <f t="shared" si="78"/>
        <v>Westlake Village  - Ventura</v>
      </c>
      <c r="D1715" s="512">
        <f t="shared" si="79"/>
        <v>4.7250000000000007E-2</v>
      </c>
      <c r="E1715" s="261">
        <f t="shared" si="80"/>
        <v>1.098E-2</v>
      </c>
    </row>
    <row r="1716" spans="1:5" ht="12.75" x14ac:dyDescent="0.2">
      <c r="A1716" s="259" t="s">
        <v>2507</v>
      </c>
      <c r="B1716" s="1" t="s">
        <v>732</v>
      </c>
      <c r="C1716" s="1" t="str">
        <f t="shared" si="78"/>
        <v>Westlake Village - Los Angeles</v>
      </c>
      <c r="D1716" s="512">
        <f t="shared" si="79"/>
        <v>5.4833333333333331E-2</v>
      </c>
      <c r="E1716" s="261">
        <f t="shared" si="80"/>
        <v>1.1599999999999999E-2</v>
      </c>
    </row>
    <row r="1717" spans="1:5" ht="12.75" x14ac:dyDescent="0.2">
      <c r="A1717" s="259" t="s">
        <v>2508</v>
      </c>
      <c r="B1717" s="1" t="s">
        <v>1124</v>
      </c>
      <c r="C1717" s="1" t="str">
        <f t="shared" si="78"/>
        <v>Westley - Stanislaus</v>
      </c>
      <c r="D1717" s="512">
        <f t="shared" si="79"/>
        <v>6.9833333333333331E-2</v>
      </c>
      <c r="E1717" s="261">
        <f t="shared" si="80"/>
        <v>1.1080000000000001E-2</v>
      </c>
    </row>
    <row r="1718" spans="1:5" ht="12.75" x14ac:dyDescent="0.2">
      <c r="A1718" s="259" t="s">
        <v>2509</v>
      </c>
      <c r="B1718" s="1" t="s">
        <v>782</v>
      </c>
      <c r="C1718" s="1" t="str">
        <f t="shared" si="78"/>
        <v>Westminster - Orange</v>
      </c>
      <c r="D1718" s="512">
        <f t="shared" si="79"/>
        <v>3.9749999999999994E-2</v>
      </c>
      <c r="E1718" s="261">
        <f t="shared" si="80"/>
        <v>1.0660000000000001E-2</v>
      </c>
    </row>
    <row r="1719" spans="1:5" ht="12.75" x14ac:dyDescent="0.2">
      <c r="A1719" s="259" t="s">
        <v>2510</v>
      </c>
      <c r="B1719" s="1" t="s">
        <v>919</v>
      </c>
      <c r="C1719" s="1" t="str">
        <f t="shared" si="78"/>
        <v>Westmorland - Imperial</v>
      </c>
      <c r="D1719" s="512">
        <f t="shared" si="79"/>
        <v>0.17949999999999999</v>
      </c>
      <c r="E1719" s="261">
        <f t="shared" si="80"/>
        <v>1.206E-2</v>
      </c>
    </row>
    <row r="1720" spans="1:5" ht="12.75" x14ac:dyDescent="0.2">
      <c r="A1720" s="259" t="s">
        <v>2511</v>
      </c>
      <c r="B1720" s="1" t="s">
        <v>774</v>
      </c>
      <c r="C1720" s="1" t="str">
        <f t="shared" si="78"/>
        <v>Westport - Mendocino</v>
      </c>
      <c r="D1720" s="512">
        <f t="shared" si="79"/>
        <v>5.1916666666666667E-2</v>
      </c>
      <c r="E1720" s="261">
        <f t="shared" si="80"/>
        <v>1.1650000000000001E-2</v>
      </c>
    </row>
    <row r="1721" spans="1:5" ht="12.75" x14ac:dyDescent="0.2">
      <c r="A1721" s="259" t="s">
        <v>2512</v>
      </c>
      <c r="B1721" s="1" t="s">
        <v>1124</v>
      </c>
      <c r="C1721" s="1" t="str">
        <f t="shared" si="78"/>
        <v>Westside - Stanislaus</v>
      </c>
      <c r="D1721" s="512">
        <f t="shared" si="79"/>
        <v>6.9833333333333331E-2</v>
      </c>
      <c r="E1721" s="261">
        <f t="shared" si="80"/>
        <v>1.1080000000000001E-2</v>
      </c>
    </row>
    <row r="1722" spans="1:5" ht="12.75" x14ac:dyDescent="0.2">
      <c r="A1722" s="259" t="s">
        <v>2513</v>
      </c>
      <c r="B1722" s="1" t="s">
        <v>732</v>
      </c>
      <c r="C1722" s="1" t="str">
        <f t="shared" si="78"/>
        <v>Westwood  - Los Angeles</v>
      </c>
      <c r="D1722" s="512">
        <f t="shared" si="79"/>
        <v>5.4833333333333331E-2</v>
      </c>
      <c r="E1722" s="261">
        <f t="shared" si="80"/>
        <v>1.1599999999999999E-2</v>
      </c>
    </row>
    <row r="1723" spans="1:5" ht="12.75" x14ac:dyDescent="0.2">
      <c r="A1723" s="259" t="s">
        <v>2514</v>
      </c>
      <c r="B1723" s="1" t="s">
        <v>959</v>
      </c>
      <c r="C1723" s="1" t="str">
        <f t="shared" si="78"/>
        <v>Westwood - Lassen</v>
      </c>
      <c r="D1723" s="512">
        <f t="shared" si="79"/>
        <v>5.8083333333333327E-2</v>
      </c>
      <c r="E1723" s="261">
        <f t="shared" si="80"/>
        <v>1.018E-2</v>
      </c>
    </row>
    <row r="1724" spans="1:5" ht="12.75" x14ac:dyDescent="0.2">
      <c r="A1724" s="259" t="s">
        <v>2515</v>
      </c>
      <c r="B1724" s="1" t="s">
        <v>932</v>
      </c>
      <c r="C1724" s="1" t="str">
        <f t="shared" si="78"/>
        <v>Wheatland - Yuba</v>
      </c>
      <c r="D1724" s="512">
        <f t="shared" si="79"/>
        <v>7.2416666666666657E-2</v>
      </c>
      <c r="E1724" s="261">
        <f t="shared" si="80"/>
        <v>1.102E-2</v>
      </c>
    </row>
    <row r="1725" spans="1:5" ht="12.75" x14ac:dyDescent="0.2">
      <c r="A1725" s="259" t="s">
        <v>2516</v>
      </c>
      <c r="B1725" s="1" t="s">
        <v>884</v>
      </c>
      <c r="C1725" s="1" t="str">
        <f t="shared" si="78"/>
        <v>Wheeler Ridge - Kern</v>
      </c>
      <c r="D1725" s="512">
        <f t="shared" si="79"/>
        <v>8.9333333333333334E-2</v>
      </c>
      <c r="E1725" s="261">
        <f t="shared" si="80"/>
        <v>1.238E-2</v>
      </c>
    </row>
    <row r="1726" spans="1:5" ht="12.75" x14ac:dyDescent="0.2">
      <c r="A1726" s="259" t="s">
        <v>2517</v>
      </c>
      <c r="B1726" s="1" t="s">
        <v>832</v>
      </c>
      <c r="C1726" s="1" t="str">
        <f t="shared" si="78"/>
        <v>Whiskeytown - Shasta</v>
      </c>
      <c r="D1726" s="512">
        <f t="shared" si="79"/>
        <v>5.6416666666666657E-2</v>
      </c>
      <c r="E1726" s="261">
        <f t="shared" si="80"/>
        <v>1.099E-2</v>
      </c>
    </row>
    <row r="1727" spans="1:5" ht="12.75" x14ac:dyDescent="0.2">
      <c r="A1727" s="259" t="s">
        <v>2518</v>
      </c>
      <c r="B1727" s="1" t="s">
        <v>1154</v>
      </c>
      <c r="C1727" s="1" t="str">
        <f t="shared" si="78"/>
        <v>Whispering Pines - Lake</v>
      </c>
      <c r="D1727" s="512">
        <f t="shared" si="79"/>
        <v>6.1750000000000006E-2</v>
      </c>
      <c r="E1727" s="261">
        <f t="shared" si="80"/>
        <v>1.1160000000000002E-2</v>
      </c>
    </row>
    <row r="1728" spans="1:5" ht="12.75" x14ac:dyDescent="0.2">
      <c r="A1728" s="259" t="s">
        <v>2519</v>
      </c>
      <c r="B1728" s="1" t="s">
        <v>810</v>
      </c>
      <c r="C1728" s="1" t="str">
        <f t="shared" si="78"/>
        <v>White Pines - Calaveras</v>
      </c>
      <c r="D1728" s="512">
        <f t="shared" si="79"/>
        <v>4.7166666666666662E-2</v>
      </c>
      <c r="E1728" s="261">
        <f t="shared" si="80"/>
        <v>1.0920000000000001E-2</v>
      </c>
    </row>
    <row r="1729" spans="1:5" ht="12.75" x14ac:dyDescent="0.2">
      <c r="A1729" s="259" t="s">
        <v>2520</v>
      </c>
      <c r="B1729" s="1" t="s">
        <v>777</v>
      </c>
      <c r="C1729" s="1" t="str">
        <f t="shared" si="78"/>
        <v>Whitethorn - Humboldt</v>
      </c>
      <c r="D1729" s="512">
        <f t="shared" si="79"/>
        <v>5.1583333333333321E-2</v>
      </c>
      <c r="E1729" s="261">
        <f t="shared" si="80"/>
        <v>1.115E-2</v>
      </c>
    </row>
    <row r="1730" spans="1:5" ht="12.75" x14ac:dyDescent="0.2">
      <c r="A1730" s="259" t="s">
        <v>2521</v>
      </c>
      <c r="B1730" s="1" t="s">
        <v>756</v>
      </c>
      <c r="C1730" s="1" t="str">
        <f t="shared" si="78"/>
        <v>Whitewater - Riverside</v>
      </c>
      <c r="D1730" s="512">
        <f t="shared" si="79"/>
        <v>5.3749999999999999E-2</v>
      </c>
      <c r="E1730" s="261">
        <f t="shared" si="80"/>
        <v>1.1859999999999999E-2</v>
      </c>
    </row>
    <row r="1731" spans="1:5" ht="12.75" x14ac:dyDescent="0.2">
      <c r="A1731" s="259" t="s">
        <v>2522</v>
      </c>
      <c r="B1731" s="1" t="s">
        <v>777</v>
      </c>
      <c r="C1731" s="1" t="str">
        <f t="shared" si="78"/>
        <v>Whitlow - Humboldt</v>
      </c>
      <c r="D1731" s="512">
        <f t="shared" si="79"/>
        <v>5.1583333333333321E-2</v>
      </c>
      <c r="E1731" s="261">
        <f t="shared" si="80"/>
        <v>1.115E-2</v>
      </c>
    </row>
    <row r="1732" spans="1:5" ht="12.75" x14ac:dyDescent="0.2">
      <c r="A1732" s="259" t="s">
        <v>2523</v>
      </c>
      <c r="B1732" s="1" t="s">
        <v>832</v>
      </c>
      <c r="C1732" s="1" t="str">
        <f t="shared" si="78"/>
        <v>Whitmore - Shasta</v>
      </c>
      <c r="D1732" s="512">
        <f t="shared" si="79"/>
        <v>5.6416666666666657E-2</v>
      </c>
      <c r="E1732" s="261">
        <f t="shared" si="80"/>
        <v>1.099E-2</v>
      </c>
    </row>
    <row r="1733" spans="1:5" ht="12.75" x14ac:dyDescent="0.2">
      <c r="A1733" s="259" t="s">
        <v>2524</v>
      </c>
      <c r="B1733" s="1" t="s">
        <v>732</v>
      </c>
      <c r="C1733" s="1" t="str">
        <f t="shared" si="78"/>
        <v>Whittier - Los Angeles</v>
      </c>
      <c r="D1733" s="512">
        <f t="shared" si="79"/>
        <v>5.4833333333333331E-2</v>
      </c>
      <c r="E1733" s="261">
        <f t="shared" si="80"/>
        <v>1.1599999999999999E-2</v>
      </c>
    </row>
    <row r="1734" spans="1:5" ht="12.75" x14ac:dyDescent="0.2">
      <c r="A1734" s="259" t="s">
        <v>2525</v>
      </c>
      <c r="B1734" s="1" t="s">
        <v>756</v>
      </c>
      <c r="C1734" s="1" t="str">
        <f t="shared" si="78"/>
        <v>Wildomar - Riverside</v>
      </c>
      <c r="D1734" s="512">
        <f t="shared" si="79"/>
        <v>5.3749999999999999E-2</v>
      </c>
      <c r="E1734" s="261">
        <f t="shared" si="80"/>
        <v>1.1859999999999999E-2</v>
      </c>
    </row>
    <row r="1735" spans="1:5" ht="12.75" x14ac:dyDescent="0.2">
      <c r="A1735" s="259" t="s">
        <v>2526</v>
      </c>
      <c r="B1735" s="1" t="s">
        <v>832</v>
      </c>
      <c r="C1735" s="1" t="str">
        <f t="shared" si="78"/>
        <v>Wildwood - Shasta</v>
      </c>
      <c r="D1735" s="512">
        <f t="shared" si="79"/>
        <v>5.6416666666666657E-2</v>
      </c>
      <c r="E1735" s="261">
        <f t="shared" si="80"/>
        <v>1.099E-2</v>
      </c>
    </row>
    <row r="1736" spans="1:5" ht="12.75" x14ac:dyDescent="0.2">
      <c r="A1736" s="259" t="s">
        <v>2527</v>
      </c>
      <c r="B1736" s="1" t="s">
        <v>859</v>
      </c>
      <c r="C1736" s="1" t="str">
        <f t="shared" ref="C1736:C1781" si="81">A1736&amp;" - "&amp;B1736</f>
        <v>Williams - Colusa</v>
      </c>
      <c r="D1736" s="512">
        <f t="shared" si="79"/>
        <v>0.13600000000000001</v>
      </c>
      <c r="E1736" s="261">
        <f t="shared" si="80"/>
        <v>1.098E-2</v>
      </c>
    </row>
    <row r="1737" spans="1:5" ht="12.75" x14ac:dyDescent="0.2">
      <c r="A1737" s="259" t="s">
        <v>2528</v>
      </c>
      <c r="B1737" s="1" t="s">
        <v>774</v>
      </c>
      <c r="C1737" s="1" t="str">
        <f t="shared" si="81"/>
        <v>Willits - Mendocino</v>
      </c>
      <c r="D1737" s="512">
        <f t="shared" ref="D1737:D1781" si="82">VLOOKUP(B1737,unemployment_rates,2, FALSE)</f>
        <v>5.1916666666666667E-2</v>
      </c>
      <c r="E1737" s="261">
        <f t="shared" ref="E1737:E1781" si="83">VLOOKUP(B1737,Prop_Tax_Rates,2,FALSE)</f>
        <v>1.1650000000000001E-2</v>
      </c>
    </row>
    <row r="1738" spans="1:5" ht="12.75" x14ac:dyDescent="0.2">
      <c r="A1738" s="259" t="s">
        <v>2529</v>
      </c>
      <c r="B1738" s="1" t="s">
        <v>777</v>
      </c>
      <c r="C1738" s="1" t="str">
        <f t="shared" si="81"/>
        <v>Willow Creek - Humboldt</v>
      </c>
      <c r="D1738" s="512">
        <f t="shared" si="82"/>
        <v>5.1583333333333321E-2</v>
      </c>
      <c r="E1738" s="261">
        <f t="shared" si="83"/>
        <v>1.115E-2</v>
      </c>
    </row>
    <row r="1739" spans="1:5" ht="12.75" x14ac:dyDescent="0.2">
      <c r="A1739" s="259" t="s">
        <v>2530</v>
      </c>
      <c r="B1739" s="1" t="s">
        <v>741</v>
      </c>
      <c r="C1739" s="1" t="str">
        <f t="shared" si="81"/>
        <v>Willow Ranch - Modoc</v>
      </c>
      <c r="D1739" s="512">
        <f t="shared" si="82"/>
        <v>6.8499999999999991E-2</v>
      </c>
      <c r="E1739" s="261">
        <f t="shared" si="83"/>
        <v>0.01</v>
      </c>
    </row>
    <row r="1740" spans="1:5" ht="12.75" x14ac:dyDescent="0.2">
      <c r="A1740" s="259" t="s">
        <v>2531</v>
      </c>
      <c r="B1740" s="1" t="s">
        <v>732</v>
      </c>
      <c r="C1740" s="1" t="str">
        <f t="shared" si="81"/>
        <v>Willowbrook - Los Angeles</v>
      </c>
      <c r="D1740" s="512">
        <f t="shared" si="82"/>
        <v>5.4833333333333331E-2</v>
      </c>
      <c r="E1740" s="261">
        <f t="shared" si="83"/>
        <v>1.1599999999999999E-2</v>
      </c>
    </row>
    <row r="1741" spans="1:5" ht="12.75" x14ac:dyDescent="0.2">
      <c r="A1741" s="259" t="s">
        <v>2532</v>
      </c>
      <c r="B1741" s="1" t="s">
        <v>882</v>
      </c>
      <c r="C1741" s="1" t="str">
        <f t="shared" si="81"/>
        <v>Willows - Glenn</v>
      </c>
      <c r="D1741" s="512">
        <f t="shared" si="82"/>
        <v>6.7749999999999991E-2</v>
      </c>
      <c r="E1741" s="261">
        <f t="shared" si="83"/>
        <v>1.093E-2</v>
      </c>
    </row>
    <row r="1742" spans="1:5" ht="12.75" x14ac:dyDescent="0.2">
      <c r="A1742" s="259" t="s">
        <v>2533</v>
      </c>
      <c r="B1742" s="1" t="s">
        <v>732</v>
      </c>
      <c r="C1742" s="1" t="str">
        <f t="shared" si="81"/>
        <v>Wilmington  - Los Angeles</v>
      </c>
      <c r="D1742" s="512">
        <f t="shared" si="82"/>
        <v>5.4833333333333331E-2</v>
      </c>
      <c r="E1742" s="261">
        <f t="shared" si="83"/>
        <v>1.1599999999999999E-2</v>
      </c>
    </row>
    <row r="1743" spans="1:5" ht="12.75" x14ac:dyDescent="0.2">
      <c r="A1743" s="259" t="s">
        <v>2534</v>
      </c>
      <c r="B1743" s="1" t="s">
        <v>810</v>
      </c>
      <c r="C1743" s="1" t="str">
        <f t="shared" si="81"/>
        <v>Wilseyville - Calaveras</v>
      </c>
      <c r="D1743" s="512">
        <f t="shared" si="82"/>
        <v>4.7166666666666662E-2</v>
      </c>
      <c r="E1743" s="261">
        <f t="shared" si="83"/>
        <v>1.0920000000000001E-2</v>
      </c>
    </row>
    <row r="1744" spans="1:5" ht="12.75" x14ac:dyDescent="0.2">
      <c r="A1744" s="259" t="s">
        <v>2535</v>
      </c>
      <c r="B1744" s="1" t="s">
        <v>732</v>
      </c>
      <c r="C1744" s="1" t="str">
        <f t="shared" si="81"/>
        <v>Wilsona Gardens - Los Angeles</v>
      </c>
      <c r="D1744" s="512">
        <f t="shared" si="82"/>
        <v>5.4833333333333331E-2</v>
      </c>
      <c r="E1744" s="261">
        <f t="shared" si="83"/>
        <v>1.1599999999999999E-2</v>
      </c>
    </row>
    <row r="1745" spans="1:5" ht="12.75" x14ac:dyDescent="0.2">
      <c r="A1745" s="259" t="s">
        <v>2536</v>
      </c>
      <c r="B1745" s="1" t="s">
        <v>843</v>
      </c>
      <c r="C1745" s="1" t="str">
        <f t="shared" si="81"/>
        <v>Wilton - Sacramento</v>
      </c>
      <c r="D1745" s="512">
        <f t="shared" si="82"/>
        <v>4.8833333333333326E-2</v>
      </c>
      <c r="E1745" s="261">
        <f t="shared" si="83"/>
        <v>1.1519999999999999E-2</v>
      </c>
    </row>
    <row r="1746" spans="1:5" ht="12.75" x14ac:dyDescent="0.2">
      <c r="A1746" s="259" t="s">
        <v>2537</v>
      </c>
      <c r="B1746" s="1" t="s">
        <v>756</v>
      </c>
      <c r="C1746" s="1" t="str">
        <f t="shared" si="81"/>
        <v>Winchester - Riverside</v>
      </c>
      <c r="D1746" s="512">
        <f t="shared" si="82"/>
        <v>5.3749999999999999E-2</v>
      </c>
      <c r="E1746" s="261">
        <f t="shared" si="83"/>
        <v>1.1859999999999999E-2</v>
      </c>
    </row>
    <row r="1747" spans="1:5" ht="12.75" x14ac:dyDescent="0.2">
      <c r="A1747" s="259" t="s">
        <v>2538</v>
      </c>
      <c r="B1747" s="1" t="s">
        <v>748</v>
      </c>
      <c r="C1747" s="1" t="str">
        <f t="shared" si="81"/>
        <v>Windsor - Sonoma</v>
      </c>
      <c r="D1747" s="512">
        <f t="shared" si="82"/>
        <v>4.0583333333333325E-2</v>
      </c>
      <c r="E1747" s="261">
        <f t="shared" si="83"/>
        <v>1.133E-2</v>
      </c>
    </row>
    <row r="1748" spans="1:5" ht="12.75" x14ac:dyDescent="0.2">
      <c r="A1748" s="259" t="s">
        <v>2539</v>
      </c>
      <c r="B1748" s="1" t="s">
        <v>732</v>
      </c>
      <c r="C1748" s="1" t="str">
        <f t="shared" si="81"/>
        <v>Windsor Hills - Los Angeles</v>
      </c>
      <c r="D1748" s="512">
        <f t="shared" si="82"/>
        <v>5.4833333333333331E-2</v>
      </c>
      <c r="E1748" s="261">
        <f t="shared" si="83"/>
        <v>1.1599999999999999E-2</v>
      </c>
    </row>
    <row r="1749" spans="1:5" ht="12.75" x14ac:dyDescent="0.2">
      <c r="A1749" s="259" t="s">
        <v>2540</v>
      </c>
      <c r="B1749" s="1" t="s">
        <v>732</v>
      </c>
      <c r="C1749" s="1" t="str">
        <f t="shared" si="81"/>
        <v>Winnetka  - Los Angeles</v>
      </c>
      <c r="D1749" s="512">
        <f t="shared" si="82"/>
        <v>5.4833333333333331E-2</v>
      </c>
      <c r="E1749" s="261">
        <f t="shared" si="83"/>
        <v>1.1599999999999999E-2</v>
      </c>
    </row>
    <row r="1750" spans="1:5" ht="12.75" x14ac:dyDescent="0.2">
      <c r="A1750" s="259" t="s">
        <v>2541</v>
      </c>
      <c r="B1750" s="1" t="s">
        <v>919</v>
      </c>
      <c r="C1750" s="1" t="str">
        <f t="shared" si="81"/>
        <v>Winterhaven - Imperial</v>
      </c>
      <c r="D1750" s="512">
        <f t="shared" si="82"/>
        <v>0.17949999999999999</v>
      </c>
      <c r="E1750" s="261">
        <f t="shared" si="83"/>
        <v>1.206E-2</v>
      </c>
    </row>
    <row r="1751" spans="1:5" ht="12.75" x14ac:dyDescent="0.2">
      <c r="A1751" s="259" t="s">
        <v>2542</v>
      </c>
      <c r="B1751" s="1" t="s">
        <v>1018</v>
      </c>
      <c r="C1751" s="1" t="str">
        <f t="shared" si="81"/>
        <v>Winters - Yolo</v>
      </c>
      <c r="D1751" s="512">
        <f t="shared" si="82"/>
        <v>5.2666666666666667E-2</v>
      </c>
      <c r="E1751" s="261">
        <f t="shared" si="83"/>
        <v>1.11E-2</v>
      </c>
    </row>
    <row r="1752" spans="1:5" ht="12.75" x14ac:dyDescent="0.2">
      <c r="A1752" s="259" t="s">
        <v>2543</v>
      </c>
      <c r="B1752" s="1" t="s">
        <v>892</v>
      </c>
      <c r="C1752" s="1" t="str">
        <f t="shared" si="81"/>
        <v>Winton - Merced</v>
      </c>
      <c r="D1752" s="512">
        <f t="shared" si="82"/>
        <v>9.6416666666666678E-2</v>
      </c>
      <c r="E1752" s="261">
        <f t="shared" si="83"/>
        <v>1.0829999999999999E-2</v>
      </c>
    </row>
    <row r="1753" spans="1:5" ht="12.75" x14ac:dyDescent="0.2">
      <c r="A1753" s="259" t="s">
        <v>2544</v>
      </c>
      <c r="B1753" s="1" t="s">
        <v>759</v>
      </c>
      <c r="C1753" s="1" t="str">
        <f t="shared" si="81"/>
        <v>Wishon - Madera</v>
      </c>
      <c r="D1753" s="512">
        <f t="shared" si="82"/>
        <v>7.8166666666666662E-2</v>
      </c>
      <c r="E1753" s="261">
        <f t="shared" si="83"/>
        <v>1.098E-2</v>
      </c>
    </row>
    <row r="1754" spans="1:5" ht="12.75" x14ac:dyDescent="0.2">
      <c r="A1754" s="259" t="s">
        <v>2545</v>
      </c>
      <c r="B1754" s="1" t="s">
        <v>1154</v>
      </c>
      <c r="C1754" s="1" t="str">
        <f t="shared" si="81"/>
        <v>Witter Springs - Lake</v>
      </c>
      <c r="D1754" s="512">
        <f t="shared" si="82"/>
        <v>6.1750000000000006E-2</v>
      </c>
      <c r="E1754" s="261">
        <f t="shared" si="83"/>
        <v>1.1160000000000002E-2</v>
      </c>
    </row>
    <row r="1755" spans="1:5" ht="12.75" x14ac:dyDescent="0.2">
      <c r="A1755" s="259" t="s">
        <v>2546</v>
      </c>
      <c r="B1755" s="1" t="s">
        <v>884</v>
      </c>
      <c r="C1755" s="1" t="str">
        <f t="shared" si="81"/>
        <v>Wofford Heights - Kern</v>
      </c>
      <c r="D1755" s="512">
        <f t="shared" si="82"/>
        <v>8.9333333333333334E-2</v>
      </c>
      <c r="E1755" s="261">
        <f t="shared" si="83"/>
        <v>1.238E-2</v>
      </c>
    </row>
    <row r="1756" spans="1:5" ht="12.75" x14ac:dyDescent="0.2">
      <c r="A1756" s="259" t="s">
        <v>2547</v>
      </c>
      <c r="B1756" s="1" t="s">
        <v>946</v>
      </c>
      <c r="C1756" s="1" t="str">
        <f t="shared" si="81"/>
        <v>Woodacre - Marin</v>
      </c>
      <c r="D1756" s="512">
        <f t="shared" si="82"/>
        <v>3.7749999999999999E-2</v>
      </c>
      <c r="E1756" s="261">
        <f t="shared" si="83"/>
        <v>1.1299999999999999E-2</v>
      </c>
    </row>
    <row r="1757" spans="1:5" ht="12.75" x14ac:dyDescent="0.2">
      <c r="A1757" s="259" t="s">
        <v>2548</v>
      </c>
      <c r="B1757" s="1" t="s">
        <v>729</v>
      </c>
      <c r="C1757" s="1" t="str">
        <f t="shared" si="81"/>
        <v>Woodbridge - San Joaquin</v>
      </c>
      <c r="D1757" s="512">
        <f t="shared" si="82"/>
        <v>6.699999999999999E-2</v>
      </c>
      <c r="E1757" s="261">
        <f t="shared" si="83"/>
        <v>1.1299999999999999E-2</v>
      </c>
    </row>
    <row r="1758" spans="1:5" ht="12.75" x14ac:dyDescent="0.2">
      <c r="A1758" s="259" t="s">
        <v>2549</v>
      </c>
      <c r="B1758" s="1" t="s">
        <v>800</v>
      </c>
      <c r="C1758" s="1" t="str">
        <f t="shared" si="81"/>
        <v>Woodfords - Alpine</v>
      </c>
      <c r="D1758" s="512">
        <f t="shared" si="82"/>
        <v>6.8916666666666654E-2</v>
      </c>
      <c r="E1758" s="261">
        <f t="shared" si="83"/>
        <v>1.03E-2</v>
      </c>
    </row>
    <row r="1759" spans="1:5" ht="12.75" x14ac:dyDescent="0.2">
      <c r="A1759" s="259" t="s">
        <v>2550</v>
      </c>
      <c r="B1759" s="1" t="s">
        <v>798</v>
      </c>
      <c r="C1759" s="1" t="str">
        <f t="shared" si="81"/>
        <v>Woodlake - Tulare</v>
      </c>
      <c r="D1759" s="512">
        <f t="shared" si="82"/>
        <v>0.10691666666666669</v>
      </c>
      <c r="E1759" s="261">
        <f t="shared" si="83"/>
        <v>1.0869999999999999E-2</v>
      </c>
    </row>
    <row r="1760" spans="1:5" ht="12.75" x14ac:dyDescent="0.2">
      <c r="A1760" s="259" t="s">
        <v>2551</v>
      </c>
      <c r="B1760" s="1" t="s">
        <v>1018</v>
      </c>
      <c r="C1760" s="1" t="str">
        <f t="shared" si="81"/>
        <v>Woodland - Yolo</v>
      </c>
      <c r="D1760" s="512">
        <f t="shared" si="82"/>
        <v>5.2666666666666667E-2</v>
      </c>
      <c r="E1760" s="261">
        <f t="shared" si="83"/>
        <v>1.11E-2</v>
      </c>
    </row>
    <row r="1761" spans="1:5" ht="12.75" x14ac:dyDescent="0.2">
      <c r="A1761" s="259" t="s">
        <v>2552</v>
      </c>
      <c r="B1761" s="1" t="s">
        <v>732</v>
      </c>
      <c r="C1761" s="1" t="str">
        <f t="shared" si="81"/>
        <v>Woodland Hills  - Los Angeles</v>
      </c>
      <c r="D1761" s="512">
        <f t="shared" si="82"/>
        <v>5.4833333333333331E-2</v>
      </c>
      <c r="E1761" s="261">
        <f t="shared" si="83"/>
        <v>1.1599999999999999E-2</v>
      </c>
    </row>
    <row r="1762" spans="1:5" ht="12.75" x14ac:dyDescent="0.2">
      <c r="A1762" s="259" t="s">
        <v>2553</v>
      </c>
      <c r="B1762" s="1" t="s">
        <v>932</v>
      </c>
      <c r="C1762" s="1" t="str">
        <f t="shared" si="81"/>
        <v>Woodleaf - Yuba</v>
      </c>
      <c r="D1762" s="512">
        <f t="shared" si="82"/>
        <v>7.2416666666666657E-2</v>
      </c>
      <c r="E1762" s="261">
        <f t="shared" si="83"/>
        <v>1.102E-2</v>
      </c>
    </row>
    <row r="1763" spans="1:5" ht="12.75" x14ac:dyDescent="0.2">
      <c r="A1763" s="259" t="s">
        <v>2554</v>
      </c>
      <c r="B1763" s="1" t="s">
        <v>890</v>
      </c>
      <c r="C1763" s="1" t="str">
        <f t="shared" si="81"/>
        <v>Woodside - San Mateo</v>
      </c>
      <c r="D1763" s="512">
        <f t="shared" si="82"/>
        <v>3.5000000000000003E-2</v>
      </c>
      <c r="E1763" s="261">
        <f t="shared" si="83"/>
        <v>1.1089999999999999E-2</v>
      </c>
    </row>
    <row r="1764" spans="1:5" ht="12.75" x14ac:dyDescent="0.2">
      <c r="A1764" s="259" t="s">
        <v>2555</v>
      </c>
      <c r="B1764" s="1" t="s">
        <v>798</v>
      </c>
      <c r="C1764" s="1" t="str">
        <f t="shared" si="81"/>
        <v>Woodville - Tulare</v>
      </c>
      <c r="D1764" s="512">
        <f t="shared" si="82"/>
        <v>0.10691666666666669</v>
      </c>
      <c r="E1764" s="261">
        <f t="shared" si="83"/>
        <v>1.0869999999999999E-2</v>
      </c>
    </row>
    <row r="1765" spans="1:5" ht="12.75" x14ac:dyDescent="0.2">
      <c r="A1765" s="259" t="s">
        <v>2556</v>
      </c>
      <c r="B1765" s="1" t="s">
        <v>884</v>
      </c>
      <c r="C1765" s="1" t="str">
        <f t="shared" si="81"/>
        <v>Woody - Kern</v>
      </c>
      <c r="D1765" s="512">
        <f t="shared" si="82"/>
        <v>8.9333333333333334E-2</v>
      </c>
      <c r="E1765" s="261">
        <f t="shared" si="83"/>
        <v>1.238E-2</v>
      </c>
    </row>
    <row r="1766" spans="1:5" ht="12.75" x14ac:dyDescent="0.2">
      <c r="A1766" s="259" t="s">
        <v>2557</v>
      </c>
      <c r="B1766" s="1" t="s">
        <v>738</v>
      </c>
      <c r="C1766" s="1" t="str">
        <f t="shared" si="81"/>
        <v>Wrightwood - San Bernardino</v>
      </c>
      <c r="D1766" s="512">
        <f t="shared" si="82"/>
        <v>5.1583333333333342E-2</v>
      </c>
      <c r="E1766" s="261">
        <f t="shared" si="83"/>
        <v>1.1379999999999999E-2</v>
      </c>
    </row>
    <row r="1767" spans="1:5" ht="12.75" x14ac:dyDescent="0.2">
      <c r="A1767" s="259" t="s">
        <v>2558</v>
      </c>
      <c r="B1767" s="1" t="s">
        <v>915</v>
      </c>
      <c r="C1767" s="1" t="str">
        <f t="shared" si="81"/>
        <v>Yankee Hill - Butte</v>
      </c>
      <c r="D1767" s="512">
        <f t="shared" si="82"/>
        <v>5.8999999999999983E-2</v>
      </c>
      <c r="E1767" s="261">
        <f t="shared" si="83"/>
        <v>1.1169999999999999E-2</v>
      </c>
    </row>
    <row r="1768" spans="1:5" ht="12.75" x14ac:dyDescent="0.2">
      <c r="A1768" s="259" t="s">
        <v>2559</v>
      </c>
      <c r="B1768" s="1" t="s">
        <v>738</v>
      </c>
      <c r="C1768" s="1" t="str">
        <f t="shared" si="81"/>
        <v>Yermo - San Bernardino</v>
      </c>
      <c r="D1768" s="512">
        <f t="shared" si="82"/>
        <v>5.1583333333333342E-2</v>
      </c>
      <c r="E1768" s="261">
        <f t="shared" si="83"/>
        <v>1.1379999999999999E-2</v>
      </c>
    </row>
    <row r="1769" spans="1:5" ht="12.75" x14ac:dyDescent="0.2">
      <c r="A1769" s="259" t="s">
        <v>2560</v>
      </c>
      <c r="B1769" s="1" t="s">
        <v>798</v>
      </c>
      <c r="C1769" s="1" t="str">
        <f t="shared" si="81"/>
        <v>Yettem - Tulare</v>
      </c>
      <c r="D1769" s="512">
        <f t="shared" si="82"/>
        <v>0.10691666666666669</v>
      </c>
      <c r="E1769" s="261">
        <f t="shared" si="83"/>
        <v>1.0869999999999999E-2</v>
      </c>
    </row>
    <row r="1770" spans="1:5" ht="12.75" x14ac:dyDescent="0.2">
      <c r="A1770" s="259" t="s">
        <v>1018</v>
      </c>
      <c r="B1770" s="1" t="s">
        <v>1018</v>
      </c>
      <c r="C1770" s="1" t="str">
        <f t="shared" si="81"/>
        <v>Yolo - Yolo</v>
      </c>
      <c r="D1770" s="512">
        <f t="shared" si="82"/>
        <v>5.2666666666666667E-2</v>
      </c>
      <c r="E1770" s="261">
        <f t="shared" si="83"/>
        <v>1.11E-2</v>
      </c>
    </row>
    <row r="1771" spans="1:5" ht="12.75" x14ac:dyDescent="0.2">
      <c r="A1771" s="259" t="s">
        <v>2561</v>
      </c>
      <c r="B1771" s="1" t="s">
        <v>782</v>
      </c>
      <c r="C1771" s="1" t="str">
        <f t="shared" si="81"/>
        <v>Yorba Linda - Orange</v>
      </c>
      <c r="D1771" s="512">
        <f t="shared" si="82"/>
        <v>3.9749999999999994E-2</v>
      </c>
      <c r="E1771" s="261">
        <f t="shared" si="83"/>
        <v>1.0660000000000001E-2</v>
      </c>
    </row>
    <row r="1772" spans="1:5" ht="12.75" x14ac:dyDescent="0.2">
      <c r="A1772" s="259" t="s">
        <v>2562</v>
      </c>
      <c r="B1772" s="1" t="s">
        <v>774</v>
      </c>
      <c r="C1772" s="1" t="str">
        <f t="shared" si="81"/>
        <v>Yorkville - Mendocino</v>
      </c>
      <c r="D1772" s="512">
        <f t="shared" si="82"/>
        <v>5.1916666666666667E-2</v>
      </c>
      <c r="E1772" s="261">
        <f t="shared" si="83"/>
        <v>1.1650000000000001E-2</v>
      </c>
    </row>
    <row r="1773" spans="1:5" ht="12.75" x14ac:dyDescent="0.2">
      <c r="A1773" s="259" t="s">
        <v>2563</v>
      </c>
      <c r="B1773" s="1" t="s">
        <v>935</v>
      </c>
      <c r="C1773" s="1" t="str">
        <f t="shared" si="81"/>
        <v>Yosemite Lodge - Mariposa</v>
      </c>
      <c r="D1773" s="512">
        <f t="shared" si="82"/>
        <v>5.2833333333333329E-2</v>
      </c>
      <c r="E1773" s="261">
        <f t="shared" si="83"/>
        <v>1.0369999999999999E-2</v>
      </c>
    </row>
    <row r="1774" spans="1:5" ht="12.75" x14ac:dyDescent="0.2">
      <c r="A1774" s="259" t="s">
        <v>2564</v>
      </c>
      <c r="B1774" s="1" t="s">
        <v>935</v>
      </c>
      <c r="C1774" s="1" t="str">
        <f t="shared" si="81"/>
        <v>Yosemite National Park - Mariposa</v>
      </c>
      <c r="D1774" s="512">
        <f t="shared" si="82"/>
        <v>5.2833333333333329E-2</v>
      </c>
      <c r="E1774" s="261">
        <f t="shared" si="83"/>
        <v>1.0369999999999999E-2</v>
      </c>
    </row>
    <row r="1775" spans="1:5" ht="12.75" x14ac:dyDescent="0.2">
      <c r="A1775" s="259" t="s">
        <v>2565</v>
      </c>
      <c r="B1775" s="1" t="s">
        <v>827</v>
      </c>
      <c r="C1775" s="1" t="str">
        <f t="shared" si="81"/>
        <v>Yountville - Napa</v>
      </c>
      <c r="D1775" s="512">
        <f t="shared" si="82"/>
        <v>0.04</v>
      </c>
      <c r="E1775" s="261">
        <f t="shared" si="83"/>
        <v>1.102E-2</v>
      </c>
    </row>
    <row r="1776" spans="1:5" ht="12.75" x14ac:dyDescent="0.2">
      <c r="A1776" s="259" t="s">
        <v>2566</v>
      </c>
      <c r="B1776" s="1" t="s">
        <v>1053</v>
      </c>
      <c r="C1776" s="1" t="str">
        <f t="shared" si="81"/>
        <v>Yreka - Siskiyou</v>
      </c>
      <c r="D1776" s="512">
        <f t="shared" si="82"/>
        <v>6.883333333333333E-2</v>
      </c>
      <c r="E1776" s="261">
        <f t="shared" si="83"/>
        <v>1.0460000000000001E-2</v>
      </c>
    </row>
    <row r="1777" spans="1:5" ht="12.75" x14ac:dyDescent="0.2">
      <c r="A1777" s="259" t="s">
        <v>2567</v>
      </c>
      <c r="B1777" s="1" t="s">
        <v>1300</v>
      </c>
      <c r="C1777" s="1" t="str">
        <f t="shared" si="81"/>
        <v>Yuba City - Sutter</v>
      </c>
      <c r="D1777" s="512">
        <f t="shared" si="82"/>
        <v>8.2583333333333328E-2</v>
      </c>
      <c r="E1777" s="261">
        <f t="shared" si="83"/>
        <v>1.099E-2</v>
      </c>
    </row>
    <row r="1778" spans="1:5" ht="12.75" x14ac:dyDescent="0.2">
      <c r="A1778" s="259" t="s">
        <v>2568</v>
      </c>
      <c r="B1778" s="1" t="s">
        <v>738</v>
      </c>
      <c r="C1778" s="1" t="str">
        <f t="shared" si="81"/>
        <v>Yucaipa - San Bernardino</v>
      </c>
      <c r="D1778" s="512">
        <f t="shared" si="82"/>
        <v>5.1583333333333342E-2</v>
      </c>
      <c r="E1778" s="261">
        <f t="shared" si="83"/>
        <v>1.1379999999999999E-2</v>
      </c>
    </row>
    <row r="1779" spans="1:5" ht="12.75" x14ac:dyDescent="0.2">
      <c r="A1779" s="259" t="s">
        <v>2569</v>
      </c>
      <c r="B1779" s="1" t="s">
        <v>738</v>
      </c>
      <c r="C1779" s="1" t="str">
        <f t="shared" si="81"/>
        <v>Yucca Valley - San Bernardino</v>
      </c>
      <c r="D1779" s="512">
        <f t="shared" si="82"/>
        <v>5.1583333333333342E-2</v>
      </c>
      <c r="E1779" s="261">
        <f t="shared" si="83"/>
        <v>1.1379999999999999E-2</v>
      </c>
    </row>
    <row r="1780" spans="1:5" ht="12.75" x14ac:dyDescent="0.2">
      <c r="A1780" s="259" t="s">
        <v>2570</v>
      </c>
      <c r="B1780" s="1" t="s">
        <v>1018</v>
      </c>
      <c r="C1780" s="1" t="str">
        <f t="shared" si="81"/>
        <v>Zamora - Yolo</v>
      </c>
      <c r="D1780" s="512">
        <f t="shared" si="82"/>
        <v>5.2666666666666667E-2</v>
      </c>
      <c r="E1780" s="261">
        <f t="shared" si="83"/>
        <v>1.11E-2</v>
      </c>
    </row>
    <row r="1781" spans="1:5" ht="13.5" thickBot="1" x14ac:dyDescent="0.25">
      <c r="A1781" s="264" t="s">
        <v>2571</v>
      </c>
      <c r="B1781" s="267" t="s">
        <v>961</v>
      </c>
      <c r="C1781" s="267" t="str">
        <f t="shared" si="81"/>
        <v>Zenia - Trinity</v>
      </c>
      <c r="D1781" s="512">
        <f t="shared" si="82"/>
        <v>5.916666666666668E-2</v>
      </c>
      <c r="E1781" s="268">
        <f t="shared" si="83"/>
        <v>1.043E-2</v>
      </c>
    </row>
  </sheetData>
  <customSheetViews>
    <customSheetView guid="{1041E6CB-32E2-4271-B20C-13C1365EF52A}" showGridLines="0" state="hidden" topLeftCell="C1">
      <selection activeCell="K67" sqref="K67"/>
      <pageMargins left="0" right="0" top="0" bottom="0" header="0" footer="0"/>
      <pageSetup orientation="portrait" horizontalDpi="300" verticalDpi="300"/>
      <headerFooter alignWithMargins="0"/>
    </customSheetView>
    <customSheetView guid="{46C4EEEB-C468-4FDB-8961-DFC585498CD3}" showGridLines="0" state="hidden" topLeftCell="C1">
      <selection activeCell="K67" sqref="K67"/>
      <pageMargins left="0" right="0" top="0" bottom="0" header="0" footer="0"/>
      <pageSetup orientation="portrait" horizontalDpi="300" verticalDpi="300"/>
      <headerFooter alignWithMargins="0"/>
    </customSheetView>
  </customSheetViews>
  <phoneticPr fontId="0" type="noConversion"/>
  <pageMargins left="0.75" right="0.75" top="1" bottom="1" header="0.5" footer="0.5"/>
  <pageSetup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O67"/>
  <sheetViews>
    <sheetView workbookViewId="0">
      <selection activeCell="D2" sqref="D2"/>
    </sheetView>
  </sheetViews>
  <sheetFormatPr defaultColWidth="8.5703125" defaultRowHeight="12.75" x14ac:dyDescent="0.2"/>
  <cols>
    <col min="1" max="1" width="52.42578125" style="1" customWidth="1"/>
    <col min="2" max="2" width="16" style="1" customWidth="1"/>
    <col min="3" max="3" width="19.42578125" style="1" customWidth="1"/>
    <col min="4" max="4" width="57.42578125" style="1" customWidth="1"/>
    <col min="5" max="5" width="14" style="1" customWidth="1"/>
    <col min="6" max="6" width="10.42578125" style="1" customWidth="1"/>
    <col min="7" max="7" width="13.42578125" style="1" customWidth="1"/>
    <col min="8" max="8" width="15.42578125" style="1" customWidth="1"/>
    <col min="9" max="9" width="26.5703125" style="1" customWidth="1"/>
    <col min="10" max="16384" width="8.5703125" style="1"/>
  </cols>
  <sheetData>
    <row r="1" spans="1:15" ht="25.5" x14ac:dyDescent="0.2">
      <c r="A1" s="139" t="s">
        <v>2572</v>
      </c>
      <c r="B1" s="134" t="s">
        <v>2573</v>
      </c>
      <c r="C1" s="135" t="s">
        <v>2574</v>
      </c>
      <c r="D1" s="174" t="s">
        <v>2575</v>
      </c>
    </row>
    <row r="2" spans="1:15" x14ac:dyDescent="0.2">
      <c r="A2" s="160" t="s">
        <v>578</v>
      </c>
      <c r="B2" s="132">
        <v>99.18</v>
      </c>
      <c r="C2" s="132" t="s">
        <v>2576</v>
      </c>
      <c r="D2" s="176" t="s">
        <v>2577</v>
      </c>
    </row>
    <row r="3" spans="1:15" x14ac:dyDescent="0.2">
      <c r="A3" s="161" t="s">
        <v>579</v>
      </c>
      <c r="B3" s="1">
        <v>98.03</v>
      </c>
      <c r="C3" s="1" t="s">
        <v>2578</v>
      </c>
      <c r="D3" s="177" t="s">
        <v>2577</v>
      </c>
    </row>
    <row r="4" spans="1:15" x14ac:dyDescent="0.2">
      <c r="A4" s="162" t="s">
        <v>2579</v>
      </c>
      <c r="B4" s="163">
        <v>68</v>
      </c>
      <c r="C4" s="164" t="s">
        <v>2580</v>
      </c>
      <c r="D4" s="175" t="s">
        <v>2577</v>
      </c>
    </row>
    <row r="7" spans="1:15" ht="70.349999999999994" customHeight="1" x14ac:dyDescent="0.2">
      <c r="A7" s="129" t="s">
        <v>2581</v>
      </c>
      <c r="B7" s="269" t="s">
        <v>2573</v>
      </c>
      <c r="C7" s="269" t="s">
        <v>2582</v>
      </c>
      <c r="D7" s="181" t="s">
        <v>2574</v>
      </c>
      <c r="E7" s="180" t="s">
        <v>2583</v>
      </c>
      <c r="F7" s="128"/>
      <c r="G7" s="128"/>
      <c r="H7" s="128"/>
      <c r="I7" s="5"/>
      <c r="J7" s="5"/>
      <c r="K7" s="145"/>
      <c r="L7" s="128"/>
      <c r="M7" s="5"/>
      <c r="N7" s="128"/>
      <c r="O7" s="124"/>
    </row>
    <row r="8" spans="1:15" x14ac:dyDescent="0.2">
      <c r="A8" s="1" t="s">
        <v>2584</v>
      </c>
      <c r="B8" s="1">
        <v>11.76</v>
      </c>
      <c r="C8" s="1">
        <f>$B$3-B8</f>
        <v>86.27</v>
      </c>
      <c r="D8" s="133" t="s">
        <v>2585</v>
      </c>
      <c r="E8" s="178" t="s">
        <v>2577</v>
      </c>
      <c r="G8" s="124"/>
      <c r="H8" s="124"/>
      <c r="I8" s="130"/>
      <c r="K8" s="131"/>
      <c r="L8" s="123"/>
      <c r="M8" s="123"/>
      <c r="N8" s="124"/>
      <c r="O8" s="124"/>
    </row>
    <row r="9" spans="1:15" x14ac:dyDescent="0.2">
      <c r="A9" s="1" t="s">
        <v>2586</v>
      </c>
      <c r="B9" s="1">
        <v>15.84</v>
      </c>
      <c r="C9" s="1">
        <f>$B$3-B9</f>
        <v>82.19</v>
      </c>
      <c r="D9" s="133" t="s">
        <v>2587</v>
      </c>
      <c r="E9" s="130" t="s">
        <v>2577</v>
      </c>
      <c r="G9" s="124"/>
      <c r="H9" s="124"/>
      <c r="I9" s="130"/>
      <c r="K9" s="131"/>
      <c r="L9" s="123"/>
      <c r="M9" s="123"/>
      <c r="N9" s="124"/>
      <c r="O9" s="124"/>
    </row>
    <row r="10" spans="1:15" x14ac:dyDescent="0.2">
      <c r="A10" s="1" t="s">
        <v>2588</v>
      </c>
      <c r="B10" s="1">
        <v>39.33</v>
      </c>
      <c r="C10" s="1">
        <f>$B$3-B10</f>
        <v>58.7</v>
      </c>
      <c r="D10" s="133" t="s">
        <v>2589</v>
      </c>
      <c r="E10" s="130" t="s">
        <v>2577</v>
      </c>
      <c r="G10" s="124"/>
      <c r="H10" s="124"/>
      <c r="I10" s="130"/>
      <c r="K10" s="131"/>
      <c r="L10" s="123"/>
      <c r="M10" s="123"/>
      <c r="N10" s="124"/>
      <c r="O10" s="124"/>
    </row>
    <row r="11" spans="1:15" x14ac:dyDescent="0.2">
      <c r="A11" s="1" t="s">
        <v>2590</v>
      </c>
      <c r="B11" s="1">
        <v>19.649999999999999</v>
      </c>
      <c r="C11" s="1">
        <f>$B$3-B11</f>
        <v>78.38</v>
      </c>
      <c r="D11" s="133" t="s">
        <v>2591</v>
      </c>
      <c r="E11" s="130" t="s">
        <v>2577</v>
      </c>
      <c r="G11" s="124"/>
      <c r="H11" s="124"/>
      <c r="I11" s="130"/>
      <c r="K11" s="131"/>
      <c r="L11" s="123"/>
      <c r="M11" s="123"/>
      <c r="N11" s="124"/>
      <c r="O11" s="124"/>
    </row>
    <row r="12" spans="1:15" x14ac:dyDescent="0.2">
      <c r="A12" s="1" t="s">
        <v>2592</v>
      </c>
      <c r="B12" s="133">
        <v>13.45</v>
      </c>
      <c r="C12" s="159">
        <f>$B$4-B12</f>
        <v>54.55</v>
      </c>
      <c r="D12" s="133" t="s">
        <v>2593</v>
      </c>
      <c r="E12" s="130" t="s">
        <v>2577</v>
      </c>
      <c r="G12" s="124"/>
      <c r="H12" s="124"/>
      <c r="I12" s="130"/>
      <c r="K12" s="131"/>
      <c r="L12" s="123"/>
      <c r="M12" s="123"/>
      <c r="N12" s="124"/>
      <c r="O12" s="124"/>
    </row>
    <row r="13" spans="1:15" x14ac:dyDescent="0.2">
      <c r="A13" s="1" t="s">
        <v>2594</v>
      </c>
      <c r="B13" s="133">
        <v>11.26</v>
      </c>
      <c r="C13" s="159">
        <f>$B$4-B13</f>
        <v>56.74</v>
      </c>
      <c r="D13" s="133" t="s">
        <v>2595</v>
      </c>
      <c r="E13" s="130" t="s">
        <v>2577</v>
      </c>
      <c r="G13" s="124"/>
      <c r="H13" s="124"/>
      <c r="I13" s="130"/>
      <c r="K13" s="131"/>
      <c r="L13" s="123"/>
      <c r="M13" s="123"/>
      <c r="N13" s="124"/>
      <c r="O13" s="124"/>
    </row>
    <row r="14" spans="1:15" x14ac:dyDescent="0.2">
      <c r="A14" s="1" t="s">
        <v>2596</v>
      </c>
      <c r="B14" s="133">
        <v>-34.700000000000003</v>
      </c>
      <c r="C14" s="159">
        <f>$B$4-B14</f>
        <v>102.7</v>
      </c>
      <c r="D14" s="133" t="s">
        <v>2597</v>
      </c>
      <c r="E14" s="179" t="s">
        <v>2598</v>
      </c>
    </row>
    <row r="15" spans="1:15" x14ac:dyDescent="0.2">
      <c r="A15" s="1" t="s">
        <v>2599</v>
      </c>
      <c r="B15" s="133">
        <v>7.8</v>
      </c>
      <c r="C15" s="159">
        <f>$B$4-B15</f>
        <v>60.2</v>
      </c>
      <c r="D15" s="133" t="s">
        <v>2600</v>
      </c>
      <c r="E15" s="179" t="s">
        <v>2601</v>
      </c>
      <c r="G15" s="124"/>
      <c r="H15" s="124"/>
      <c r="I15" s="130"/>
    </row>
    <row r="16" spans="1:15" x14ac:dyDescent="0.2">
      <c r="A16" s="1" t="s">
        <v>2602</v>
      </c>
      <c r="B16" s="1">
        <v>20.399999999999999</v>
      </c>
      <c r="C16" s="1">
        <f>$B$2-B16</f>
        <v>78.78</v>
      </c>
      <c r="D16" s="133" t="s">
        <v>2603</v>
      </c>
      <c r="E16" s="179" t="s">
        <v>2604</v>
      </c>
      <c r="I16" s="130"/>
    </row>
    <row r="17" spans="1:10" x14ac:dyDescent="0.2">
      <c r="A17" s="1" t="s">
        <v>2605</v>
      </c>
      <c r="B17" s="1">
        <v>22.2</v>
      </c>
      <c r="C17" s="1">
        <f>$B$2-B17</f>
        <v>76.98</v>
      </c>
      <c r="D17" s="133" t="s">
        <v>2603</v>
      </c>
      <c r="E17" s="179" t="s">
        <v>2606</v>
      </c>
    </row>
    <row r="18" spans="1:10" x14ac:dyDescent="0.2">
      <c r="A18" s="136" t="s">
        <v>2607</v>
      </c>
      <c r="B18" s="1">
        <v>88.9</v>
      </c>
      <c r="C18" s="138">
        <f>$B$2-B18</f>
        <v>10.280000000000001</v>
      </c>
      <c r="D18" s="133" t="s">
        <v>2608</v>
      </c>
      <c r="E18" s="130" t="s">
        <v>2577</v>
      </c>
    </row>
    <row r="19" spans="1:10" x14ac:dyDescent="0.2">
      <c r="A19" s="136" t="s">
        <v>2609</v>
      </c>
      <c r="B19" s="1">
        <v>80.7</v>
      </c>
      <c r="C19" s="138">
        <f>$B$2-B19</f>
        <v>18.480000000000004</v>
      </c>
      <c r="D19" s="133" t="s">
        <v>2610</v>
      </c>
      <c r="E19" s="130" t="s">
        <v>2577</v>
      </c>
    </row>
    <row r="20" spans="1:10" x14ac:dyDescent="0.2">
      <c r="F20" s="133"/>
      <c r="G20" s="133"/>
      <c r="H20" s="133"/>
      <c r="I20" s="137"/>
      <c r="J20"/>
    </row>
    <row r="21" spans="1:10" x14ac:dyDescent="0.2">
      <c r="A21" s="140"/>
    </row>
    <row r="22" spans="1:10" x14ac:dyDescent="0.2">
      <c r="A22" s="1" t="s">
        <v>2611</v>
      </c>
    </row>
    <row r="23" spans="1:10" x14ac:dyDescent="0.2">
      <c r="A23" s="1" t="s">
        <v>2612</v>
      </c>
    </row>
    <row r="26" spans="1:10" x14ac:dyDescent="0.2">
      <c r="A26"/>
      <c r="B26"/>
      <c r="C26"/>
      <c r="D26"/>
      <c r="E26"/>
    </row>
    <row r="27" spans="1:10" x14ac:dyDescent="0.2">
      <c r="A27"/>
      <c r="B27"/>
      <c r="C27"/>
      <c r="D27"/>
      <c r="E27"/>
    </row>
    <row r="28" spans="1:10" x14ac:dyDescent="0.2">
      <c r="A28"/>
      <c r="B28"/>
      <c r="C28"/>
      <c r="D28"/>
      <c r="E28"/>
      <c r="F28" s="133"/>
      <c r="G28" s="133"/>
      <c r="H28" s="133"/>
      <c r="I28" s="133"/>
    </row>
    <row r="29" spans="1:10" x14ac:dyDescent="0.2">
      <c r="A29"/>
      <c r="B29"/>
      <c r="C29"/>
      <c r="D29"/>
      <c r="E29"/>
      <c r="G29" s="133"/>
      <c r="H29" s="133"/>
    </row>
    <row r="30" spans="1:10" x14ac:dyDescent="0.2">
      <c r="A30"/>
      <c r="B30"/>
      <c r="C30"/>
      <c r="D30"/>
      <c r="E30"/>
      <c r="G30" s="133"/>
      <c r="H30" s="133"/>
    </row>
    <row r="31" spans="1:10" x14ac:dyDescent="0.2">
      <c r="A31"/>
      <c r="B31"/>
      <c r="C31"/>
      <c r="D31"/>
      <c r="E31"/>
      <c r="G31" s="133"/>
      <c r="H31" s="133"/>
    </row>
    <row r="32" spans="1:10" x14ac:dyDescent="0.2">
      <c r="A32"/>
      <c r="B32"/>
      <c r="C32"/>
      <c r="D32"/>
      <c r="E32"/>
      <c r="F32" s="133"/>
      <c r="G32" s="133"/>
      <c r="H32" s="133"/>
      <c r="I32" s="133"/>
    </row>
    <row r="33" spans="1:9" x14ac:dyDescent="0.2">
      <c r="A33"/>
      <c r="B33"/>
      <c r="C33"/>
      <c r="D33"/>
      <c r="E33"/>
      <c r="F33" s="133"/>
      <c r="G33" s="133"/>
      <c r="H33" s="133"/>
      <c r="I33" s="133"/>
    </row>
    <row r="34" spans="1:9" x14ac:dyDescent="0.2">
      <c r="A34"/>
      <c r="B34"/>
      <c r="C34"/>
      <c r="D34"/>
      <c r="E34"/>
      <c r="F34" s="133"/>
      <c r="G34" s="133"/>
      <c r="H34" s="133"/>
      <c r="I34" s="133"/>
    </row>
    <row r="35" spans="1:9" x14ac:dyDescent="0.2">
      <c r="A35"/>
      <c r="B35"/>
      <c r="C35"/>
      <c r="D35"/>
      <c r="E35"/>
    </row>
    <row r="36" spans="1:9" x14ac:dyDescent="0.2">
      <c r="A36"/>
      <c r="B36"/>
      <c r="C36"/>
      <c r="D36"/>
      <c r="E36"/>
    </row>
    <row r="37" spans="1:9" x14ac:dyDescent="0.2">
      <c r="A37"/>
      <c r="B37"/>
      <c r="C37"/>
      <c r="D37"/>
      <c r="E37"/>
    </row>
    <row r="38" spans="1:9" x14ac:dyDescent="0.2">
      <c r="A38"/>
      <c r="B38"/>
      <c r="C38"/>
      <c r="D38"/>
      <c r="E38"/>
    </row>
    <row r="39" spans="1:9" x14ac:dyDescent="0.2">
      <c r="A39"/>
      <c r="B39"/>
      <c r="C39"/>
      <c r="D39"/>
      <c r="E39"/>
    </row>
    <row r="40" spans="1:9" x14ac:dyDescent="0.2">
      <c r="A40"/>
      <c r="B40"/>
      <c r="C40"/>
      <c r="D40"/>
      <c r="E40"/>
    </row>
    <row r="41" spans="1:9" x14ac:dyDescent="0.2">
      <c r="A41"/>
      <c r="B41"/>
      <c r="C41"/>
      <c r="D41"/>
      <c r="E41"/>
    </row>
    <row r="42" spans="1:9" x14ac:dyDescent="0.2">
      <c r="A42"/>
      <c r="B42"/>
      <c r="C42"/>
      <c r="D42"/>
      <c r="E42"/>
    </row>
    <row r="43" spans="1:9" x14ac:dyDescent="0.2">
      <c r="A43"/>
      <c r="B43"/>
      <c r="C43"/>
      <c r="D43"/>
      <c r="E43"/>
    </row>
    <row r="44" spans="1:9" ht="13.35" customHeight="1" x14ac:dyDescent="0.2">
      <c r="A44"/>
      <c r="B44"/>
      <c r="C44"/>
      <c r="D44"/>
      <c r="E44"/>
    </row>
    <row r="45" spans="1:9" x14ac:dyDescent="0.2">
      <c r="A45"/>
      <c r="B45"/>
      <c r="C45"/>
      <c r="D45"/>
      <c r="E45"/>
    </row>
    <row r="46" spans="1:9" x14ac:dyDescent="0.2">
      <c r="A46" s="143"/>
      <c r="B46" s="142"/>
    </row>
    <row r="47" spans="1:9" x14ac:dyDescent="0.2">
      <c r="A47" s="143"/>
      <c r="B47" s="142"/>
    </row>
    <row r="48" spans="1:9" x14ac:dyDescent="0.2">
      <c r="A48" s="143"/>
      <c r="B48" s="142"/>
    </row>
    <row r="49" spans="1:2" x14ac:dyDescent="0.2">
      <c r="A49" s="143"/>
      <c r="B49" s="142"/>
    </row>
    <row r="50" spans="1:2" x14ac:dyDescent="0.2">
      <c r="A50" s="143"/>
      <c r="B50" s="142"/>
    </row>
    <row r="51" spans="1:2" x14ac:dyDescent="0.2">
      <c r="A51" s="143"/>
      <c r="B51" s="142"/>
    </row>
    <row r="52" spans="1:2" x14ac:dyDescent="0.2">
      <c r="A52" s="143"/>
      <c r="B52" s="142"/>
    </row>
    <row r="53" spans="1:2" x14ac:dyDescent="0.2">
      <c r="A53" s="143"/>
      <c r="B53" s="142"/>
    </row>
    <row r="54" spans="1:2" x14ac:dyDescent="0.2">
      <c r="A54" s="143"/>
      <c r="B54" s="142"/>
    </row>
    <row r="55" spans="1:2" x14ac:dyDescent="0.2">
      <c r="A55" s="143"/>
      <c r="B55" s="142"/>
    </row>
    <row r="56" spans="1:2" x14ac:dyDescent="0.2">
      <c r="A56" s="143"/>
      <c r="B56" s="142"/>
    </row>
    <row r="57" spans="1:2" x14ac:dyDescent="0.2">
      <c r="A57" s="143"/>
      <c r="B57" s="142"/>
    </row>
    <row r="58" spans="1:2" x14ac:dyDescent="0.2">
      <c r="A58" s="143"/>
      <c r="B58" s="142"/>
    </row>
    <row r="59" spans="1:2" x14ac:dyDescent="0.2">
      <c r="A59" s="143"/>
      <c r="B59" s="142"/>
    </row>
    <row r="60" spans="1:2" x14ac:dyDescent="0.2">
      <c r="A60" s="143"/>
      <c r="B60" s="142"/>
    </row>
    <row r="61" spans="1:2" x14ac:dyDescent="0.2">
      <c r="A61" s="143"/>
      <c r="B61" s="142"/>
    </row>
    <row r="62" spans="1:2" x14ac:dyDescent="0.2">
      <c r="A62" s="143"/>
      <c r="B62" s="142"/>
    </row>
    <row r="63" spans="1:2" x14ac:dyDescent="0.2">
      <c r="A63" s="143"/>
      <c r="B63" s="142"/>
    </row>
    <row r="64" spans="1:2" x14ac:dyDescent="0.2">
      <c r="A64" s="143"/>
      <c r="B64" s="144"/>
    </row>
    <row r="65" spans="1:2" x14ac:dyDescent="0.2">
      <c r="A65" s="143"/>
      <c r="B65" s="142"/>
    </row>
    <row r="66" spans="1:2" x14ac:dyDescent="0.2">
      <c r="A66" s="143"/>
      <c r="B66" s="142"/>
    </row>
    <row r="67" spans="1:2" x14ac:dyDescent="0.2">
      <c r="A67" s="143"/>
      <c r="B67" s="142"/>
    </row>
  </sheetData>
  <sortState xmlns:xlrd2="http://schemas.microsoft.com/office/spreadsheetml/2017/richdata2" ref="A8:E19">
    <sortCondition ref="A8"/>
  </sortState>
  <hyperlinks>
    <hyperlink ref="D4" r:id="rId1" xr:uid="{00000000-0004-0000-0E00-000000000000}"/>
    <hyperlink ref="D2" r:id="rId2" xr:uid="{00000000-0004-0000-0E00-000001000000}"/>
    <hyperlink ref="D3" r:id="rId3" xr:uid="{00000000-0004-0000-0E00-000002000000}"/>
    <hyperlink ref="E18" r:id="rId4" xr:uid="{00000000-0004-0000-0E00-000003000000}"/>
    <hyperlink ref="E19" r:id="rId5" xr:uid="{00000000-0004-0000-0E00-000004000000}"/>
    <hyperlink ref="E9" r:id="rId6" xr:uid="{00000000-0004-0000-0E00-000005000000}"/>
    <hyperlink ref="E10" r:id="rId7" xr:uid="{00000000-0004-0000-0E00-000006000000}"/>
    <hyperlink ref="E14" r:id="rId8" xr:uid="{00000000-0004-0000-0E00-000007000000}"/>
    <hyperlink ref="E16" r:id="rId9" xr:uid="{00000000-0004-0000-0E00-000008000000}"/>
    <hyperlink ref="E17" r:id="rId10" xr:uid="{00000000-0004-0000-0E00-000009000000}"/>
  </hyperlink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K38"/>
  <sheetViews>
    <sheetView workbookViewId="0">
      <selection activeCell="E13" sqref="E13"/>
    </sheetView>
  </sheetViews>
  <sheetFormatPr defaultColWidth="8.5703125" defaultRowHeight="12.75" x14ac:dyDescent="0.2"/>
  <cols>
    <col min="1" max="1" width="25.42578125" customWidth="1"/>
    <col min="2" max="2" width="11.42578125" customWidth="1"/>
    <col min="3" max="3" width="9.140625" customWidth="1"/>
    <col min="4" max="4" width="8.5703125" customWidth="1"/>
    <col min="5" max="13" width="11.42578125" customWidth="1"/>
    <col min="14" max="14" width="14.140625" bestFit="1" customWidth="1"/>
    <col min="15" max="255" width="11.42578125" customWidth="1"/>
  </cols>
  <sheetData>
    <row r="1" spans="1:8" x14ac:dyDescent="0.2">
      <c r="A1" s="5" t="s">
        <v>2613</v>
      </c>
    </row>
    <row r="3" spans="1:8" x14ac:dyDescent="0.2">
      <c r="A3" s="5" t="s">
        <v>2614</v>
      </c>
    </row>
    <row r="5" spans="1:8" ht="51" x14ac:dyDescent="0.2">
      <c r="A5" s="168" t="s">
        <v>2615</v>
      </c>
      <c r="B5" s="169" t="s">
        <v>2616</v>
      </c>
      <c r="C5" s="169" t="s">
        <v>2617</v>
      </c>
      <c r="D5" s="169" t="s">
        <v>2618</v>
      </c>
      <c r="E5" s="5" t="s">
        <v>2619</v>
      </c>
    </row>
    <row r="6" spans="1:8" x14ac:dyDescent="0.2">
      <c r="A6" s="3" t="s">
        <v>2620</v>
      </c>
      <c r="B6" s="171">
        <v>3.4</v>
      </c>
      <c r="C6" s="171">
        <v>0.1216</v>
      </c>
      <c r="D6" s="171">
        <v>0.2</v>
      </c>
      <c r="E6" t="s">
        <v>2621</v>
      </c>
    </row>
    <row r="7" spans="1:8" x14ac:dyDescent="0.2">
      <c r="A7" s="3" t="s">
        <v>2622</v>
      </c>
      <c r="B7" s="171">
        <v>3</v>
      </c>
      <c r="C7" s="171">
        <v>0.16</v>
      </c>
      <c r="D7" s="171">
        <v>0.2</v>
      </c>
      <c r="E7" t="s">
        <v>2623</v>
      </c>
    </row>
    <row r="8" spans="1:8" x14ac:dyDescent="0.2">
      <c r="A8" s="3" t="s">
        <v>2624</v>
      </c>
      <c r="B8" s="171">
        <v>0.2</v>
      </c>
      <c r="C8" s="171">
        <v>0.5</v>
      </c>
      <c r="D8" s="171">
        <v>0.5</v>
      </c>
      <c r="E8" t="s">
        <v>2621</v>
      </c>
    </row>
    <row r="9" spans="1:8" ht="14.25" x14ac:dyDescent="0.2">
      <c r="A9" s="3" t="s">
        <v>2625</v>
      </c>
      <c r="B9" s="171">
        <f>1.83*0.65+9.13*0.35</f>
        <v>4.3849999999999998</v>
      </c>
      <c r="C9" s="172">
        <f>0.805*0.35 + 0.63*0.65</f>
        <v>0.69125000000000003</v>
      </c>
      <c r="D9" s="172">
        <f>1.1*0.35 + 1.4*0.65</f>
        <v>1.2949999999999999</v>
      </c>
      <c r="E9" s="167" t="s">
        <v>2626</v>
      </c>
    </row>
    <row r="10" spans="1:8" ht="14.25" x14ac:dyDescent="0.2">
      <c r="A10" s="3" t="s">
        <v>2627</v>
      </c>
      <c r="B10" s="171">
        <v>1.2</v>
      </c>
      <c r="C10" s="171">
        <v>0.1</v>
      </c>
      <c r="D10" s="171">
        <v>0.5</v>
      </c>
      <c r="E10" s="167" t="s">
        <v>2621</v>
      </c>
    </row>
    <row r="11" spans="1:8" ht="14.25" x14ac:dyDescent="0.2">
      <c r="A11" s="3" t="s">
        <v>2628</v>
      </c>
      <c r="B11" s="171">
        <f>0.4*B6 + 0.3*B7 + 0.1*B10 + 0.05*B8 + 0.05*B9</f>
        <v>2.6092499999999998</v>
      </c>
      <c r="C11" s="171">
        <f>0.4*C6 + 0.3*C7 + 0.1*C10 + 0.05*C8 + 0.05*C9</f>
        <v>0.1662025</v>
      </c>
      <c r="D11" s="171">
        <f>0.4*D6 + 0.3*D7 + 0.1*D10 + 0.05*D8 + 0.05*D9</f>
        <v>0.27975</v>
      </c>
      <c r="E11" s="167" t="s">
        <v>2629</v>
      </c>
    </row>
    <row r="12" spans="1:8" ht="14.25" x14ac:dyDescent="0.2">
      <c r="A12" s="3" t="s">
        <v>2630</v>
      </c>
      <c r="B12" s="171">
        <f>0.62/A38</f>
        <v>1.0689655172413794</v>
      </c>
      <c r="C12" s="172">
        <v>0.37</v>
      </c>
      <c r="D12" s="172">
        <v>0.5</v>
      </c>
      <c r="E12" s="167" t="s">
        <v>2621</v>
      </c>
    </row>
    <row r="13" spans="1:8" ht="14.25" x14ac:dyDescent="0.2">
      <c r="A13" s="3" t="s">
        <v>584</v>
      </c>
      <c r="B13" s="171">
        <f>0.44/A38</f>
        <v>0.75862068965517249</v>
      </c>
      <c r="C13" s="172">
        <v>0.5</v>
      </c>
      <c r="D13" s="172">
        <v>0.5</v>
      </c>
      <c r="E13" s="167" t="s">
        <v>2621</v>
      </c>
    </row>
    <row r="14" spans="1:8" ht="14.25" x14ac:dyDescent="0.2">
      <c r="A14" s="3" t="s">
        <v>2631</v>
      </c>
      <c r="B14" s="171">
        <f>0.56/$A$38</f>
        <v>0.9655172413793105</v>
      </c>
      <c r="C14" s="172">
        <v>0.5</v>
      </c>
      <c r="D14" s="172">
        <v>0.5</v>
      </c>
      <c r="E14" s="167" t="s">
        <v>2621</v>
      </c>
    </row>
    <row r="15" spans="1:8" ht="14.25" x14ac:dyDescent="0.2">
      <c r="A15" s="3" t="s">
        <v>2632</v>
      </c>
      <c r="B15" s="171">
        <v>0.39600000000000002</v>
      </c>
      <c r="C15" s="172">
        <v>0.5</v>
      </c>
      <c r="D15" s="172">
        <v>0.5</v>
      </c>
      <c r="E15" s="167" t="s">
        <v>2623</v>
      </c>
    </row>
    <row r="16" spans="1:8" ht="14.25" x14ac:dyDescent="0.2">
      <c r="A16" s="3" t="s">
        <v>2633</v>
      </c>
      <c r="B16" s="171">
        <v>0.39600000000000002</v>
      </c>
      <c r="C16" s="172">
        <v>0.5</v>
      </c>
      <c r="D16" s="172">
        <v>0.5</v>
      </c>
      <c r="E16" s="167" t="s">
        <v>2623</v>
      </c>
      <c r="G16" t="s">
        <v>2634</v>
      </c>
      <c r="H16" t="s">
        <v>2635</v>
      </c>
    </row>
    <row r="17" spans="1:11" ht="14.25" x14ac:dyDescent="0.2">
      <c r="A17" s="3" t="s">
        <v>2636</v>
      </c>
      <c r="B17" s="171">
        <f>G17*(1-Recycling!D28) +H17*Recycling!D28</f>
        <v>0.01</v>
      </c>
      <c r="C17" s="172">
        <f>AVERAGE(0.16,2.96,0.02,0.81,1.44,2.03)</f>
        <v>1.2366666666666666</v>
      </c>
      <c r="D17" s="172">
        <f>AVERAGE(2.5, 3.94)</f>
        <v>3.2199999999999998</v>
      </c>
      <c r="E17" s="167" t="s">
        <v>2623</v>
      </c>
      <c r="G17" s="172">
        <v>0.01</v>
      </c>
      <c r="H17" s="172">
        <v>0.08</v>
      </c>
    </row>
    <row r="19" spans="1:11" x14ac:dyDescent="0.2">
      <c r="A19" s="168" t="s">
        <v>2637</v>
      </c>
      <c r="B19" s="719" t="s">
        <v>2638</v>
      </c>
      <c r="C19" s="719"/>
      <c r="D19" s="719"/>
      <c r="E19" s="719"/>
      <c r="F19" s="719"/>
      <c r="G19" s="719"/>
      <c r="H19" s="719"/>
      <c r="I19" s="719"/>
      <c r="J19" s="719"/>
      <c r="K19" s="719"/>
    </row>
    <row r="20" spans="1:11" ht="14.1" customHeight="1" x14ac:dyDescent="0.2">
      <c r="B20" s="720" t="s">
        <v>2639</v>
      </c>
      <c r="C20" s="720"/>
      <c r="D20" s="720"/>
      <c r="E20" s="720"/>
      <c r="F20" s="720"/>
      <c r="G20" s="720"/>
      <c r="H20" s="720"/>
      <c r="I20" s="720"/>
      <c r="J20" s="720"/>
      <c r="K20" s="720"/>
    </row>
    <row r="21" spans="1:11" ht="14.1" customHeight="1" x14ac:dyDescent="0.2">
      <c r="A21" s="5" t="s">
        <v>2640</v>
      </c>
      <c r="B21" s="213" t="s">
        <v>2641</v>
      </c>
      <c r="C21" s="212"/>
      <c r="D21" s="212"/>
      <c r="E21" s="212"/>
      <c r="F21" s="212"/>
      <c r="G21" s="212"/>
      <c r="H21" s="212"/>
      <c r="I21" s="212"/>
      <c r="J21" s="212"/>
      <c r="K21" s="212"/>
    </row>
    <row r="22" spans="1:11" ht="14.1" customHeight="1" x14ac:dyDescent="0.2">
      <c r="B22" s="213" t="s">
        <v>2642</v>
      </c>
      <c r="C22" s="212"/>
      <c r="D22" s="212"/>
      <c r="E22" s="212"/>
      <c r="F22" s="212"/>
      <c r="G22" s="212"/>
      <c r="H22" s="212"/>
      <c r="I22" s="212"/>
      <c r="J22" s="212"/>
      <c r="K22" s="212"/>
    </row>
    <row r="23" spans="1:11" ht="14.1" customHeight="1" x14ac:dyDescent="0.2">
      <c r="B23" s="213" t="s">
        <v>2643</v>
      </c>
      <c r="C23" s="212"/>
      <c r="D23" s="212"/>
      <c r="E23" s="212"/>
      <c r="F23" s="212"/>
      <c r="G23" s="212"/>
      <c r="H23" s="212"/>
      <c r="I23" s="212"/>
      <c r="J23" s="212"/>
      <c r="K23" s="212"/>
    </row>
    <row r="24" spans="1:11" ht="14.1" customHeight="1" x14ac:dyDescent="0.2">
      <c r="B24" s="213" t="s">
        <v>2644</v>
      </c>
      <c r="C24" s="212"/>
      <c r="D24" s="212"/>
      <c r="E24" s="212"/>
      <c r="F24" s="212"/>
      <c r="G24" s="212"/>
      <c r="H24" s="212"/>
      <c r="I24" s="212"/>
      <c r="J24" s="212"/>
      <c r="K24" s="212"/>
    </row>
    <row r="25" spans="1:11" ht="14.1" customHeight="1" x14ac:dyDescent="0.2">
      <c r="B25" s="213" t="s">
        <v>2645</v>
      </c>
      <c r="C25" s="212"/>
      <c r="D25" s="212"/>
      <c r="E25" s="212"/>
      <c r="F25" s="212"/>
      <c r="G25" s="212"/>
      <c r="H25" s="212"/>
      <c r="I25" s="212"/>
      <c r="J25" s="212"/>
      <c r="K25" s="212"/>
    </row>
    <row r="26" spans="1:11" ht="14.1" customHeight="1" x14ac:dyDescent="0.2">
      <c r="B26" s="213" t="s">
        <v>2646</v>
      </c>
      <c r="C26" s="212"/>
      <c r="D26" s="212"/>
      <c r="E26" s="212"/>
      <c r="F26" s="212"/>
      <c r="G26" s="212"/>
      <c r="H26" s="212"/>
      <c r="I26" s="212"/>
      <c r="J26" s="212"/>
      <c r="K26" s="212"/>
    </row>
    <row r="27" spans="1:11" ht="14.1" customHeight="1" x14ac:dyDescent="0.2">
      <c r="B27" s="213" t="s">
        <v>2647</v>
      </c>
      <c r="C27" s="212"/>
      <c r="D27" s="212"/>
      <c r="E27" s="212"/>
      <c r="F27" s="212"/>
      <c r="G27" s="212"/>
      <c r="H27" s="212"/>
      <c r="I27" s="212"/>
      <c r="J27" s="212"/>
      <c r="K27" s="212"/>
    </row>
    <row r="28" spans="1:11" ht="14.1" customHeight="1" x14ac:dyDescent="0.2">
      <c r="B28" s="212"/>
      <c r="C28" s="212"/>
      <c r="D28" s="212"/>
      <c r="E28" s="212"/>
      <c r="F28" s="212"/>
      <c r="G28" s="212"/>
      <c r="H28" s="212"/>
      <c r="I28" s="212"/>
      <c r="J28" s="212"/>
      <c r="K28" s="212"/>
    </row>
    <row r="29" spans="1:11" x14ac:dyDescent="0.2">
      <c r="A29" s="168" t="s">
        <v>2648</v>
      </c>
      <c r="B29" t="s">
        <v>2649</v>
      </c>
    </row>
    <row r="30" spans="1:11" x14ac:dyDescent="0.2">
      <c r="B30" t="s">
        <v>2650</v>
      </c>
    </row>
    <row r="31" spans="1:11" x14ac:dyDescent="0.2">
      <c r="B31" t="s">
        <v>2651</v>
      </c>
    </row>
    <row r="36" spans="1:2" x14ac:dyDescent="0.2">
      <c r="A36" t="s">
        <v>2652</v>
      </c>
    </row>
    <row r="37" spans="1:2" x14ac:dyDescent="0.2">
      <c r="A37" t="s">
        <v>2653</v>
      </c>
    </row>
    <row r="38" spans="1:2" x14ac:dyDescent="0.2">
      <c r="A38">
        <v>0.57999999999999996</v>
      </c>
      <c r="B38" t="s">
        <v>2654</v>
      </c>
    </row>
  </sheetData>
  <mergeCells count="2">
    <mergeCell ref="B19:K19"/>
    <mergeCell ref="B20:K20"/>
  </mergeCells>
  <pageMargins left="0.75" right="0.75" top="1" bottom="1" header="0.5" footer="0.5"/>
  <pageSetup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G96"/>
  <sheetViews>
    <sheetView showGridLines="0" topLeftCell="A7" zoomScaleNormal="100" zoomScalePageLayoutView="70" workbookViewId="0">
      <selection activeCell="G60" sqref="G60"/>
    </sheetView>
  </sheetViews>
  <sheetFormatPr defaultColWidth="8.5703125" defaultRowHeight="12.75" x14ac:dyDescent="0.2"/>
  <cols>
    <col min="1" max="1" width="6.140625" customWidth="1"/>
    <col min="2" max="2" width="72.42578125" customWidth="1"/>
    <col min="3" max="3" width="1.5703125" customWidth="1"/>
    <col min="4" max="4" width="6.42578125" customWidth="1"/>
    <col min="5" max="5" width="77.140625" customWidth="1"/>
    <col min="6" max="6" width="2.42578125" customWidth="1"/>
  </cols>
  <sheetData>
    <row r="1" spans="1:6" ht="39" customHeight="1" thickBot="1" x14ac:dyDescent="0.25"/>
    <row r="2" spans="1:6" ht="45.6" customHeight="1" thickBot="1" x14ac:dyDescent="0.25">
      <c r="A2" s="556" t="s">
        <v>1</v>
      </c>
      <c r="B2" s="557"/>
      <c r="C2" s="557"/>
      <c r="D2" s="557"/>
      <c r="E2" s="557"/>
      <c r="F2" s="558"/>
    </row>
    <row r="3" spans="1:6" ht="15.75" x14ac:dyDescent="0.25">
      <c r="A3" s="559"/>
      <c r="B3" s="560"/>
      <c r="C3" s="560"/>
      <c r="D3" s="560"/>
      <c r="E3" s="560"/>
      <c r="F3" s="561"/>
    </row>
    <row r="4" spans="1:6" ht="13.5" customHeight="1" thickBot="1" x14ac:dyDescent="0.3">
      <c r="A4" s="62" t="s">
        <v>2</v>
      </c>
      <c r="B4" s="63" t="s">
        <v>3</v>
      </c>
      <c r="C4" s="64"/>
      <c r="D4" s="63" t="s">
        <v>4</v>
      </c>
      <c r="E4" s="63" t="s">
        <v>5</v>
      </c>
      <c r="F4" s="65"/>
    </row>
    <row r="5" spans="1:6" ht="13.5" thickBot="1" x14ac:dyDescent="0.25">
      <c r="A5" s="66"/>
      <c r="B5" s="150"/>
      <c r="C5" s="64"/>
      <c r="D5" s="64"/>
      <c r="E5" s="148" t="s">
        <v>6</v>
      </c>
      <c r="F5" s="65"/>
    </row>
    <row r="6" spans="1:6" ht="7.5" customHeight="1" x14ac:dyDescent="0.2">
      <c r="A6" s="66"/>
      <c r="B6" s="64"/>
      <c r="C6" s="64"/>
      <c r="D6" s="64"/>
      <c r="E6" s="64"/>
      <c r="F6" s="65"/>
    </row>
    <row r="7" spans="1:6" ht="29.1" customHeight="1" thickBot="1" x14ac:dyDescent="0.3">
      <c r="A7" s="62" t="s">
        <v>7</v>
      </c>
      <c r="B7" s="173" t="str">
        <f>HYPERLINK("#"&amp;"Applicant_Information!$A$74:$F$88","Application Type. Select from dropdown list below. (Click here to read a description of each type)")</f>
        <v>Application Type. Select from dropdown list below. (Click here to read a description of each type)</v>
      </c>
      <c r="C7" s="63"/>
      <c r="D7" s="63" t="s">
        <v>8</v>
      </c>
      <c r="E7" s="63" t="s">
        <v>9</v>
      </c>
      <c r="F7" s="65"/>
    </row>
    <row r="8" spans="1:6" ht="13.5" thickBot="1" x14ac:dyDescent="0.25">
      <c r="A8" s="66"/>
      <c r="B8" s="170" t="s">
        <v>6</v>
      </c>
      <c r="C8" s="64"/>
      <c r="D8" s="64"/>
      <c r="E8" s="184"/>
      <c r="F8" s="65"/>
    </row>
    <row r="9" spans="1:6" ht="7.35" customHeight="1" x14ac:dyDescent="0.2">
      <c r="A9" s="66"/>
      <c r="B9" s="64"/>
      <c r="C9" s="64"/>
      <c r="D9" s="64"/>
      <c r="E9" s="64"/>
      <c r="F9" s="65"/>
    </row>
    <row r="10" spans="1:6" ht="13.5" customHeight="1" thickBot="1" x14ac:dyDescent="0.3">
      <c r="A10" s="62" t="s">
        <v>10</v>
      </c>
      <c r="B10" s="63" t="s">
        <v>11</v>
      </c>
      <c r="C10" s="63"/>
      <c r="D10" s="63" t="s">
        <v>12</v>
      </c>
      <c r="E10" s="63" t="s">
        <v>13</v>
      </c>
      <c r="F10" s="65"/>
    </row>
    <row r="11" spans="1:6" ht="13.5" thickBot="1" x14ac:dyDescent="0.25">
      <c r="A11" s="66"/>
      <c r="B11" s="150"/>
      <c r="C11" s="64"/>
      <c r="D11" s="64"/>
      <c r="E11" s="185"/>
      <c r="F11" s="65"/>
    </row>
    <row r="12" spans="1:6" ht="7.35" customHeight="1" x14ac:dyDescent="0.2">
      <c r="A12" s="66"/>
      <c r="B12" s="64"/>
      <c r="C12" s="64"/>
      <c r="D12" s="64"/>
      <c r="E12" s="64"/>
      <c r="F12" s="65"/>
    </row>
    <row r="13" spans="1:6" ht="13.5" customHeight="1" thickBot="1" x14ac:dyDescent="0.3">
      <c r="A13" s="62" t="s">
        <v>14</v>
      </c>
      <c r="B13" s="63" t="s">
        <v>15</v>
      </c>
      <c r="C13" s="63"/>
      <c r="D13" s="63" t="s">
        <v>16</v>
      </c>
      <c r="E13" s="63" t="s">
        <v>17</v>
      </c>
      <c r="F13" s="65"/>
    </row>
    <row r="14" spans="1:6" ht="13.5" thickBot="1" x14ac:dyDescent="0.25">
      <c r="A14" s="66"/>
      <c r="B14" s="150"/>
      <c r="C14" s="64"/>
      <c r="D14" s="64"/>
      <c r="E14" s="150"/>
      <c r="F14" s="65"/>
    </row>
    <row r="15" spans="1:6" ht="7.35" customHeight="1" x14ac:dyDescent="0.2">
      <c r="A15" s="66"/>
      <c r="B15" s="64"/>
      <c r="C15" s="64"/>
      <c r="D15" s="64"/>
      <c r="E15" s="64"/>
      <c r="F15" s="65"/>
    </row>
    <row r="16" spans="1:6" ht="13.5" customHeight="1" thickBot="1" x14ac:dyDescent="0.3">
      <c r="A16" s="62" t="s">
        <v>18</v>
      </c>
      <c r="B16" s="63" t="s">
        <v>19</v>
      </c>
      <c r="C16" s="63"/>
      <c r="D16" s="63" t="s">
        <v>20</v>
      </c>
      <c r="E16" s="63" t="s">
        <v>21</v>
      </c>
      <c r="F16" s="65"/>
    </row>
    <row r="17" spans="1:6" ht="13.5" thickBot="1" x14ac:dyDescent="0.25">
      <c r="A17" s="66"/>
      <c r="B17" s="150"/>
      <c r="C17" s="64"/>
      <c r="D17" s="64"/>
      <c r="E17" s="186"/>
      <c r="F17" s="65"/>
    </row>
    <row r="18" spans="1:6" ht="7.35" customHeight="1" x14ac:dyDescent="0.2">
      <c r="A18" s="66"/>
      <c r="B18" s="64"/>
      <c r="C18" s="64"/>
      <c r="D18" s="64"/>
      <c r="E18" s="64"/>
      <c r="F18" s="65"/>
    </row>
    <row r="19" spans="1:6" ht="13.5" customHeight="1" thickBot="1" x14ac:dyDescent="0.3">
      <c r="A19" s="62" t="s">
        <v>22</v>
      </c>
      <c r="B19" s="63" t="s">
        <v>23</v>
      </c>
      <c r="C19" s="63"/>
      <c r="D19" s="63" t="s">
        <v>24</v>
      </c>
      <c r="E19" s="63" t="s">
        <v>25</v>
      </c>
      <c r="F19" s="65"/>
    </row>
    <row r="20" spans="1:6" ht="13.5" thickBot="1" x14ac:dyDescent="0.25">
      <c r="A20" s="66"/>
      <c r="B20" s="150"/>
      <c r="C20" s="64"/>
      <c r="D20" s="64"/>
      <c r="E20" s="150"/>
      <c r="F20" s="65"/>
    </row>
    <row r="21" spans="1:6" ht="7.35" customHeight="1" x14ac:dyDescent="0.2">
      <c r="A21" s="66"/>
      <c r="B21" s="64"/>
      <c r="C21" s="64"/>
      <c r="D21" s="64"/>
      <c r="E21" s="64"/>
      <c r="F21" s="65"/>
    </row>
    <row r="22" spans="1:6" ht="13.5" customHeight="1" thickBot="1" x14ac:dyDescent="0.3">
      <c r="A22" s="62" t="s">
        <v>26</v>
      </c>
      <c r="B22" s="63" t="s">
        <v>27</v>
      </c>
      <c r="C22" s="63"/>
      <c r="D22" s="63" t="s">
        <v>28</v>
      </c>
      <c r="E22" s="63" t="s">
        <v>29</v>
      </c>
      <c r="F22" s="65"/>
    </row>
    <row r="23" spans="1:6" ht="13.5" thickBot="1" x14ac:dyDescent="0.25">
      <c r="A23" s="66"/>
      <c r="B23" s="150"/>
      <c r="C23" s="64"/>
      <c r="D23" s="64"/>
      <c r="E23" s="150"/>
      <c r="F23" s="65"/>
    </row>
    <row r="24" spans="1:6" ht="7.35" customHeight="1" x14ac:dyDescent="0.2">
      <c r="A24" s="66"/>
      <c r="B24" s="64"/>
      <c r="C24" s="64"/>
      <c r="D24" s="64"/>
      <c r="E24" s="64"/>
      <c r="F24" s="65"/>
    </row>
    <row r="25" spans="1:6" ht="13.5" customHeight="1" thickBot="1" x14ac:dyDescent="0.3">
      <c r="A25" s="62" t="s">
        <v>30</v>
      </c>
      <c r="B25" s="63" t="s">
        <v>31</v>
      </c>
      <c r="C25" s="63"/>
      <c r="D25" s="63" t="s">
        <v>32</v>
      </c>
      <c r="E25" s="63" t="s">
        <v>33</v>
      </c>
      <c r="F25" s="65"/>
    </row>
    <row r="26" spans="1:6" ht="13.5" thickBot="1" x14ac:dyDescent="0.25">
      <c r="A26" s="66"/>
      <c r="B26" s="150"/>
      <c r="C26" s="64"/>
      <c r="D26" s="64"/>
      <c r="E26" s="150"/>
      <c r="F26" s="65"/>
    </row>
    <row r="27" spans="1:6" ht="7.35" customHeight="1" x14ac:dyDescent="0.2">
      <c r="A27" s="66"/>
      <c r="B27" s="64"/>
      <c r="C27" s="64"/>
      <c r="D27" s="64"/>
      <c r="E27" s="64"/>
      <c r="F27" s="65"/>
    </row>
    <row r="28" spans="1:6" ht="13.5" customHeight="1" thickBot="1" x14ac:dyDescent="0.3">
      <c r="A28" s="62" t="s">
        <v>34</v>
      </c>
      <c r="B28" s="63" t="s">
        <v>35</v>
      </c>
      <c r="C28" s="63"/>
      <c r="D28" s="63" t="s">
        <v>36</v>
      </c>
      <c r="E28" s="63" t="s">
        <v>37</v>
      </c>
      <c r="F28" s="65"/>
    </row>
    <row r="29" spans="1:6" ht="13.5" thickBot="1" x14ac:dyDescent="0.25">
      <c r="A29" s="66"/>
      <c r="B29" s="150"/>
      <c r="C29" s="64"/>
      <c r="D29" s="64"/>
      <c r="E29" s="150"/>
      <c r="F29" s="65"/>
    </row>
    <row r="30" spans="1:6" ht="7.35" customHeight="1" x14ac:dyDescent="0.2">
      <c r="A30" s="66"/>
      <c r="B30" s="64"/>
      <c r="C30" s="64"/>
      <c r="D30" s="64"/>
      <c r="E30" s="64"/>
      <c r="F30" s="65"/>
    </row>
    <row r="31" spans="1:6" ht="13.5" customHeight="1" thickBot="1" x14ac:dyDescent="0.3">
      <c r="A31" s="62" t="s">
        <v>38</v>
      </c>
      <c r="B31" s="63" t="s">
        <v>39</v>
      </c>
      <c r="C31" s="63"/>
      <c r="D31" s="63" t="s">
        <v>40</v>
      </c>
      <c r="E31" s="63" t="s">
        <v>41</v>
      </c>
      <c r="F31" s="65"/>
    </row>
    <row r="32" spans="1:6" ht="13.5" thickBot="1" x14ac:dyDescent="0.25">
      <c r="A32" s="66"/>
      <c r="B32" s="150"/>
      <c r="C32" s="64"/>
      <c r="D32" s="64"/>
      <c r="E32" s="150"/>
      <c r="F32" s="65"/>
    </row>
    <row r="33" spans="1:6" ht="7.35" customHeight="1" x14ac:dyDescent="0.2">
      <c r="A33" s="66"/>
      <c r="B33" s="64"/>
      <c r="C33" s="64"/>
      <c r="D33" s="64"/>
      <c r="E33" s="64"/>
      <c r="F33" s="65"/>
    </row>
    <row r="34" spans="1:6" ht="13.5" customHeight="1" thickBot="1" x14ac:dyDescent="0.3">
      <c r="A34" s="62" t="s">
        <v>42</v>
      </c>
      <c r="B34" s="63" t="s">
        <v>43</v>
      </c>
      <c r="C34" s="63"/>
      <c r="D34" s="63" t="s">
        <v>44</v>
      </c>
      <c r="E34" s="63" t="s">
        <v>45</v>
      </c>
      <c r="F34" s="65"/>
    </row>
    <row r="35" spans="1:6" ht="13.5" thickBot="1" x14ac:dyDescent="0.25">
      <c r="A35" s="66"/>
      <c r="B35" s="150"/>
      <c r="C35" s="64"/>
      <c r="D35" s="64"/>
      <c r="E35" s="150"/>
      <c r="F35" s="65"/>
    </row>
    <row r="36" spans="1:6" ht="7.35" customHeight="1" x14ac:dyDescent="0.2">
      <c r="A36" s="66"/>
      <c r="B36" s="64"/>
      <c r="C36" s="64"/>
      <c r="D36" s="64"/>
      <c r="E36" s="64"/>
      <c r="F36" s="65"/>
    </row>
    <row r="37" spans="1:6" ht="62.1" customHeight="1" thickBot="1" x14ac:dyDescent="0.25">
      <c r="A37" s="75" t="s">
        <v>46</v>
      </c>
      <c r="B37" s="74" t="s">
        <v>47</v>
      </c>
      <c r="C37" s="64"/>
      <c r="D37" s="76" t="s">
        <v>48</v>
      </c>
      <c r="E37" s="74" t="s">
        <v>49</v>
      </c>
      <c r="F37" s="65"/>
    </row>
    <row r="38" spans="1:6" ht="18.75" customHeight="1" thickBot="1" x14ac:dyDescent="0.25">
      <c r="A38" s="66"/>
      <c r="B38" s="151"/>
      <c r="C38" s="64"/>
      <c r="D38" s="64"/>
      <c r="E38" s="151"/>
      <c r="F38" s="65"/>
    </row>
    <row r="39" spans="1:6" ht="13.5" thickBot="1" x14ac:dyDescent="0.25">
      <c r="A39" s="66"/>
      <c r="B39" s="151"/>
      <c r="C39" s="64"/>
      <c r="D39" s="64"/>
      <c r="E39" s="151"/>
      <c r="F39" s="65"/>
    </row>
    <row r="40" spans="1:6" ht="13.5" thickBot="1" x14ac:dyDescent="0.25">
      <c r="A40" s="66"/>
      <c r="B40" s="150"/>
      <c r="C40" s="64"/>
      <c r="D40" s="64"/>
      <c r="E40" s="150"/>
      <c r="F40" s="67"/>
    </row>
    <row r="41" spans="1:6" ht="13.5" thickBot="1" x14ac:dyDescent="0.25">
      <c r="A41" s="66"/>
      <c r="B41" s="150"/>
      <c r="C41" s="64"/>
      <c r="D41" s="64"/>
      <c r="E41" s="150"/>
      <c r="F41" s="67"/>
    </row>
    <row r="42" spans="1:6" ht="13.5" thickBot="1" x14ac:dyDescent="0.25">
      <c r="A42" s="66"/>
      <c r="B42" s="150"/>
      <c r="C42" s="64"/>
      <c r="D42" s="64"/>
      <c r="E42" s="150"/>
      <c r="F42" s="67"/>
    </row>
    <row r="43" spans="1:6" ht="13.5" thickBot="1" x14ac:dyDescent="0.25">
      <c r="A43" s="66"/>
      <c r="B43" s="150"/>
      <c r="C43" s="64"/>
      <c r="D43" s="64"/>
      <c r="E43" s="150"/>
      <c r="F43" s="67"/>
    </row>
    <row r="44" spans="1:6" ht="13.5" thickBot="1" x14ac:dyDescent="0.25">
      <c r="A44" s="66"/>
      <c r="B44" s="150"/>
      <c r="C44" s="64"/>
      <c r="D44" s="64"/>
      <c r="E44" s="150"/>
      <c r="F44" s="67"/>
    </row>
    <row r="45" spans="1:6" ht="13.5" thickBot="1" x14ac:dyDescent="0.25">
      <c r="A45" s="66"/>
      <c r="B45" s="150"/>
      <c r="C45" s="64"/>
      <c r="D45" s="64"/>
      <c r="E45" s="150"/>
      <c r="F45" s="67"/>
    </row>
    <row r="46" spans="1:6" ht="13.5" thickBot="1" x14ac:dyDescent="0.25">
      <c r="A46" s="66"/>
      <c r="B46" s="150"/>
      <c r="C46" s="64"/>
      <c r="D46" s="64"/>
      <c r="E46" s="150"/>
      <c r="F46" s="67"/>
    </row>
    <row r="47" spans="1:6" ht="13.5" thickBot="1" x14ac:dyDescent="0.25">
      <c r="A47" s="66"/>
      <c r="B47" s="182"/>
      <c r="C47" s="64"/>
      <c r="D47" s="64"/>
      <c r="E47" s="150"/>
      <c r="F47" s="67"/>
    </row>
    <row r="48" spans="1:6" ht="13.5" thickBot="1" x14ac:dyDescent="0.25">
      <c r="A48" s="66"/>
      <c r="B48" s="149"/>
      <c r="C48" s="64"/>
      <c r="D48" s="64"/>
      <c r="E48" s="147"/>
      <c r="F48" s="67"/>
    </row>
    <row r="49" spans="1:6" x14ac:dyDescent="0.2">
      <c r="A49" s="68"/>
      <c r="B49" s="69"/>
      <c r="C49" s="70"/>
      <c r="D49" s="70"/>
      <c r="E49" s="69"/>
      <c r="F49" s="65"/>
    </row>
    <row r="50" spans="1:6" ht="15.75" x14ac:dyDescent="0.25">
      <c r="A50" s="562"/>
      <c r="B50" s="563"/>
      <c r="C50" s="563"/>
      <c r="D50" s="563"/>
      <c r="E50" s="563"/>
      <c r="F50" s="563"/>
    </row>
    <row r="51" spans="1:6" ht="15" x14ac:dyDescent="0.25">
      <c r="A51" s="77" t="s">
        <v>50</v>
      </c>
      <c r="B51" s="78"/>
      <c r="C51" s="64"/>
      <c r="D51" s="64"/>
      <c r="E51" s="64"/>
      <c r="F51" s="65"/>
    </row>
    <row r="52" spans="1:6" ht="15" customHeight="1" thickBot="1" x14ac:dyDescent="0.3">
      <c r="A52" s="62" t="s">
        <v>51</v>
      </c>
      <c r="B52" s="63" t="s">
        <v>52</v>
      </c>
      <c r="C52" s="64"/>
      <c r="D52" s="63" t="s">
        <v>53</v>
      </c>
      <c r="E52" s="63" t="s">
        <v>54</v>
      </c>
      <c r="F52" s="65"/>
    </row>
    <row r="53" spans="1:6" ht="13.5" thickBot="1" x14ac:dyDescent="0.25">
      <c r="A53" s="66"/>
      <c r="B53" s="150"/>
      <c r="C53" s="64"/>
      <c r="D53" s="64"/>
      <c r="E53" s="148" t="s">
        <v>6</v>
      </c>
      <c r="F53" s="65"/>
    </row>
    <row r="54" spans="1:6" ht="6.6" customHeight="1" x14ac:dyDescent="0.2">
      <c r="A54" s="66"/>
      <c r="B54" s="64"/>
      <c r="C54" s="64"/>
      <c r="D54" s="64"/>
      <c r="E54" s="64"/>
      <c r="F54" s="65"/>
    </row>
    <row r="55" spans="1:6" ht="15" customHeight="1" thickBot="1" x14ac:dyDescent="0.3">
      <c r="A55" s="62" t="s">
        <v>55</v>
      </c>
      <c r="B55" s="63" t="s">
        <v>56</v>
      </c>
      <c r="C55" s="64"/>
      <c r="D55" s="64"/>
      <c r="E55" s="64"/>
      <c r="F55" s="65"/>
    </row>
    <row r="56" spans="1:6" ht="13.5" thickBot="1" x14ac:dyDescent="0.25">
      <c r="A56" s="66"/>
      <c r="B56" s="184"/>
      <c r="C56" s="64"/>
      <c r="D56" s="64"/>
      <c r="E56" s="64"/>
      <c r="F56" s="65"/>
    </row>
    <row r="57" spans="1:6" ht="6.6" customHeight="1" x14ac:dyDescent="0.2">
      <c r="A57" s="66"/>
      <c r="B57" s="64"/>
      <c r="C57" s="64"/>
      <c r="D57" s="64"/>
      <c r="E57" s="64"/>
      <c r="F57" s="65"/>
    </row>
    <row r="58" spans="1:6" ht="15" x14ac:dyDescent="0.25">
      <c r="A58" s="71" t="s">
        <v>57</v>
      </c>
      <c r="B58" s="64"/>
      <c r="C58" s="64"/>
      <c r="D58" s="64"/>
      <c r="E58" s="64"/>
      <c r="F58" s="65"/>
    </row>
    <row r="59" spans="1:6" ht="15" customHeight="1" thickBot="1" x14ac:dyDescent="0.3">
      <c r="A59" s="62" t="s">
        <v>58</v>
      </c>
      <c r="B59" s="63" t="s">
        <v>52</v>
      </c>
      <c r="C59" s="64"/>
      <c r="D59" s="63" t="s">
        <v>59</v>
      </c>
      <c r="E59" s="63" t="s">
        <v>54</v>
      </c>
      <c r="F59" s="65"/>
    </row>
    <row r="60" spans="1:6" ht="13.5" thickBot="1" x14ac:dyDescent="0.25">
      <c r="A60" s="66"/>
      <c r="B60" s="150"/>
      <c r="C60" s="64"/>
      <c r="D60" s="64"/>
      <c r="E60" s="170" t="s">
        <v>6</v>
      </c>
      <c r="F60" s="65"/>
    </row>
    <row r="61" spans="1:6" ht="6.6" customHeight="1" x14ac:dyDescent="0.2">
      <c r="A61" s="66"/>
      <c r="B61" s="64"/>
      <c r="C61" s="64"/>
      <c r="D61" s="64"/>
      <c r="E61" s="64"/>
      <c r="F61" s="65"/>
    </row>
    <row r="62" spans="1:6" ht="15" customHeight="1" thickBot="1" x14ac:dyDescent="0.3">
      <c r="A62" s="62" t="s">
        <v>60</v>
      </c>
      <c r="B62" s="63" t="s">
        <v>56</v>
      </c>
      <c r="C62" s="64"/>
      <c r="D62" s="64"/>
      <c r="E62" s="64"/>
      <c r="F62" s="65"/>
    </row>
    <row r="63" spans="1:6" ht="13.5" thickBot="1" x14ac:dyDescent="0.25">
      <c r="A63" s="66"/>
      <c r="B63" s="184"/>
      <c r="C63" s="64"/>
      <c r="D63" s="64"/>
      <c r="E63" s="64"/>
      <c r="F63" s="65"/>
    </row>
    <row r="64" spans="1:6" x14ac:dyDescent="0.2">
      <c r="A64" s="66"/>
      <c r="B64" s="64"/>
      <c r="C64" s="64"/>
      <c r="D64" s="64"/>
      <c r="E64" s="64"/>
      <c r="F64" s="65"/>
    </row>
    <row r="65" spans="1:7" ht="15.75" thickBot="1" x14ac:dyDescent="0.3">
      <c r="A65" s="71" t="s">
        <v>61</v>
      </c>
      <c r="B65" s="72"/>
      <c r="C65" s="64"/>
      <c r="D65" s="64"/>
      <c r="E65" s="64"/>
      <c r="F65" s="65"/>
    </row>
    <row r="66" spans="1:7" ht="50.25" customHeight="1" thickBot="1" x14ac:dyDescent="0.25">
      <c r="A66" s="75" t="s">
        <v>62</v>
      </c>
      <c r="B66" s="151"/>
      <c r="C66" s="64"/>
      <c r="D66" s="64"/>
      <c r="E66" s="64"/>
      <c r="F66" s="65"/>
    </row>
    <row r="67" spans="1:7" ht="15" x14ac:dyDescent="0.25">
      <c r="A67" s="71" t="s">
        <v>63</v>
      </c>
      <c r="B67" s="216"/>
      <c r="C67" s="216"/>
      <c r="D67" s="216"/>
      <c r="E67" s="216"/>
      <c r="F67" s="65"/>
    </row>
    <row r="68" spans="1:7" ht="15.75" thickBot="1" x14ac:dyDescent="0.3">
      <c r="A68" s="62" t="s">
        <v>64</v>
      </c>
      <c r="B68" s="63" t="s">
        <v>52</v>
      </c>
      <c r="C68" s="64"/>
      <c r="D68" s="63" t="s">
        <v>65</v>
      </c>
      <c r="E68" s="63" t="s">
        <v>66</v>
      </c>
      <c r="F68" s="65"/>
    </row>
    <row r="69" spans="1:7" ht="13.5" thickBot="1" x14ac:dyDescent="0.25">
      <c r="A69" s="66"/>
      <c r="B69" s="150"/>
      <c r="C69" s="64"/>
      <c r="D69" s="64"/>
      <c r="E69" s="148" t="s">
        <v>6</v>
      </c>
      <c r="F69" s="65"/>
    </row>
    <row r="70" spans="1:7" x14ac:dyDescent="0.2">
      <c r="A70" s="66"/>
      <c r="B70" s="64"/>
      <c r="C70" s="64"/>
      <c r="D70" s="64"/>
      <c r="E70" s="64"/>
      <c r="F70" s="65"/>
    </row>
    <row r="71" spans="1:7" ht="15.75" thickBot="1" x14ac:dyDescent="0.3">
      <c r="A71" s="62" t="s">
        <v>67</v>
      </c>
      <c r="B71" s="63" t="s">
        <v>68</v>
      </c>
      <c r="C71" s="64"/>
      <c r="D71" s="64"/>
      <c r="E71" s="64"/>
      <c r="F71" s="65"/>
    </row>
    <row r="72" spans="1:7" ht="13.5" thickBot="1" x14ac:dyDescent="0.25">
      <c r="A72" s="66"/>
      <c r="B72" s="184"/>
      <c r="C72" s="64"/>
      <c r="D72" s="64"/>
      <c r="E72" s="64"/>
      <c r="F72" s="65"/>
    </row>
    <row r="73" spans="1:7" x14ac:dyDescent="0.2">
      <c r="A73" s="68"/>
      <c r="B73" s="70"/>
      <c r="C73" s="70"/>
      <c r="D73" s="70"/>
      <c r="E73" s="70"/>
      <c r="F73" s="73"/>
    </row>
    <row r="75" spans="1:7" ht="15.75" x14ac:dyDescent="0.25">
      <c r="A75" s="564" t="str">
        <f>HYPERLINK("#"&amp;"Qualified_Property_List!$A$1","Click Here to Go to Qualified_Property_List -&gt;")</f>
        <v>Click Here to Go to Qualified_Property_List -&gt;</v>
      </c>
      <c r="B75" s="565"/>
    </row>
    <row r="76" spans="1:7" ht="13.5" thickBot="1" x14ac:dyDescent="0.25"/>
    <row r="77" spans="1:7" ht="32.1" customHeight="1" x14ac:dyDescent="0.2">
      <c r="A77" s="120" t="s">
        <v>69</v>
      </c>
      <c r="B77" s="113"/>
      <c r="C77" s="113"/>
      <c r="D77" s="113"/>
      <c r="E77" s="113"/>
      <c r="F77" s="114"/>
      <c r="G77" s="121"/>
    </row>
    <row r="78" spans="1:7" ht="15" x14ac:dyDescent="0.25">
      <c r="A78" s="115" t="s">
        <v>70</v>
      </c>
      <c r="B78" s="116"/>
      <c r="C78" s="116"/>
      <c r="D78" s="116"/>
      <c r="E78" s="116"/>
      <c r="F78" s="117"/>
      <c r="G78" s="121"/>
    </row>
    <row r="79" spans="1:7" ht="15" x14ac:dyDescent="0.25">
      <c r="A79" s="280" t="s">
        <v>71</v>
      </c>
      <c r="B79" s="116"/>
      <c r="C79" s="116"/>
      <c r="D79" s="116"/>
      <c r="E79" s="116"/>
      <c r="F79" s="117"/>
      <c r="G79" s="121"/>
    </row>
    <row r="80" spans="1:7" ht="15" x14ac:dyDescent="0.25">
      <c r="A80" s="115" t="s">
        <v>72</v>
      </c>
      <c r="B80" s="116"/>
      <c r="C80" s="116"/>
      <c r="D80" s="116"/>
      <c r="E80" s="116"/>
      <c r="F80" s="117"/>
      <c r="G80" s="121"/>
    </row>
    <row r="81" spans="1:7" ht="15" x14ac:dyDescent="0.25">
      <c r="A81" s="280" t="s">
        <v>73</v>
      </c>
      <c r="B81" s="116"/>
      <c r="C81" s="116"/>
      <c r="D81" s="116"/>
      <c r="E81" s="116"/>
      <c r="F81" s="117"/>
      <c r="G81" s="121"/>
    </row>
    <row r="82" spans="1:7" ht="15" x14ac:dyDescent="0.25">
      <c r="A82" s="115" t="s">
        <v>74</v>
      </c>
      <c r="B82" s="116"/>
      <c r="C82" s="116"/>
      <c r="D82" s="116"/>
      <c r="E82" s="116"/>
      <c r="F82" s="117"/>
      <c r="G82" s="121"/>
    </row>
    <row r="83" spans="1:7" ht="15" x14ac:dyDescent="0.25">
      <c r="A83" s="280" t="s">
        <v>75</v>
      </c>
      <c r="B83" s="116"/>
      <c r="C83" s="116"/>
      <c r="D83" s="116"/>
      <c r="E83" s="116"/>
      <c r="F83" s="117"/>
      <c r="G83" s="121"/>
    </row>
    <row r="84" spans="1:7" ht="15" x14ac:dyDescent="0.25">
      <c r="A84" s="115" t="s">
        <v>76</v>
      </c>
      <c r="B84" s="116"/>
      <c r="C84" s="116"/>
      <c r="D84" s="116"/>
      <c r="E84" s="116"/>
      <c r="F84" s="117"/>
      <c r="G84" s="121"/>
    </row>
    <row r="85" spans="1:7" ht="15" x14ac:dyDescent="0.25">
      <c r="A85" s="280" t="s">
        <v>77</v>
      </c>
      <c r="B85" s="116"/>
      <c r="C85" s="116"/>
      <c r="D85" s="116"/>
      <c r="E85" s="116"/>
      <c r="F85" s="117"/>
      <c r="G85" s="121"/>
    </row>
    <row r="86" spans="1:7" ht="15" x14ac:dyDescent="0.25">
      <c r="A86" s="115" t="s">
        <v>78</v>
      </c>
      <c r="B86" s="116"/>
      <c r="C86" s="116"/>
      <c r="D86" s="116"/>
      <c r="E86" s="116"/>
      <c r="F86" s="117"/>
      <c r="G86" s="121"/>
    </row>
    <row r="87" spans="1:7" ht="15" x14ac:dyDescent="0.25">
      <c r="A87" s="280" t="s">
        <v>79</v>
      </c>
      <c r="B87" s="116"/>
      <c r="C87" s="116"/>
      <c r="D87" s="116"/>
      <c r="E87" s="116"/>
      <c r="F87" s="117"/>
      <c r="G87" s="121"/>
    </row>
    <row r="88" spans="1:7" ht="15" x14ac:dyDescent="0.25">
      <c r="A88" s="115" t="s">
        <v>80</v>
      </c>
      <c r="B88" s="116"/>
      <c r="C88" s="116"/>
      <c r="D88" s="116"/>
      <c r="E88" s="116"/>
      <c r="F88" s="117"/>
      <c r="G88" s="121"/>
    </row>
    <row r="89" spans="1:7" ht="15" x14ac:dyDescent="0.25">
      <c r="A89" s="280" t="s">
        <v>81</v>
      </c>
      <c r="B89" s="116"/>
      <c r="C89" s="116"/>
      <c r="D89" s="116"/>
      <c r="E89" s="116"/>
      <c r="F89" s="117"/>
      <c r="G89" s="121"/>
    </row>
    <row r="90" spans="1:7" ht="15" x14ac:dyDescent="0.25">
      <c r="A90" s="115" t="s">
        <v>82</v>
      </c>
      <c r="B90" s="116"/>
      <c r="C90" s="116"/>
      <c r="D90" s="116"/>
      <c r="E90" s="116"/>
      <c r="F90" s="117"/>
      <c r="G90" s="121"/>
    </row>
    <row r="91" spans="1:7" ht="15.75" thickBot="1" x14ac:dyDescent="0.3">
      <c r="A91" s="281" t="s">
        <v>83</v>
      </c>
      <c r="B91" s="118"/>
      <c r="C91" s="118"/>
      <c r="D91" s="118"/>
      <c r="E91" s="118"/>
      <c r="F91" s="119"/>
      <c r="G91" s="121"/>
    </row>
    <row r="93" spans="1:7" ht="15.75" x14ac:dyDescent="0.25">
      <c r="A93" s="554" t="str">
        <f>HYPERLINK("#"&amp;"Applicant_Information!$A$7","Click Here to Return to Question A3")</f>
        <v>Click Here to Return to Question A3</v>
      </c>
      <c r="B93" s="555"/>
    </row>
    <row r="96" spans="1:7" x14ac:dyDescent="0.2">
      <c r="B96" s="124"/>
    </row>
  </sheetData>
  <sheetProtection algorithmName="SHA-512" hashValue="QibkPlrpO5VPJOVb62g3AQtXuN4B+7VJoiptSOKb0cH54dvvWTe/sv+tOktxClX19MIRqeM5NvFBPCZ86V1a2w==" saltValue="Te/6+KpD94FiTgoe/QOVrA==" spinCount="100000" sheet="1" formatCells="0" formatColumns="0" formatRows="0"/>
  <mergeCells count="5">
    <mergeCell ref="A93:B93"/>
    <mergeCell ref="A2:F2"/>
    <mergeCell ref="A3:F3"/>
    <mergeCell ref="A50:F50"/>
    <mergeCell ref="A75:B75"/>
  </mergeCells>
  <conditionalFormatting sqref="A5:D39">
    <cfRule type="expression" priority="1">
      <formula>$B$8&lt;&gt;"Advanced_Transportation"</formula>
    </cfRule>
  </conditionalFormatting>
  <dataValidations count="3">
    <dataValidation type="list" allowBlank="1" showInputMessage="1" showErrorMessage="1" sqref="B8" xr:uid="{00000000-0002-0000-0100-000000000000}">
      <formula1>product_cat</formula1>
    </dataValidation>
    <dataValidation type="list" allowBlank="1" showInputMessage="1" showErrorMessage="1" sqref="E5" xr:uid="{00000000-0002-0000-0100-000001000000}">
      <formula1>company_type</formula1>
    </dataValidation>
    <dataValidation type="list" allowBlank="1" showInputMessage="1" showErrorMessage="1" sqref="E53 E60 E69" xr:uid="{00000000-0002-0000-0100-000002000000}">
      <formula1>city_list</formula1>
    </dataValidation>
  </dataValidations>
  <printOptions horizontalCentered="1"/>
  <pageMargins left="0.7" right="0.7" top="0.75" bottom="0.75" header="0.3" footer="0.3"/>
  <pageSetup scale="55" fitToHeight="0" orientation="portrait" r:id="rId1"/>
  <headerFooter>
    <oddHeader>&amp;L&amp;20&amp;UApplicant Information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I507"/>
  <sheetViews>
    <sheetView showGridLines="0" zoomScale="60" zoomScaleNormal="60" zoomScalePageLayoutView="60" workbookViewId="0">
      <selection activeCell="G4" sqref="G4"/>
    </sheetView>
  </sheetViews>
  <sheetFormatPr defaultColWidth="9.140625" defaultRowHeight="12.75" x14ac:dyDescent="0.2"/>
  <cols>
    <col min="1" max="1" width="6.140625" style="29" customWidth="1"/>
    <col min="2" max="2" width="56.140625" style="29" customWidth="1"/>
    <col min="3" max="3" width="61.5703125" style="29" customWidth="1"/>
    <col min="4" max="4" width="24.42578125" style="29" customWidth="1"/>
    <col min="5" max="6" width="20.42578125" style="29" customWidth="1"/>
    <col min="7" max="7" width="20.5703125" style="29" customWidth="1"/>
    <col min="8" max="16384" width="9.140625" style="29"/>
  </cols>
  <sheetData>
    <row r="1" spans="1:9" ht="29.85" customHeight="1" thickBot="1" x14ac:dyDescent="0.25">
      <c r="D1" s="517" t="str">
        <f>Applicant_Information!B8</f>
        <v>SELECT FROM DROPDOWN</v>
      </c>
    </row>
    <row r="2" spans="1:9" ht="114.75" customHeight="1" thickBot="1" x14ac:dyDescent="0.25">
      <c r="A2" s="568" t="s">
        <v>2671</v>
      </c>
      <c r="B2" s="569"/>
      <c r="C2" s="569"/>
      <c r="D2" s="569"/>
      <c r="E2" s="569"/>
      <c r="F2" s="569"/>
      <c r="G2" s="570"/>
    </row>
    <row r="3" spans="1:9" ht="14.1" customHeight="1" x14ac:dyDescent="0.25">
      <c r="A3" s="38"/>
    </row>
    <row r="4" spans="1:9" ht="69" customHeight="1" x14ac:dyDescent="0.2">
      <c r="A4" s="566" t="str">
        <f>IF(Applicant_Information!B8="BioFuels",(HYPERLINK("#"&amp;"BioFuels!A1","After completing the list below, click here to go to the "&amp;Applicant_Information!B8&amp;" Tab -&gt;")),
IF(Applicant_Information!B8="Alternative_Energy",(HYPERLINK("#"&amp;"Alternative_Energy!A1","After completing the list below, click here to go to the "&amp;Applicant_Information!B8&amp;" Tab -&gt;")),
IF(Applicant_Information!B8="Energy_Efficiency",(HYPERLINK("#"&amp;"Energy_Efficiency!A1","After completing the list below, click here to go to the "&amp;Applicant_Information!B8&amp;" Tab -&gt;")),
IF(Applicant_Information!B8="Advanced_Transportation",(HYPERLINK("#"&amp;"Advanced_Transportation!A1","After completing the list below, click here to go to the "&amp;Applicant_Information!B8&amp;" Tab -&gt;")),
IF(Applicant_Information!B8="Advanced_Manufacturing",(HYPERLINK("#"&amp;"Advanced_Manufacturing!A1","After completing the list below, click here to go to the "&amp;Applicant_Information!B8&amp;" Tab -&gt;")),
IF(Applicant_Information!B8="Recycling",(HYPERLINK("#"&amp;"Recycling!A1","After completing the list below, click here to go to the "&amp;Applicant_Information!B8&amp;" Tab -&gt;")),
IF(Applicant_Information!B8="SELECT FROM DROPDOWN",(HYPERLINK("#"&amp;"Applicant_Information!A8","Select Application Type from "&amp;Applicant_Information!B8&amp;" Section")),
(HYPERLINK("#"&amp;"Other_Application_Types!A1","After completing the list below, click here to go to "&amp;Applicant_Information!B8&amp;" Tab -&gt;")))))))))</f>
        <v>Select Application Type from SELECT FROM DROPDOWN Section</v>
      </c>
      <c r="B4" s="566"/>
      <c r="C4" s="566"/>
      <c r="D4" s="567"/>
      <c r="E4" s="59" t="s">
        <v>84</v>
      </c>
      <c r="F4" s="60" t="s">
        <v>85</v>
      </c>
      <c r="G4" s="60" t="s">
        <v>86</v>
      </c>
      <c r="I4" s="39"/>
    </row>
    <row r="5" spans="1:9" ht="13.5" thickBot="1" x14ac:dyDescent="0.25">
      <c r="B5" s="40"/>
      <c r="C5" s="41"/>
      <c r="D5" s="41"/>
      <c r="E5" s="239">
        <f>SUM(E8:E507)</f>
        <v>0</v>
      </c>
      <c r="F5" s="240" t="e">
        <f>SUMPRODUCT(E8:E507,F8:F507)/E5</f>
        <v>#DIV/0!</v>
      </c>
      <c r="G5" s="241" t="e">
        <f>SUMPRODUCT(E8:E507,G8:G507)/E5</f>
        <v>#DIV/0!</v>
      </c>
    </row>
    <row r="7" spans="1:9" ht="39.6" customHeight="1" x14ac:dyDescent="0.2">
      <c r="B7" s="309" t="s">
        <v>87</v>
      </c>
      <c r="C7" s="309" t="s">
        <v>88</v>
      </c>
      <c r="D7" s="47" t="s">
        <v>89</v>
      </c>
      <c r="E7" s="48" t="s">
        <v>90</v>
      </c>
      <c r="F7" s="49" t="s">
        <v>91</v>
      </c>
      <c r="G7" s="49" t="s">
        <v>92</v>
      </c>
    </row>
    <row r="8" spans="1:9" x14ac:dyDescent="0.2">
      <c r="A8" s="29">
        <v>1</v>
      </c>
      <c r="B8" s="310"/>
      <c r="C8" s="310"/>
      <c r="D8" s="42"/>
      <c r="E8" s="43"/>
      <c r="F8" s="44"/>
      <c r="G8" s="45"/>
    </row>
    <row r="9" spans="1:9" x14ac:dyDescent="0.2">
      <c r="A9" s="29">
        <v>2</v>
      </c>
      <c r="B9" s="310"/>
      <c r="C9" s="310"/>
      <c r="D9" s="42"/>
      <c r="E9" s="43"/>
      <c r="F9" s="44"/>
      <c r="G9" s="45"/>
    </row>
    <row r="10" spans="1:9" x14ac:dyDescent="0.2">
      <c r="A10" s="29">
        <v>3</v>
      </c>
      <c r="B10" s="310"/>
      <c r="C10" s="310"/>
      <c r="D10" s="42"/>
      <c r="E10" s="43"/>
      <c r="F10" s="44"/>
      <c r="G10" s="45"/>
    </row>
    <row r="11" spans="1:9" x14ac:dyDescent="0.2">
      <c r="A11" s="29">
        <v>4</v>
      </c>
      <c r="B11" s="310"/>
      <c r="C11" s="310"/>
      <c r="D11" s="42"/>
      <c r="E11" s="43"/>
      <c r="F11" s="44"/>
      <c r="G11" s="45"/>
    </row>
    <row r="12" spans="1:9" x14ac:dyDescent="0.2">
      <c r="A12" s="29">
        <v>5</v>
      </c>
      <c r="B12" s="310"/>
      <c r="C12" s="310"/>
      <c r="D12" s="42"/>
      <c r="E12" s="43"/>
      <c r="F12" s="44"/>
      <c r="G12" s="45"/>
    </row>
    <row r="13" spans="1:9" x14ac:dyDescent="0.2">
      <c r="A13" s="29">
        <v>6</v>
      </c>
      <c r="B13" s="310"/>
      <c r="C13" s="310"/>
      <c r="D13" s="42"/>
      <c r="E13" s="43"/>
      <c r="F13" s="44"/>
      <c r="G13" s="45"/>
    </row>
    <row r="14" spans="1:9" x14ac:dyDescent="0.2">
      <c r="A14" s="29">
        <v>7</v>
      </c>
      <c r="B14" s="310"/>
      <c r="C14" s="310"/>
      <c r="D14" s="42"/>
      <c r="E14" s="43"/>
      <c r="F14" s="44"/>
      <c r="G14" s="45"/>
    </row>
    <row r="15" spans="1:9" x14ac:dyDescent="0.2">
      <c r="A15" s="29">
        <v>8</v>
      </c>
      <c r="B15" s="310"/>
      <c r="C15" s="310"/>
      <c r="D15" s="42"/>
      <c r="E15" s="43"/>
      <c r="F15" s="44"/>
      <c r="G15" s="45"/>
    </row>
    <row r="16" spans="1:9" x14ac:dyDescent="0.2">
      <c r="A16" s="29">
        <v>9</v>
      </c>
      <c r="B16" s="310"/>
      <c r="C16" s="310"/>
      <c r="D16" s="42"/>
      <c r="E16" s="43"/>
      <c r="F16" s="44"/>
      <c r="G16" s="45"/>
    </row>
    <row r="17" spans="1:7" x14ac:dyDescent="0.2">
      <c r="A17" s="29">
        <v>10</v>
      </c>
      <c r="B17" s="310"/>
      <c r="C17" s="310"/>
      <c r="D17" s="42"/>
      <c r="E17" s="43"/>
      <c r="F17" s="44"/>
      <c r="G17" s="45"/>
    </row>
    <row r="18" spans="1:7" x14ac:dyDescent="0.2">
      <c r="A18" s="29">
        <v>11</v>
      </c>
      <c r="B18" s="310"/>
      <c r="C18" s="310"/>
      <c r="D18" s="42"/>
      <c r="E18" s="43"/>
      <c r="F18" s="44"/>
      <c r="G18" s="45"/>
    </row>
    <row r="19" spans="1:7" x14ac:dyDescent="0.2">
      <c r="A19" s="29">
        <v>12</v>
      </c>
      <c r="B19" s="310"/>
      <c r="C19" s="310"/>
      <c r="D19" s="42"/>
      <c r="E19" s="43"/>
      <c r="F19" s="44"/>
      <c r="G19" s="45"/>
    </row>
    <row r="20" spans="1:7" x14ac:dyDescent="0.2">
      <c r="A20" s="29">
        <v>13</v>
      </c>
      <c r="B20" s="310"/>
      <c r="C20" s="310"/>
      <c r="D20" s="42"/>
      <c r="E20" s="43"/>
      <c r="F20" s="44"/>
      <c r="G20" s="45"/>
    </row>
    <row r="21" spans="1:7" x14ac:dyDescent="0.2">
      <c r="A21" s="29">
        <v>14</v>
      </c>
      <c r="B21" s="310"/>
      <c r="C21" s="310"/>
      <c r="D21" s="42"/>
      <c r="E21" s="43"/>
      <c r="F21" s="44"/>
      <c r="G21" s="45"/>
    </row>
    <row r="22" spans="1:7" x14ac:dyDescent="0.2">
      <c r="A22" s="29">
        <v>15</v>
      </c>
      <c r="B22" s="310"/>
      <c r="C22" s="310"/>
      <c r="D22" s="42"/>
      <c r="E22" s="43"/>
      <c r="F22" s="44"/>
      <c r="G22" s="45"/>
    </row>
    <row r="23" spans="1:7" x14ac:dyDescent="0.2">
      <c r="A23" s="29">
        <v>16</v>
      </c>
      <c r="B23" s="310"/>
      <c r="C23" s="310"/>
      <c r="D23" s="42"/>
      <c r="E23" s="43"/>
      <c r="F23" s="44"/>
      <c r="G23" s="45"/>
    </row>
    <row r="24" spans="1:7" x14ac:dyDescent="0.2">
      <c r="A24" s="29">
        <v>17</v>
      </c>
      <c r="B24" s="310"/>
      <c r="C24" s="310"/>
      <c r="D24" s="42"/>
      <c r="E24" s="43"/>
      <c r="F24" s="44"/>
      <c r="G24" s="45"/>
    </row>
    <row r="25" spans="1:7" x14ac:dyDescent="0.2">
      <c r="A25" s="29">
        <v>18</v>
      </c>
      <c r="B25" s="310"/>
      <c r="C25" s="310"/>
      <c r="D25" s="42"/>
      <c r="E25" s="43"/>
      <c r="F25" s="44"/>
      <c r="G25" s="45"/>
    </row>
    <row r="26" spans="1:7" x14ac:dyDescent="0.2">
      <c r="A26" s="29">
        <v>19</v>
      </c>
      <c r="B26" s="310"/>
      <c r="C26" s="310"/>
      <c r="D26" s="42"/>
      <c r="E26" s="43"/>
      <c r="F26" s="44"/>
      <c r="G26" s="45"/>
    </row>
    <row r="27" spans="1:7" x14ac:dyDescent="0.2">
      <c r="A27" s="29">
        <v>20</v>
      </c>
      <c r="B27" s="310"/>
      <c r="C27" s="310"/>
      <c r="D27" s="42"/>
      <c r="E27" s="43"/>
      <c r="F27" s="44"/>
      <c r="G27" s="45"/>
    </row>
    <row r="28" spans="1:7" x14ac:dyDescent="0.2">
      <c r="A28" s="29">
        <v>21</v>
      </c>
      <c r="B28" s="310"/>
      <c r="C28" s="310"/>
      <c r="D28" s="42"/>
      <c r="E28" s="43"/>
      <c r="F28" s="44"/>
      <c r="G28" s="45"/>
    </row>
    <row r="29" spans="1:7" x14ac:dyDescent="0.2">
      <c r="A29" s="29">
        <v>22</v>
      </c>
      <c r="B29" s="310"/>
      <c r="C29" s="310"/>
      <c r="D29" s="42"/>
      <c r="E29" s="43"/>
      <c r="F29" s="44"/>
      <c r="G29" s="45"/>
    </row>
    <row r="30" spans="1:7" x14ac:dyDescent="0.2">
      <c r="A30" s="29">
        <v>23</v>
      </c>
      <c r="B30" s="310"/>
      <c r="C30" s="310"/>
      <c r="D30" s="42"/>
      <c r="E30" s="43"/>
      <c r="F30" s="44"/>
      <c r="G30" s="45"/>
    </row>
    <row r="31" spans="1:7" x14ac:dyDescent="0.2">
      <c r="A31" s="29">
        <v>24</v>
      </c>
      <c r="B31" s="310"/>
      <c r="C31" s="310"/>
      <c r="D31" s="42"/>
      <c r="E31" s="43"/>
      <c r="F31" s="44"/>
      <c r="G31" s="45"/>
    </row>
    <row r="32" spans="1:7" x14ac:dyDescent="0.2">
      <c r="A32" s="29">
        <v>25</v>
      </c>
      <c r="B32" s="310"/>
      <c r="C32" s="310"/>
      <c r="D32" s="42"/>
      <c r="E32" s="43"/>
      <c r="F32" s="44"/>
      <c r="G32" s="45"/>
    </row>
    <row r="33" spans="1:7" x14ac:dyDescent="0.2">
      <c r="A33" s="29">
        <v>26</v>
      </c>
      <c r="B33" s="310"/>
      <c r="C33" s="310"/>
      <c r="D33" s="42"/>
      <c r="E33" s="43"/>
      <c r="F33" s="44"/>
      <c r="G33" s="45"/>
    </row>
    <row r="34" spans="1:7" x14ac:dyDescent="0.2">
      <c r="A34" s="29">
        <v>27</v>
      </c>
      <c r="B34" s="310"/>
      <c r="C34" s="310"/>
      <c r="D34" s="42"/>
      <c r="E34" s="43"/>
      <c r="F34" s="44"/>
      <c r="G34" s="45"/>
    </row>
    <row r="35" spans="1:7" x14ac:dyDescent="0.2">
      <c r="A35" s="29">
        <v>28</v>
      </c>
      <c r="B35" s="310"/>
      <c r="C35" s="310"/>
      <c r="D35" s="42"/>
      <c r="E35" s="43"/>
      <c r="F35" s="44"/>
      <c r="G35" s="45"/>
    </row>
    <row r="36" spans="1:7" x14ac:dyDescent="0.2">
      <c r="A36" s="29">
        <v>29</v>
      </c>
      <c r="B36" s="310"/>
      <c r="C36" s="310"/>
      <c r="D36" s="42"/>
      <c r="E36" s="43"/>
      <c r="F36" s="44"/>
      <c r="G36" s="45"/>
    </row>
    <row r="37" spans="1:7" x14ac:dyDescent="0.2">
      <c r="A37" s="29">
        <v>30</v>
      </c>
      <c r="B37" s="310"/>
      <c r="C37" s="310"/>
      <c r="D37" s="42"/>
      <c r="E37" s="43"/>
      <c r="F37" s="44"/>
      <c r="G37" s="45"/>
    </row>
    <row r="38" spans="1:7" x14ac:dyDescent="0.2">
      <c r="A38" s="29">
        <v>31</v>
      </c>
      <c r="B38" s="310"/>
      <c r="C38" s="310"/>
      <c r="D38" s="42"/>
      <c r="E38" s="43"/>
      <c r="F38" s="44"/>
      <c r="G38" s="45"/>
    </row>
    <row r="39" spans="1:7" x14ac:dyDescent="0.2">
      <c r="A39" s="29">
        <v>32</v>
      </c>
      <c r="B39" s="310"/>
      <c r="C39" s="310"/>
      <c r="D39" s="42"/>
      <c r="E39" s="43"/>
      <c r="F39" s="44"/>
      <c r="G39" s="45"/>
    </row>
    <row r="40" spans="1:7" x14ac:dyDescent="0.2">
      <c r="A40" s="29">
        <v>33</v>
      </c>
      <c r="B40" s="310"/>
      <c r="C40" s="310"/>
      <c r="D40" s="42"/>
      <c r="E40" s="43"/>
      <c r="F40" s="44"/>
      <c r="G40" s="45"/>
    </row>
    <row r="41" spans="1:7" x14ac:dyDescent="0.2">
      <c r="A41" s="29">
        <v>34</v>
      </c>
      <c r="B41" s="310"/>
      <c r="C41" s="310"/>
      <c r="D41" s="42"/>
      <c r="E41" s="43"/>
      <c r="F41" s="44"/>
      <c r="G41" s="45"/>
    </row>
    <row r="42" spans="1:7" x14ac:dyDescent="0.2">
      <c r="A42" s="29">
        <v>35</v>
      </c>
      <c r="B42" s="310"/>
      <c r="C42" s="310"/>
      <c r="D42" s="42"/>
      <c r="E42" s="43"/>
      <c r="F42" s="44"/>
      <c r="G42" s="45"/>
    </row>
    <row r="43" spans="1:7" x14ac:dyDescent="0.2">
      <c r="A43" s="29">
        <v>36</v>
      </c>
      <c r="B43" s="310"/>
      <c r="C43" s="311"/>
      <c r="D43" s="42"/>
      <c r="E43" s="43"/>
      <c r="F43" s="44"/>
      <c r="G43" s="45"/>
    </row>
    <row r="44" spans="1:7" x14ac:dyDescent="0.2">
      <c r="A44" s="29">
        <v>37</v>
      </c>
      <c r="B44" s="310"/>
      <c r="C44" s="311"/>
      <c r="D44" s="42"/>
      <c r="E44" s="43"/>
      <c r="F44" s="44"/>
      <c r="G44" s="45"/>
    </row>
    <row r="45" spans="1:7" x14ac:dyDescent="0.2">
      <c r="A45" s="29">
        <v>38</v>
      </c>
      <c r="B45" s="310"/>
      <c r="C45" s="310"/>
      <c r="D45" s="42"/>
      <c r="E45" s="43"/>
      <c r="F45" s="44"/>
      <c r="G45" s="45"/>
    </row>
    <row r="46" spans="1:7" x14ac:dyDescent="0.2">
      <c r="A46" s="29">
        <v>39</v>
      </c>
      <c r="B46" s="310"/>
      <c r="C46" s="310"/>
      <c r="D46" s="42"/>
      <c r="E46" s="43"/>
      <c r="F46" s="44"/>
      <c r="G46" s="45"/>
    </row>
    <row r="47" spans="1:7" x14ac:dyDescent="0.2">
      <c r="A47" s="29">
        <v>40</v>
      </c>
      <c r="B47" s="310"/>
      <c r="C47" s="310"/>
      <c r="D47" s="42"/>
      <c r="E47" s="43"/>
      <c r="F47" s="44"/>
      <c r="G47" s="45"/>
    </row>
    <row r="48" spans="1:7" x14ac:dyDescent="0.2">
      <c r="A48" s="29">
        <v>41</v>
      </c>
      <c r="B48" s="310"/>
      <c r="C48" s="310"/>
      <c r="D48" s="42"/>
      <c r="E48" s="43"/>
      <c r="F48" s="44"/>
      <c r="G48" s="45"/>
    </row>
    <row r="49" spans="1:7" x14ac:dyDescent="0.2">
      <c r="A49" s="29">
        <v>42</v>
      </c>
      <c r="B49" s="310"/>
      <c r="C49" s="310"/>
      <c r="D49" s="42"/>
      <c r="E49" s="43"/>
      <c r="F49" s="44"/>
      <c r="G49" s="45"/>
    </row>
    <row r="50" spans="1:7" x14ac:dyDescent="0.2">
      <c r="A50" s="29">
        <v>43</v>
      </c>
      <c r="B50" s="310"/>
      <c r="C50" s="310"/>
      <c r="D50" s="42"/>
      <c r="E50" s="43"/>
      <c r="F50" s="44"/>
      <c r="G50" s="45"/>
    </row>
    <row r="51" spans="1:7" x14ac:dyDescent="0.2">
      <c r="A51" s="29">
        <v>44</v>
      </c>
      <c r="B51" s="310"/>
      <c r="C51" s="310"/>
      <c r="D51" s="42"/>
      <c r="E51" s="43"/>
      <c r="F51" s="44"/>
      <c r="G51" s="45"/>
    </row>
    <row r="52" spans="1:7" x14ac:dyDescent="0.2">
      <c r="A52" s="29">
        <v>45</v>
      </c>
      <c r="B52" s="310"/>
      <c r="C52" s="310"/>
      <c r="D52" s="42"/>
      <c r="E52" s="43"/>
      <c r="F52" s="44"/>
      <c r="G52" s="45"/>
    </row>
    <row r="53" spans="1:7" x14ac:dyDescent="0.2">
      <c r="A53" s="29">
        <v>46</v>
      </c>
      <c r="B53" s="310"/>
      <c r="C53" s="310"/>
      <c r="D53" s="42"/>
      <c r="E53" s="43"/>
      <c r="F53" s="44"/>
      <c r="G53" s="45"/>
    </row>
    <row r="54" spans="1:7" x14ac:dyDescent="0.2">
      <c r="A54" s="29">
        <v>47</v>
      </c>
      <c r="B54" s="310"/>
      <c r="C54" s="310"/>
      <c r="D54" s="42"/>
      <c r="E54" s="43"/>
      <c r="F54" s="44"/>
      <c r="G54" s="45"/>
    </row>
    <row r="55" spans="1:7" x14ac:dyDescent="0.2">
      <c r="A55" s="29">
        <v>48</v>
      </c>
      <c r="B55" s="310"/>
      <c r="C55" s="310"/>
      <c r="D55" s="42"/>
      <c r="E55" s="43"/>
      <c r="F55" s="44"/>
      <c r="G55" s="45"/>
    </row>
    <row r="56" spans="1:7" x14ac:dyDescent="0.2">
      <c r="A56" s="29">
        <v>49</v>
      </c>
      <c r="B56" s="310"/>
      <c r="C56" s="310"/>
      <c r="D56" s="42"/>
      <c r="E56" s="43"/>
      <c r="F56" s="44"/>
      <c r="G56" s="45"/>
    </row>
    <row r="57" spans="1:7" x14ac:dyDescent="0.2">
      <c r="A57" s="29">
        <v>50</v>
      </c>
      <c r="B57" s="310"/>
      <c r="C57" s="310"/>
      <c r="D57" s="42"/>
      <c r="E57" s="43"/>
      <c r="F57" s="44"/>
      <c r="G57" s="45"/>
    </row>
    <row r="58" spans="1:7" x14ac:dyDescent="0.2">
      <c r="A58" s="29">
        <v>51</v>
      </c>
      <c r="B58" s="310"/>
      <c r="C58" s="310"/>
      <c r="D58" s="42"/>
      <c r="E58" s="43"/>
      <c r="F58" s="44"/>
      <c r="G58" s="45"/>
    </row>
    <row r="59" spans="1:7" x14ac:dyDescent="0.2">
      <c r="A59" s="29">
        <v>52</v>
      </c>
      <c r="B59" s="310"/>
      <c r="C59" s="310"/>
      <c r="D59" s="42"/>
      <c r="E59" s="43"/>
      <c r="F59" s="44"/>
      <c r="G59" s="45"/>
    </row>
    <row r="60" spans="1:7" x14ac:dyDescent="0.2">
      <c r="A60" s="29">
        <v>53</v>
      </c>
      <c r="B60" s="310"/>
      <c r="C60" s="310"/>
      <c r="D60" s="42"/>
      <c r="E60" s="43"/>
      <c r="F60" s="44"/>
      <c r="G60" s="45"/>
    </row>
    <row r="61" spans="1:7" x14ac:dyDescent="0.2">
      <c r="A61" s="29">
        <v>54</v>
      </c>
      <c r="B61" s="310"/>
      <c r="C61" s="310"/>
      <c r="D61" s="42"/>
      <c r="E61" s="43"/>
      <c r="F61" s="44"/>
      <c r="G61" s="45"/>
    </row>
    <row r="62" spans="1:7" x14ac:dyDescent="0.2">
      <c r="A62" s="29">
        <v>55</v>
      </c>
      <c r="B62" s="310"/>
      <c r="C62" s="310"/>
      <c r="D62" s="42"/>
      <c r="E62" s="43"/>
      <c r="F62" s="44"/>
      <c r="G62" s="45"/>
    </row>
    <row r="63" spans="1:7" x14ac:dyDescent="0.2">
      <c r="A63" s="29">
        <v>56</v>
      </c>
      <c r="B63" s="310"/>
      <c r="C63" s="310"/>
      <c r="D63" s="42"/>
      <c r="E63" s="43"/>
      <c r="F63" s="44"/>
      <c r="G63" s="45"/>
    </row>
    <row r="64" spans="1:7" x14ac:dyDescent="0.2">
      <c r="A64" s="29">
        <v>57</v>
      </c>
      <c r="B64" s="310"/>
      <c r="C64" s="310"/>
      <c r="D64" s="42"/>
      <c r="E64" s="43"/>
      <c r="F64" s="44"/>
      <c r="G64" s="45"/>
    </row>
    <row r="65" spans="1:7" x14ac:dyDescent="0.2">
      <c r="A65" s="29">
        <v>58</v>
      </c>
      <c r="B65" s="310"/>
      <c r="C65" s="310"/>
      <c r="D65" s="42"/>
      <c r="E65" s="43"/>
      <c r="F65" s="44"/>
      <c r="G65" s="45"/>
    </row>
    <row r="66" spans="1:7" x14ac:dyDescent="0.2">
      <c r="A66" s="29">
        <v>59</v>
      </c>
      <c r="B66" s="310"/>
      <c r="C66" s="310"/>
      <c r="D66" s="42"/>
      <c r="E66" s="43"/>
      <c r="F66" s="44"/>
      <c r="G66" s="45"/>
    </row>
    <row r="67" spans="1:7" x14ac:dyDescent="0.2">
      <c r="A67" s="29">
        <v>60</v>
      </c>
      <c r="B67" s="310"/>
      <c r="C67" s="310"/>
      <c r="D67" s="42"/>
      <c r="E67" s="43"/>
      <c r="F67" s="44"/>
      <c r="G67" s="45"/>
    </row>
    <row r="68" spans="1:7" x14ac:dyDescent="0.2">
      <c r="A68" s="29">
        <v>61</v>
      </c>
      <c r="B68" s="310"/>
      <c r="C68" s="310"/>
      <c r="D68" s="42"/>
      <c r="E68" s="43"/>
      <c r="F68" s="44"/>
      <c r="G68" s="45"/>
    </row>
    <row r="69" spans="1:7" x14ac:dyDescent="0.2">
      <c r="A69" s="29">
        <v>62</v>
      </c>
      <c r="B69" s="310"/>
      <c r="C69" s="310"/>
      <c r="D69" s="42"/>
      <c r="E69" s="43"/>
      <c r="F69" s="44"/>
      <c r="G69" s="45"/>
    </row>
    <row r="70" spans="1:7" x14ac:dyDescent="0.2">
      <c r="A70" s="29">
        <v>63</v>
      </c>
      <c r="B70" s="310"/>
      <c r="C70" s="310"/>
      <c r="D70" s="42"/>
      <c r="E70" s="43"/>
      <c r="F70" s="44"/>
      <c r="G70" s="45"/>
    </row>
    <row r="71" spans="1:7" x14ac:dyDescent="0.2">
      <c r="A71" s="29">
        <v>64</v>
      </c>
      <c r="B71" s="310"/>
      <c r="C71" s="310"/>
      <c r="D71" s="42"/>
      <c r="E71" s="43"/>
      <c r="F71" s="44"/>
      <c r="G71" s="45"/>
    </row>
    <row r="72" spans="1:7" x14ac:dyDescent="0.2">
      <c r="A72" s="29">
        <v>65</v>
      </c>
      <c r="B72" s="310"/>
      <c r="C72" s="310"/>
      <c r="D72" s="42"/>
      <c r="E72" s="43"/>
      <c r="F72" s="44"/>
      <c r="G72" s="45"/>
    </row>
    <row r="73" spans="1:7" x14ac:dyDescent="0.2">
      <c r="A73" s="29">
        <v>66</v>
      </c>
      <c r="B73" s="310"/>
      <c r="C73" s="310"/>
      <c r="D73" s="42"/>
      <c r="E73" s="43"/>
      <c r="F73" s="44"/>
      <c r="G73" s="45"/>
    </row>
    <row r="74" spans="1:7" x14ac:dyDescent="0.2">
      <c r="A74" s="29">
        <v>67</v>
      </c>
      <c r="B74" s="310"/>
      <c r="C74" s="310"/>
      <c r="D74" s="42"/>
      <c r="E74" s="43"/>
      <c r="F74" s="44"/>
      <c r="G74" s="45"/>
    </row>
    <row r="75" spans="1:7" x14ac:dyDescent="0.2">
      <c r="A75" s="29">
        <v>68</v>
      </c>
      <c r="B75" s="310"/>
      <c r="C75" s="310"/>
      <c r="D75" s="42"/>
      <c r="E75" s="43"/>
      <c r="F75" s="44"/>
      <c r="G75" s="45"/>
    </row>
    <row r="76" spans="1:7" x14ac:dyDescent="0.2">
      <c r="A76" s="29">
        <v>69</v>
      </c>
      <c r="B76" s="310"/>
      <c r="C76" s="310"/>
      <c r="D76" s="42"/>
      <c r="E76" s="43"/>
      <c r="F76" s="44"/>
      <c r="G76" s="45"/>
    </row>
    <row r="77" spans="1:7" x14ac:dyDescent="0.2">
      <c r="A77" s="29">
        <v>70</v>
      </c>
      <c r="B77" s="310"/>
      <c r="C77" s="310"/>
      <c r="D77" s="42"/>
      <c r="E77" s="43"/>
      <c r="F77" s="44"/>
      <c r="G77" s="45"/>
    </row>
    <row r="78" spans="1:7" x14ac:dyDescent="0.2">
      <c r="A78" s="29">
        <v>71</v>
      </c>
      <c r="B78" s="310"/>
      <c r="C78" s="310"/>
      <c r="D78" s="42"/>
      <c r="E78" s="43"/>
      <c r="F78" s="44"/>
      <c r="G78" s="45"/>
    </row>
    <row r="79" spans="1:7" x14ac:dyDescent="0.2">
      <c r="A79" s="29">
        <v>72</v>
      </c>
      <c r="B79" s="310"/>
      <c r="C79" s="310"/>
      <c r="D79" s="42"/>
      <c r="E79" s="43"/>
      <c r="F79" s="44"/>
      <c r="G79" s="45"/>
    </row>
    <row r="80" spans="1:7" x14ac:dyDescent="0.2">
      <c r="A80" s="29">
        <v>73</v>
      </c>
      <c r="B80" s="310"/>
      <c r="C80" s="310"/>
      <c r="D80" s="42"/>
      <c r="E80" s="43"/>
      <c r="F80" s="44"/>
      <c r="G80" s="45"/>
    </row>
    <row r="81" spans="1:7" x14ac:dyDescent="0.2">
      <c r="A81" s="29">
        <v>74</v>
      </c>
      <c r="B81" s="310"/>
      <c r="C81" s="310"/>
      <c r="D81" s="42"/>
      <c r="E81" s="43"/>
      <c r="F81" s="44"/>
      <c r="G81" s="45"/>
    </row>
    <row r="82" spans="1:7" x14ac:dyDescent="0.2">
      <c r="A82" s="29">
        <v>75</v>
      </c>
      <c r="B82" s="310"/>
      <c r="C82" s="310"/>
      <c r="D82" s="42"/>
      <c r="E82" s="43"/>
      <c r="F82" s="44"/>
      <c r="G82" s="45"/>
    </row>
    <row r="83" spans="1:7" x14ac:dyDescent="0.2">
      <c r="A83" s="29">
        <v>76</v>
      </c>
      <c r="B83" s="310"/>
      <c r="C83" s="310"/>
      <c r="D83" s="42"/>
      <c r="E83" s="43"/>
      <c r="F83" s="44"/>
      <c r="G83" s="45"/>
    </row>
    <row r="84" spans="1:7" x14ac:dyDescent="0.2">
      <c r="A84" s="29">
        <v>77</v>
      </c>
      <c r="B84" s="310"/>
      <c r="C84" s="310"/>
      <c r="D84" s="42"/>
      <c r="E84" s="43"/>
      <c r="F84" s="44"/>
      <c r="G84" s="45"/>
    </row>
    <row r="85" spans="1:7" x14ac:dyDescent="0.2">
      <c r="A85" s="29">
        <v>78</v>
      </c>
      <c r="B85" s="310"/>
      <c r="C85" s="310"/>
      <c r="D85" s="42"/>
      <c r="E85" s="43"/>
      <c r="F85" s="44"/>
      <c r="G85" s="45"/>
    </row>
    <row r="86" spans="1:7" x14ac:dyDescent="0.2">
      <c r="A86" s="29">
        <v>79</v>
      </c>
      <c r="B86" s="310"/>
      <c r="C86" s="310"/>
      <c r="D86" s="42"/>
      <c r="E86" s="43"/>
      <c r="F86" s="44"/>
      <c r="G86" s="45"/>
    </row>
    <row r="87" spans="1:7" x14ac:dyDescent="0.2">
      <c r="A87" s="29">
        <v>80</v>
      </c>
      <c r="B87" s="310"/>
      <c r="C87" s="310"/>
      <c r="D87" s="42"/>
      <c r="E87" s="43"/>
      <c r="F87" s="44"/>
      <c r="G87" s="45"/>
    </row>
    <row r="88" spans="1:7" x14ac:dyDescent="0.2">
      <c r="A88" s="29">
        <v>81</v>
      </c>
      <c r="B88" s="310"/>
      <c r="C88" s="310"/>
      <c r="D88" s="42"/>
      <c r="E88" s="43"/>
      <c r="F88" s="44"/>
      <c r="G88" s="45"/>
    </row>
    <row r="89" spans="1:7" x14ac:dyDescent="0.2">
      <c r="A89" s="29">
        <v>82</v>
      </c>
      <c r="B89" s="310"/>
      <c r="C89" s="310"/>
      <c r="D89" s="42"/>
      <c r="E89" s="43"/>
      <c r="F89" s="44"/>
      <c r="G89" s="45"/>
    </row>
    <row r="90" spans="1:7" x14ac:dyDescent="0.2">
      <c r="A90" s="29">
        <v>83</v>
      </c>
      <c r="B90" s="310"/>
      <c r="C90" s="310"/>
      <c r="D90" s="42"/>
      <c r="E90" s="43"/>
      <c r="F90" s="44"/>
      <c r="G90" s="45"/>
    </row>
    <row r="91" spans="1:7" x14ac:dyDescent="0.2">
      <c r="A91" s="29">
        <v>84</v>
      </c>
      <c r="B91" s="310"/>
      <c r="C91" s="310"/>
      <c r="D91" s="42"/>
      <c r="E91" s="43"/>
      <c r="F91" s="44"/>
      <c r="G91" s="45"/>
    </row>
    <row r="92" spans="1:7" x14ac:dyDescent="0.2">
      <c r="A92" s="29">
        <v>85</v>
      </c>
      <c r="B92" s="310"/>
      <c r="C92" s="310"/>
      <c r="D92" s="42"/>
      <c r="E92" s="43"/>
      <c r="F92" s="44"/>
      <c r="G92" s="45"/>
    </row>
    <row r="93" spans="1:7" x14ac:dyDescent="0.2">
      <c r="A93" s="29">
        <v>86</v>
      </c>
      <c r="B93" s="310"/>
      <c r="C93" s="310"/>
      <c r="D93" s="42"/>
      <c r="E93" s="43"/>
      <c r="F93" s="44"/>
      <c r="G93" s="45"/>
    </row>
    <row r="94" spans="1:7" x14ac:dyDescent="0.2">
      <c r="A94" s="29">
        <v>87</v>
      </c>
      <c r="B94" s="310"/>
      <c r="C94" s="310"/>
      <c r="D94" s="42"/>
      <c r="E94" s="43"/>
      <c r="F94" s="44"/>
      <c r="G94" s="45"/>
    </row>
    <row r="95" spans="1:7" x14ac:dyDescent="0.2">
      <c r="A95" s="29">
        <v>88</v>
      </c>
      <c r="B95" s="310"/>
      <c r="C95" s="310"/>
      <c r="D95" s="42"/>
      <c r="E95" s="43"/>
      <c r="F95" s="44"/>
      <c r="G95" s="45"/>
    </row>
    <row r="96" spans="1:7" x14ac:dyDescent="0.2">
      <c r="A96" s="29">
        <v>89</v>
      </c>
      <c r="B96" s="310"/>
      <c r="C96" s="310"/>
      <c r="D96" s="42"/>
      <c r="E96" s="43"/>
      <c r="F96" s="44"/>
      <c r="G96" s="45"/>
    </row>
    <row r="97" spans="1:7" x14ac:dyDescent="0.2">
      <c r="A97" s="29">
        <v>90</v>
      </c>
      <c r="B97" s="310"/>
      <c r="C97" s="310"/>
      <c r="D97" s="42"/>
      <c r="E97" s="43"/>
      <c r="F97" s="44"/>
      <c r="G97" s="45"/>
    </row>
    <row r="98" spans="1:7" x14ac:dyDescent="0.2">
      <c r="A98" s="29">
        <v>91</v>
      </c>
      <c r="B98" s="310"/>
      <c r="C98" s="310"/>
      <c r="D98" s="42"/>
      <c r="E98" s="43"/>
      <c r="F98" s="44"/>
      <c r="G98" s="45"/>
    </row>
    <row r="99" spans="1:7" x14ac:dyDescent="0.2">
      <c r="A99" s="29">
        <v>92</v>
      </c>
      <c r="B99" s="310"/>
      <c r="C99" s="310"/>
      <c r="D99" s="42"/>
      <c r="E99" s="43"/>
      <c r="F99" s="44"/>
      <c r="G99" s="45"/>
    </row>
    <row r="100" spans="1:7" x14ac:dyDescent="0.2">
      <c r="A100" s="29">
        <v>93</v>
      </c>
      <c r="B100" s="310"/>
      <c r="C100" s="310"/>
      <c r="D100" s="42"/>
      <c r="E100" s="43"/>
      <c r="F100" s="44"/>
      <c r="G100" s="45"/>
    </row>
    <row r="101" spans="1:7" x14ac:dyDescent="0.2">
      <c r="A101" s="29">
        <v>94</v>
      </c>
      <c r="B101" s="310"/>
      <c r="C101" s="310"/>
      <c r="D101" s="42"/>
      <c r="E101" s="43"/>
      <c r="F101" s="44"/>
      <c r="G101" s="45"/>
    </row>
    <row r="102" spans="1:7" x14ac:dyDescent="0.2">
      <c r="A102" s="29">
        <v>95</v>
      </c>
      <c r="B102" s="310"/>
      <c r="C102" s="310"/>
      <c r="D102" s="42"/>
      <c r="E102" s="43"/>
      <c r="F102" s="44"/>
      <c r="G102" s="45"/>
    </row>
    <row r="103" spans="1:7" x14ac:dyDescent="0.2">
      <c r="A103" s="29">
        <v>96</v>
      </c>
      <c r="B103" s="310"/>
      <c r="C103" s="310"/>
      <c r="D103" s="42"/>
      <c r="E103" s="43"/>
      <c r="F103" s="44"/>
      <c r="G103" s="45"/>
    </row>
    <row r="104" spans="1:7" x14ac:dyDescent="0.2">
      <c r="A104" s="29">
        <v>97</v>
      </c>
      <c r="B104" s="310"/>
      <c r="C104" s="310"/>
      <c r="D104" s="42"/>
      <c r="E104" s="43"/>
      <c r="F104" s="44"/>
      <c r="G104" s="45"/>
    </row>
    <row r="105" spans="1:7" x14ac:dyDescent="0.2">
      <c r="A105" s="29">
        <v>98</v>
      </c>
      <c r="B105" s="310"/>
      <c r="C105" s="310"/>
      <c r="D105" s="42"/>
      <c r="E105" s="43"/>
      <c r="F105" s="44"/>
      <c r="G105" s="45"/>
    </row>
    <row r="106" spans="1:7" x14ac:dyDescent="0.2">
      <c r="A106" s="29">
        <v>99</v>
      </c>
      <c r="B106" s="310"/>
      <c r="C106" s="310"/>
      <c r="D106" s="42"/>
      <c r="E106" s="43"/>
      <c r="F106" s="44"/>
      <c r="G106" s="45"/>
    </row>
    <row r="107" spans="1:7" x14ac:dyDescent="0.2">
      <c r="A107" s="29">
        <v>100</v>
      </c>
      <c r="B107" s="310"/>
      <c r="C107" s="310"/>
      <c r="D107" s="42"/>
      <c r="E107" s="43"/>
      <c r="F107" s="44"/>
      <c r="G107" s="45"/>
    </row>
    <row r="108" spans="1:7" x14ac:dyDescent="0.2">
      <c r="A108" s="29">
        <v>101</v>
      </c>
      <c r="B108" s="310"/>
      <c r="C108" s="310"/>
      <c r="D108" s="42"/>
      <c r="E108" s="43"/>
      <c r="F108" s="44"/>
      <c r="G108" s="45"/>
    </row>
    <row r="109" spans="1:7" x14ac:dyDescent="0.2">
      <c r="A109" s="29">
        <v>102</v>
      </c>
      <c r="B109" s="310"/>
      <c r="C109" s="310"/>
      <c r="D109" s="42"/>
      <c r="E109" s="43"/>
      <c r="F109" s="44"/>
      <c r="G109" s="45"/>
    </row>
    <row r="110" spans="1:7" x14ac:dyDescent="0.2">
      <c r="A110" s="29">
        <v>103</v>
      </c>
      <c r="B110" s="310"/>
      <c r="C110" s="310"/>
      <c r="D110" s="42"/>
      <c r="E110" s="43"/>
      <c r="F110" s="44"/>
      <c r="G110" s="45"/>
    </row>
    <row r="111" spans="1:7" x14ac:dyDescent="0.2">
      <c r="A111" s="29">
        <v>104</v>
      </c>
      <c r="B111" s="310"/>
      <c r="C111" s="310"/>
      <c r="D111" s="42"/>
      <c r="E111" s="43"/>
      <c r="F111" s="44"/>
      <c r="G111" s="45"/>
    </row>
    <row r="112" spans="1:7" x14ac:dyDescent="0.2">
      <c r="A112" s="29">
        <v>105</v>
      </c>
      <c r="B112" s="310"/>
      <c r="C112" s="310"/>
      <c r="D112" s="42"/>
      <c r="E112" s="43"/>
      <c r="F112" s="44"/>
      <c r="G112" s="45"/>
    </row>
    <row r="113" spans="1:7" x14ac:dyDescent="0.2">
      <c r="A113" s="29">
        <v>106</v>
      </c>
      <c r="B113" s="310"/>
      <c r="C113" s="310"/>
      <c r="D113" s="42"/>
      <c r="E113" s="43"/>
      <c r="F113" s="44"/>
      <c r="G113" s="45"/>
    </row>
    <row r="114" spans="1:7" x14ac:dyDescent="0.2">
      <c r="A114" s="29">
        <v>107</v>
      </c>
      <c r="B114" s="310"/>
      <c r="C114" s="310"/>
      <c r="D114" s="42"/>
      <c r="E114" s="43"/>
      <c r="F114" s="44"/>
      <c r="G114" s="45"/>
    </row>
    <row r="115" spans="1:7" x14ac:dyDescent="0.2">
      <c r="A115" s="29">
        <v>108</v>
      </c>
      <c r="B115" s="310"/>
      <c r="C115" s="310"/>
      <c r="D115" s="42"/>
      <c r="E115" s="43"/>
      <c r="F115" s="44"/>
      <c r="G115" s="45"/>
    </row>
    <row r="116" spans="1:7" x14ac:dyDescent="0.2">
      <c r="A116" s="29">
        <v>109</v>
      </c>
      <c r="B116" s="310"/>
      <c r="C116" s="310"/>
      <c r="D116" s="42"/>
      <c r="E116" s="43"/>
      <c r="F116" s="44"/>
      <c r="G116" s="45"/>
    </row>
    <row r="117" spans="1:7" x14ac:dyDescent="0.2">
      <c r="A117" s="29">
        <v>110</v>
      </c>
      <c r="B117" s="310"/>
      <c r="C117" s="310"/>
      <c r="D117" s="42"/>
      <c r="E117" s="43"/>
      <c r="F117" s="44"/>
      <c r="G117" s="45"/>
    </row>
    <row r="118" spans="1:7" x14ac:dyDescent="0.2">
      <c r="A118" s="29">
        <v>111</v>
      </c>
      <c r="B118" s="310"/>
      <c r="C118" s="310"/>
      <c r="D118" s="42"/>
      <c r="E118" s="43"/>
      <c r="F118" s="44"/>
      <c r="G118" s="45"/>
    </row>
    <row r="119" spans="1:7" x14ac:dyDescent="0.2">
      <c r="A119" s="29">
        <v>112</v>
      </c>
      <c r="B119" s="310"/>
      <c r="C119" s="310"/>
      <c r="D119" s="42"/>
      <c r="E119" s="43"/>
      <c r="F119" s="44"/>
      <c r="G119" s="45"/>
    </row>
    <row r="120" spans="1:7" x14ac:dyDescent="0.2">
      <c r="A120" s="29">
        <v>113</v>
      </c>
      <c r="B120" s="310"/>
      <c r="C120" s="310"/>
      <c r="D120" s="42"/>
      <c r="E120" s="43"/>
      <c r="F120" s="44"/>
      <c r="G120" s="45"/>
    </row>
    <row r="121" spans="1:7" x14ac:dyDescent="0.2">
      <c r="A121" s="29">
        <v>114</v>
      </c>
      <c r="B121" s="310"/>
      <c r="C121" s="310"/>
      <c r="D121" s="42"/>
      <c r="E121" s="43"/>
      <c r="F121" s="44"/>
      <c r="G121" s="45"/>
    </row>
    <row r="122" spans="1:7" x14ac:dyDescent="0.2">
      <c r="A122" s="29">
        <v>115</v>
      </c>
      <c r="B122" s="310"/>
      <c r="C122" s="310"/>
      <c r="D122" s="42"/>
      <c r="E122" s="43"/>
      <c r="F122" s="44"/>
      <c r="G122" s="45"/>
    </row>
    <row r="123" spans="1:7" x14ac:dyDescent="0.2">
      <c r="A123" s="29">
        <v>116</v>
      </c>
      <c r="B123" s="310"/>
      <c r="C123" s="310"/>
      <c r="D123" s="42"/>
      <c r="E123" s="43"/>
      <c r="F123" s="44"/>
      <c r="G123" s="45"/>
    </row>
    <row r="124" spans="1:7" x14ac:dyDescent="0.2">
      <c r="A124" s="29">
        <v>117</v>
      </c>
      <c r="B124" s="310"/>
      <c r="C124" s="310"/>
      <c r="D124" s="42"/>
      <c r="E124" s="43"/>
      <c r="F124" s="44"/>
      <c r="G124" s="45"/>
    </row>
    <row r="125" spans="1:7" x14ac:dyDescent="0.2">
      <c r="A125" s="29">
        <v>118</v>
      </c>
      <c r="B125" s="310"/>
      <c r="C125" s="310"/>
      <c r="D125" s="42"/>
      <c r="E125" s="43"/>
      <c r="F125" s="44"/>
      <c r="G125" s="45"/>
    </row>
    <row r="126" spans="1:7" x14ac:dyDescent="0.2">
      <c r="A126" s="29">
        <v>119</v>
      </c>
      <c r="B126" s="310"/>
      <c r="C126" s="310"/>
      <c r="D126" s="42"/>
      <c r="E126" s="43"/>
      <c r="F126" s="44"/>
      <c r="G126" s="45"/>
    </row>
    <row r="127" spans="1:7" x14ac:dyDescent="0.2">
      <c r="A127" s="29">
        <v>120</v>
      </c>
      <c r="B127" s="310"/>
      <c r="C127" s="310"/>
      <c r="D127" s="42"/>
      <c r="E127" s="43"/>
      <c r="F127" s="44"/>
      <c r="G127" s="45"/>
    </row>
    <row r="128" spans="1:7" x14ac:dyDescent="0.2">
      <c r="A128" s="29">
        <v>121</v>
      </c>
      <c r="B128" s="310"/>
      <c r="C128" s="310"/>
      <c r="D128" s="42"/>
      <c r="E128" s="43"/>
      <c r="F128" s="44"/>
      <c r="G128" s="45"/>
    </row>
    <row r="129" spans="1:7" x14ac:dyDescent="0.2">
      <c r="A129" s="29">
        <v>122</v>
      </c>
      <c r="B129" s="310"/>
      <c r="C129" s="310"/>
      <c r="D129" s="42"/>
      <c r="E129" s="43"/>
      <c r="F129" s="44"/>
      <c r="G129" s="45"/>
    </row>
    <row r="130" spans="1:7" x14ac:dyDescent="0.2">
      <c r="A130" s="29">
        <v>123</v>
      </c>
      <c r="B130" s="310"/>
      <c r="C130" s="310"/>
      <c r="D130" s="42"/>
      <c r="E130" s="43"/>
      <c r="F130" s="44"/>
      <c r="G130" s="45"/>
    </row>
    <row r="131" spans="1:7" x14ac:dyDescent="0.2">
      <c r="A131" s="29">
        <v>124</v>
      </c>
      <c r="B131" s="310"/>
      <c r="C131" s="310"/>
      <c r="D131" s="42"/>
      <c r="E131" s="43"/>
      <c r="F131" s="44"/>
      <c r="G131" s="45"/>
    </row>
    <row r="132" spans="1:7" x14ac:dyDescent="0.2">
      <c r="A132" s="29">
        <v>125</v>
      </c>
      <c r="B132" s="310"/>
      <c r="C132" s="310"/>
      <c r="D132" s="42"/>
      <c r="E132" s="43"/>
      <c r="F132" s="44"/>
      <c r="G132" s="45"/>
    </row>
    <row r="133" spans="1:7" x14ac:dyDescent="0.2">
      <c r="A133" s="29">
        <v>126</v>
      </c>
      <c r="B133" s="310"/>
      <c r="C133" s="310"/>
      <c r="D133" s="42"/>
      <c r="E133" s="43"/>
      <c r="F133" s="44"/>
      <c r="G133" s="45"/>
    </row>
    <row r="134" spans="1:7" x14ac:dyDescent="0.2">
      <c r="A134" s="29">
        <v>127</v>
      </c>
      <c r="B134" s="310"/>
      <c r="C134" s="310"/>
      <c r="D134" s="42"/>
      <c r="E134" s="43"/>
      <c r="F134" s="44"/>
      <c r="G134" s="45"/>
    </row>
    <row r="135" spans="1:7" x14ac:dyDescent="0.2">
      <c r="A135" s="29">
        <v>128</v>
      </c>
      <c r="B135" s="310"/>
      <c r="C135" s="310"/>
      <c r="D135" s="42"/>
      <c r="E135" s="43"/>
      <c r="F135" s="44"/>
      <c r="G135" s="45"/>
    </row>
    <row r="136" spans="1:7" x14ac:dyDescent="0.2">
      <c r="A136" s="29">
        <v>129</v>
      </c>
      <c r="B136" s="310"/>
      <c r="C136" s="310"/>
      <c r="D136" s="42"/>
      <c r="E136" s="43"/>
      <c r="F136" s="44"/>
      <c r="G136" s="45"/>
    </row>
    <row r="137" spans="1:7" x14ac:dyDescent="0.2">
      <c r="A137" s="29">
        <v>130</v>
      </c>
      <c r="B137" s="310"/>
      <c r="C137" s="310"/>
      <c r="D137" s="42"/>
      <c r="E137" s="43"/>
      <c r="F137" s="44"/>
      <c r="G137" s="45"/>
    </row>
    <row r="138" spans="1:7" x14ac:dyDescent="0.2">
      <c r="A138" s="29">
        <v>131</v>
      </c>
      <c r="B138" s="310"/>
      <c r="C138" s="310"/>
      <c r="D138" s="42"/>
      <c r="E138" s="43"/>
      <c r="F138" s="44"/>
      <c r="G138" s="45"/>
    </row>
    <row r="139" spans="1:7" x14ac:dyDescent="0.2">
      <c r="A139" s="29">
        <v>132</v>
      </c>
      <c r="B139" s="310"/>
      <c r="C139" s="310"/>
      <c r="D139" s="42"/>
      <c r="E139" s="43"/>
      <c r="F139" s="44"/>
      <c r="G139" s="45"/>
    </row>
    <row r="140" spans="1:7" x14ac:dyDescent="0.2">
      <c r="A140" s="29">
        <v>133</v>
      </c>
      <c r="B140" s="310"/>
      <c r="C140" s="310"/>
      <c r="D140" s="42"/>
      <c r="E140" s="43"/>
      <c r="F140" s="44"/>
      <c r="G140" s="45"/>
    </row>
    <row r="141" spans="1:7" x14ac:dyDescent="0.2">
      <c r="A141" s="29">
        <v>134</v>
      </c>
      <c r="B141" s="310"/>
      <c r="C141" s="310"/>
      <c r="D141" s="42"/>
      <c r="E141" s="43"/>
      <c r="F141" s="44"/>
      <c r="G141" s="45"/>
    </row>
    <row r="142" spans="1:7" x14ac:dyDescent="0.2">
      <c r="A142" s="29">
        <v>135</v>
      </c>
      <c r="B142" s="310"/>
      <c r="C142" s="310"/>
      <c r="D142" s="42"/>
      <c r="E142" s="43"/>
      <c r="F142" s="44"/>
      <c r="G142" s="45"/>
    </row>
    <row r="143" spans="1:7" x14ac:dyDescent="0.2">
      <c r="A143" s="29">
        <v>136</v>
      </c>
      <c r="B143" s="310"/>
      <c r="C143" s="310"/>
      <c r="D143" s="42"/>
      <c r="E143" s="43"/>
      <c r="F143" s="44"/>
      <c r="G143" s="45"/>
    </row>
    <row r="144" spans="1:7" x14ac:dyDescent="0.2">
      <c r="A144" s="29">
        <v>137</v>
      </c>
      <c r="B144" s="310"/>
      <c r="C144" s="310"/>
      <c r="D144" s="42"/>
      <c r="E144" s="43"/>
      <c r="F144" s="44"/>
      <c r="G144" s="45"/>
    </row>
    <row r="145" spans="1:7" x14ac:dyDescent="0.2">
      <c r="A145" s="29">
        <v>138</v>
      </c>
      <c r="B145" s="310"/>
      <c r="C145" s="310"/>
      <c r="D145" s="42"/>
      <c r="E145" s="43"/>
      <c r="F145" s="44"/>
      <c r="G145" s="45"/>
    </row>
    <row r="146" spans="1:7" x14ac:dyDescent="0.2">
      <c r="A146" s="29">
        <v>139</v>
      </c>
      <c r="B146" s="310"/>
      <c r="C146" s="310"/>
      <c r="D146" s="42"/>
      <c r="E146" s="43"/>
      <c r="F146" s="44"/>
      <c r="G146" s="45"/>
    </row>
    <row r="147" spans="1:7" x14ac:dyDescent="0.2">
      <c r="A147" s="29">
        <v>140</v>
      </c>
      <c r="B147" s="310"/>
      <c r="C147" s="310"/>
      <c r="D147" s="42"/>
      <c r="E147" s="43"/>
      <c r="F147" s="44"/>
      <c r="G147" s="45"/>
    </row>
    <row r="148" spans="1:7" x14ac:dyDescent="0.2">
      <c r="A148" s="29">
        <v>141</v>
      </c>
      <c r="B148" s="310"/>
      <c r="C148" s="310"/>
      <c r="D148" s="42"/>
      <c r="E148" s="43"/>
      <c r="F148" s="44"/>
      <c r="G148" s="45"/>
    </row>
    <row r="149" spans="1:7" x14ac:dyDescent="0.2">
      <c r="A149" s="29">
        <v>142</v>
      </c>
      <c r="B149" s="310"/>
      <c r="C149" s="310"/>
      <c r="D149" s="42"/>
      <c r="E149" s="43"/>
      <c r="F149" s="44"/>
      <c r="G149" s="45"/>
    </row>
    <row r="150" spans="1:7" x14ac:dyDescent="0.2">
      <c r="A150" s="29">
        <v>143</v>
      </c>
      <c r="B150" s="310"/>
      <c r="C150" s="310"/>
      <c r="D150" s="42"/>
      <c r="E150" s="43"/>
      <c r="F150" s="44"/>
      <c r="G150" s="45"/>
    </row>
    <row r="151" spans="1:7" x14ac:dyDescent="0.2">
      <c r="A151" s="29">
        <v>144</v>
      </c>
      <c r="B151" s="310"/>
      <c r="C151" s="310"/>
      <c r="D151" s="42"/>
      <c r="E151" s="43"/>
      <c r="F151" s="44"/>
      <c r="G151" s="45"/>
    </row>
    <row r="152" spans="1:7" x14ac:dyDescent="0.2">
      <c r="A152" s="29">
        <v>145</v>
      </c>
      <c r="B152" s="310"/>
      <c r="C152" s="310"/>
      <c r="D152" s="42"/>
      <c r="E152" s="43"/>
      <c r="F152" s="44"/>
      <c r="G152" s="45"/>
    </row>
    <row r="153" spans="1:7" x14ac:dyDescent="0.2">
      <c r="A153" s="29">
        <v>146</v>
      </c>
      <c r="B153" s="310"/>
      <c r="C153" s="310"/>
      <c r="D153" s="42"/>
      <c r="E153" s="43"/>
      <c r="F153" s="44"/>
      <c r="G153" s="45"/>
    </row>
    <row r="154" spans="1:7" x14ac:dyDescent="0.2">
      <c r="A154" s="29">
        <v>147</v>
      </c>
      <c r="B154" s="310"/>
      <c r="C154" s="310"/>
      <c r="D154" s="42"/>
      <c r="E154" s="43"/>
      <c r="F154" s="44"/>
      <c r="G154" s="45"/>
    </row>
    <row r="155" spans="1:7" x14ac:dyDescent="0.2">
      <c r="A155" s="29">
        <v>148</v>
      </c>
      <c r="B155" s="310"/>
      <c r="C155" s="310"/>
      <c r="D155" s="42"/>
      <c r="E155" s="43"/>
      <c r="F155" s="44"/>
      <c r="G155" s="45"/>
    </row>
    <row r="156" spans="1:7" x14ac:dyDescent="0.2">
      <c r="A156" s="29">
        <v>149</v>
      </c>
      <c r="B156" s="310"/>
      <c r="C156" s="310"/>
      <c r="D156" s="42"/>
      <c r="E156" s="43"/>
      <c r="F156" s="44"/>
      <c r="G156" s="45"/>
    </row>
    <row r="157" spans="1:7" x14ac:dyDescent="0.2">
      <c r="A157" s="29">
        <v>150</v>
      </c>
      <c r="B157" s="310"/>
      <c r="C157" s="310"/>
      <c r="D157" s="42"/>
      <c r="E157" s="43"/>
      <c r="F157" s="44"/>
      <c r="G157" s="45"/>
    </row>
    <row r="158" spans="1:7" x14ac:dyDescent="0.2">
      <c r="A158" s="29">
        <v>151</v>
      </c>
      <c r="B158" s="310"/>
      <c r="C158" s="310"/>
      <c r="D158" s="42"/>
      <c r="E158" s="43"/>
      <c r="F158" s="44"/>
      <c r="G158" s="45"/>
    </row>
    <row r="159" spans="1:7" x14ac:dyDescent="0.2">
      <c r="A159" s="29">
        <v>152</v>
      </c>
      <c r="B159" s="310"/>
      <c r="C159" s="310"/>
      <c r="D159" s="42"/>
      <c r="E159" s="43"/>
      <c r="F159" s="44"/>
      <c r="G159" s="45"/>
    </row>
    <row r="160" spans="1:7" x14ac:dyDescent="0.2">
      <c r="A160" s="29">
        <v>153</v>
      </c>
      <c r="B160" s="310"/>
      <c r="C160" s="310"/>
      <c r="D160" s="42"/>
      <c r="E160" s="43"/>
      <c r="F160" s="44"/>
      <c r="G160" s="45"/>
    </row>
    <row r="161" spans="1:7" x14ac:dyDescent="0.2">
      <c r="A161" s="29">
        <v>154</v>
      </c>
      <c r="B161" s="310"/>
      <c r="C161" s="310"/>
      <c r="D161" s="42"/>
      <c r="E161" s="43"/>
      <c r="F161" s="44"/>
      <c r="G161" s="45"/>
    </row>
    <row r="162" spans="1:7" x14ac:dyDescent="0.2">
      <c r="A162" s="29">
        <v>155</v>
      </c>
      <c r="B162" s="310"/>
      <c r="C162" s="310"/>
      <c r="D162" s="42"/>
      <c r="E162" s="43"/>
      <c r="F162" s="44"/>
      <c r="G162" s="45"/>
    </row>
    <row r="163" spans="1:7" x14ac:dyDescent="0.2">
      <c r="A163" s="29">
        <v>156</v>
      </c>
      <c r="B163" s="310"/>
      <c r="C163" s="310"/>
      <c r="D163" s="42"/>
      <c r="E163" s="43"/>
      <c r="F163" s="44"/>
      <c r="G163" s="45"/>
    </row>
    <row r="164" spans="1:7" x14ac:dyDescent="0.2">
      <c r="A164" s="29">
        <v>157</v>
      </c>
      <c r="B164" s="310"/>
      <c r="C164" s="310"/>
      <c r="D164" s="42"/>
      <c r="E164" s="43"/>
      <c r="F164" s="44"/>
      <c r="G164" s="45"/>
    </row>
    <row r="165" spans="1:7" x14ac:dyDescent="0.2">
      <c r="A165" s="29">
        <v>158</v>
      </c>
      <c r="B165" s="310"/>
      <c r="C165" s="310"/>
      <c r="D165" s="42"/>
      <c r="E165" s="43"/>
      <c r="F165" s="44"/>
      <c r="G165" s="45"/>
    </row>
    <row r="166" spans="1:7" x14ac:dyDescent="0.2">
      <c r="A166" s="29">
        <v>159</v>
      </c>
      <c r="B166" s="310"/>
      <c r="C166" s="310"/>
      <c r="D166" s="42"/>
      <c r="E166" s="43"/>
      <c r="F166" s="44"/>
      <c r="G166" s="45"/>
    </row>
    <row r="167" spans="1:7" x14ac:dyDescent="0.2">
      <c r="A167" s="29">
        <v>160</v>
      </c>
      <c r="B167" s="310"/>
      <c r="C167" s="310"/>
      <c r="D167" s="42"/>
      <c r="E167" s="43"/>
      <c r="F167" s="44"/>
      <c r="G167" s="45"/>
    </row>
    <row r="168" spans="1:7" x14ac:dyDescent="0.2">
      <c r="A168" s="29">
        <v>161</v>
      </c>
      <c r="B168" s="310"/>
      <c r="C168" s="310"/>
      <c r="D168" s="42"/>
      <c r="E168" s="43"/>
      <c r="F168" s="44"/>
      <c r="G168" s="45"/>
    </row>
    <row r="169" spans="1:7" x14ac:dyDescent="0.2">
      <c r="A169" s="29">
        <v>162</v>
      </c>
      <c r="B169" s="310"/>
      <c r="C169" s="310"/>
      <c r="D169" s="42"/>
      <c r="E169" s="43"/>
      <c r="F169" s="44"/>
      <c r="G169" s="45"/>
    </row>
    <row r="170" spans="1:7" x14ac:dyDescent="0.2">
      <c r="A170" s="29">
        <v>163</v>
      </c>
      <c r="B170" s="310"/>
      <c r="C170" s="310"/>
      <c r="D170" s="42"/>
      <c r="E170" s="43"/>
      <c r="F170" s="44"/>
      <c r="G170" s="45"/>
    </row>
    <row r="171" spans="1:7" x14ac:dyDescent="0.2">
      <c r="A171" s="29">
        <v>164</v>
      </c>
      <c r="B171" s="310"/>
      <c r="C171" s="310"/>
      <c r="D171" s="42"/>
      <c r="E171" s="43"/>
      <c r="F171" s="44"/>
      <c r="G171" s="45"/>
    </row>
    <row r="172" spans="1:7" x14ac:dyDescent="0.2">
      <c r="A172" s="29">
        <v>165</v>
      </c>
      <c r="B172" s="310"/>
      <c r="C172" s="310"/>
      <c r="D172" s="42"/>
      <c r="E172" s="43"/>
      <c r="F172" s="44"/>
      <c r="G172" s="45"/>
    </row>
    <row r="173" spans="1:7" x14ac:dyDescent="0.2">
      <c r="A173" s="29">
        <v>166</v>
      </c>
      <c r="B173" s="310"/>
      <c r="C173" s="310"/>
      <c r="D173" s="42"/>
      <c r="E173" s="43"/>
      <c r="F173" s="44"/>
      <c r="G173" s="45"/>
    </row>
    <row r="174" spans="1:7" x14ac:dyDescent="0.2">
      <c r="A174" s="29">
        <v>167</v>
      </c>
      <c r="B174" s="310"/>
      <c r="C174" s="310"/>
      <c r="D174" s="42"/>
      <c r="E174" s="43"/>
      <c r="F174" s="44"/>
      <c r="G174" s="45"/>
    </row>
    <row r="175" spans="1:7" x14ac:dyDescent="0.2">
      <c r="A175" s="29">
        <v>168</v>
      </c>
      <c r="B175" s="310"/>
      <c r="C175" s="310"/>
      <c r="D175" s="42"/>
      <c r="E175" s="43"/>
      <c r="F175" s="44"/>
      <c r="G175" s="45"/>
    </row>
    <row r="176" spans="1:7" x14ac:dyDescent="0.2">
      <c r="A176" s="29">
        <v>169</v>
      </c>
      <c r="B176" s="310"/>
      <c r="C176" s="310"/>
      <c r="D176" s="42"/>
      <c r="E176" s="43"/>
      <c r="F176" s="44"/>
      <c r="G176" s="45"/>
    </row>
    <row r="177" spans="1:7" x14ac:dyDescent="0.2">
      <c r="A177" s="29">
        <v>170</v>
      </c>
      <c r="B177" s="310"/>
      <c r="C177" s="310"/>
      <c r="D177" s="42"/>
      <c r="E177" s="43"/>
      <c r="F177" s="44"/>
      <c r="G177" s="45"/>
    </row>
    <row r="178" spans="1:7" x14ac:dyDescent="0.2">
      <c r="A178" s="29">
        <v>171</v>
      </c>
      <c r="B178" s="310"/>
      <c r="C178" s="310"/>
      <c r="D178" s="42"/>
      <c r="E178" s="43"/>
      <c r="F178" s="44"/>
      <c r="G178" s="45"/>
    </row>
    <row r="179" spans="1:7" x14ac:dyDescent="0.2">
      <c r="A179" s="29">
        <v>172</v>
      </c>
      <c r="B179" s="310"/>
      <c r="C179" s="310"/>
      <c r="D179" s="42"/>
      <c r="E179" s="43"/>
      <c r="F179" s="44"/>
      <c r="G179" s="45"/>
    </row>
    <row r="180" spans="1:7" x14ac:dyDescent="0.2">
      <c r="A180" s="29">
        <v>173</v>
      </c>
      <c r="B180" s="310"/>
      <c r="C180" s="310"/>
      <c r="D180" s="42"/>
      <c r="E180" s="43"/>
      <c r="F180" s="44"/>
      <c r="G180" s="45"/>
    </row>
    <row r="181" spans="1:7" x14ac:dyDescent="0.2">
      <c r="A181" s="29">
        <v>174</v>
      </c>
      <c r="B181" s="310"/>
      <c r="C181" s="310"/>
      <c r="D181" s="42"/>
      <c r="E181" s="43"/>
      <c r="F181" s="44"/>
      <c r="G181" s="45"/>
    </row>
    <row r="182" spans="1:7" x14ac:dyDescent="0.2">
      <c r="A182" s="29">
        <v>175</v>
      </c>
      <c r="B182" s="310"/>
      <c r="C182" s="310"/>
      <c r="D182" s="42"/>
      <c r="E182" s="43"/>
      <c r="F182" s="44"/>
      <c r="G182" s="45"/>
    </row>
    <row r="183" spans="1:7" x14ac:dyDescent="0.2">
      <c r="A183" s="29">
        <v>176</v>
      </c>
      <c r="B183" s="310"/>
      <c r="C183" s="310"/>
      <c r="D183" s="42"/>
      <c r="E183" s="43"/>
      <c r="F183" s="44"/>
      <c r="G183" s="45"/>
    </row>
    <row r="184" spans="1:7" x14ac:dyDescent="0.2">
      <c r="A184" s="29">
        <v>177</v>
      </c>
      <c r="B184" s="310"/>
      <c r="C184" s="310"/>
      <c r="D184" s="42"/>
      <c r="E184" s="43"/>
      <c r="F184" s="44"/>
      <c r="G184" s="45"/>
    </row>
    <row r="185" spans="1:7" x14ac:dyDescent="0.2">
      <c r="A185" s="29">
        <v>178</v>
      </c>
      <c r="B185" s="310"/>
      <c r="C185" s="310"/>
      <c r="D185" s="42"/>
      <c r="E185" s="43"/>
      <c r="F185" s="44"/>
      <c r="G185" s="45"/>
    </row>
    <row r="186" spans="1:7" x14ac:dyDescent="0.2">
      <c r="A186" s="29">
        <v>179</v>
      </c>
      <c r="B186" s="310"/>
      <c r="C186" s="310"/>
      <c r="D186" s="42"/>
      <c r="E186" s="43"/>
      <c r="F186" s="44"/>
      <c r="G186" s="45"/>
    </row>
    <row r="187" spans="1:7" x14ac:dyDescent="0.2">
      <c r="A187" s="29">
        <v>180</v>
      </c>
      <c r="B187" s="310"/>
      <c r="C187" s="183"/>
      <c r="D187" s="42"/>
      <c r="E187" s="43"/>
      <c r="F187" s="44"/>
      <c r="G187" s="45"/>
    </row>
    <row r="188" spans="1:7" x14ac:dyDescent="0.2">
      <c r="A188" s="29">
        <v>181</v>
      </c>
      <c r="B188" s="310"/>
      <c r="C188" s="310"/>
      <c r="D188" s="42"/>
      <c r="E188" s="43"/>
      <c r="F188" s="44"/>
      <c r="G188" s="45"/>
    </row>
    <row r="189" spans="1:7" x14ac:dyDescent="0.2">
      <c r="A189" s="29">
        <v>182</v>
      </c>
      <c r="B189" s="310"/>
      <c r="C189" s="310"/>
      <c r="D189" s="42"/>
      <c r="E189" s="43"/>
      <c r="F189" s="44"/>
      <c r="G189" s="45"/>
    </row>
    <row r="190" spans="1:7" x14ac:dyDescent="0.2">
      <c r="A190" s="29">
        <v>183</v>
      </c>
      <c r="B190" s="310"/>
      <c r="C190" s="183"/>
      <c r="D190" s="42"/>
      <c r="E190" s="43"/>
      <c r="F190" s="44"/>
      <c r="G190" s="45"/>
    </row>
    <row r="191" spans="1:7" x14ac:dyDescent="0.2">
      <c r="A191" s="29">
        <v>184</v>
      </c>
      <c r="B191" s="310"/>
      <c r="C191" s="310"/>
      <c r="D191" s="42"/>
      <c r="E191" s="43"/>
      <c r="F191" s="44"/>
      <c r="G191" s="45"/>
    </row>
    <row r="192" spans="1:7" x14ac:dyDescent="0.2">
      <c r="A192" s="29">
        <v>185</v>
      </c>
      <c r="B192" s="310"/>
      <c r="C192" s="183"/>
      <c r="D192" s="42"/>
      <c r="E192" s="43"/>
      <c r="F192" s="44"/>
      <c r="G192" s="45"/>
    </row>
    <row r="193" spans="1:7" x14ac:dyDescent="0.2">
      <c r="A193" s="29">
        <v>186</v>
      </c>
      <c r="B193" s="310"/>
      <c r="C193" s="310"/>
      <c r="D193" s="42"/>
      <c r="E193" s="43"/>
      <c r="F193" s="44"/>
      <c r="G193" s="45"/>
    </row>
    <row r="194" spans="1:7" x14ac:dyDescent="0.2">
      <c r="A194" s="29">
        <v>187</v>
      </c>
      <c r="B194" s="310"/>
      <c r="C194" s="183"/>
      <c r="D194" s="42"/>
      <c r="E194" s="43"/>
      <c r="F194" s="44"/>
      <c r="G194" s="45"/>
    </row>
    <row r="195" spans="1:7" x14ac:dyDescent="0.2">
      <c r="A195" s="29">
        <v>188</v>
      </c>
      <c r="B195" s="310"/>
      <c r="C195" s="310"/>
      <c r="D195" s="42"/>
      <c r="E195" s="43"/>
      <c r="F195" s="44"/>
      <c r="G195" s="45"/>
    </row>
    <row r="196" spans="1:7" x14ac:dyDescent="0.2">
      <c r="A196" s="29">
        <v>189</v>
      </c>
      <c r="B196" s="310"/>
      <c r="C196" s="310"/>
      <c r="D196" s="42"/>
      <c r="E196" s="43"/>
      <c r="F196" s="44"/>
      <c r="G196" s="45"/>
    </row>
    <row r="197" spans="1:7" x14ac:dyDescent="0.2">
      <c r="A197" s="29">
        <v>190</v>
      </c>
      <c r="B197" s="310"/>
      <c r="C197" s="183"/>
      <c r="D197" s="42"/>
      <c r="E197" s="43"/>
      <c r="F197" s="44"/>
      <c r="G197" s="45"/>
    </row>
    <row r="198" spans="1:7" x14ac:dyDescent="0.2">
      <c r="A198" s="29">
        <v>191</v>
      </c>
      <c r="B198" s="310"/>
      <c r="C198" s="310"/>
      <c r="D198" s="42"/>
      <c r="E198" s="43"/>
      <c r="F198" s="44"/>
      <c r="G198" s="45"/>
    </row>
    <row r="199" spans="1:7" x14ac:dyDescent="0.2">
      <c r="A199" s="29">
        <v>192</v>
      </c>
      <c r="B199" s="310"/>
      <c r="C199" s="310"/>
      <c r="D199" s="42"/>
      <c r="E199" s="43"/>
      <c r="F199" s="44"/>
      <c r="G199" s="45"/>
    </row>
    <row r="200" spans="1:7" x14ac:dyDescent="0.2">
      <c r="A200" s="29">
        <v>193</v>
      </c>
      <c r="B200" s="310"/>
      <c r="C200" s="310"/>
      <c r="D200" s="42"/>
      <c r="E200" s="43"/>
      <c r="F200" s="44"/>
      <c r="G200" s="45"/>
    </row>
    <row r="201" spans="1:7" x14ac:dyDescent="0.2">
      <c r="A201" s="29">
        <v>194</v>
      </c>
      <c r="B201" s="310"/>
      <c r="C201" s="310"/>
      <c r="D201" s="42"/>
      <c r="E201" s="43"/>
      <c r="F201" s="44"/>
      <c r="G201" s="45"/>
    </row>
    <row r="202" spans="1:7" x14ac:dyDescent="0.2">
      <c r="A202" s="29">
        <v>195</v>
      </c>
      <c r="B202" s="310"/>
      <c r="C202" s="310"/>
      <c r="D202" s="42"/>
      <c r="E202" s="43"/>
      <c r="F202" s="44"/>
      <c r="G202" s="45"/>
    </row>
    <row r="203" spans="1:7" x14ac:dyDescent="0.2">
      <c r="A203" s="29">
        <v>196</v>
      </c>
      <c r="B203" s="310"/>
      <c r="C203" s="310"/>
      <c r="D203" s="42"/>
      <c r="E203" s="43"/>
      <c r="F203" s="44"/>
      <c r="G203" s="45"/>
    </row>
    <row r="204" spans="1:7" x14ac:dyDescent="0.2">
      <c r="A204" s="29">
        <v>197</v>
      </c>
      <c r="B204" s="310"/>
      <c r="C204" s="183"/>
      <c r="D204" s="42"/>
      <c r="E204" s="43"/>
      <c r="F204" s="44"/>
      <c r="G204" s="45"/>
    </row>
    <row r="205" spans="1:7" x14ac:dyDescent="0.2">
      <c r="A205" s="29">
        <v>198</v>
      </c>
      <c r="B205" s="310"/>
      <c r="C205" s="310"/>
      <c r="D205" s="42"/>
      <c r="E205" s="43"/>
      <c r="F205" s="44"/>
      <c r="G205" s="45"/>
    </row>
    <row r="206" spans="1:7" x14ac:dyDescent="0.2">
      <c r="A206" s="29">
        <v>199</v>
      </c>
      <c r="B206" s="310"/>
      <c r="C206" s="310"/>
      <c r="D206" s="42"/>
      <c r="E206" s="43"/>
      <c r="F206" s="44"/>
      <c r="G206" s="45"/>
    </row>
    <row r="207" spans="1:7" x14ac:dyDescent="0.2">
      <c r="A207" s="29">
        <v>200</v>
      </c>
      <c r="B207" s="310"/>
      <c r="C207" s="310"/>
      <c r="D207" s="42"/>
      <c r="E207" s="43"/>
      <c r="F207" s="44"/>
      <c r="G207" s="45"/>
    </row>
    <row r="208" spans="1:7" x14ac:dyDescent="0.2">
      <c r="A208" s="29">
        <v>201</v>
      </c>
      <c r="B208" s="310"/>
      <c r="C208" s="310"/>
      <c r="D208" s="42"/>
      <c r="E208" s="43"/>
      <c r="F208" s="44"/>
      <c r="G208" s="45"/>
    </row>
    <row r="209" spans="1:7" x14ac:dyDescent="0.2">
      <c r="A209" s="29">
        <v>202</v>
      </c>
      <c r="B209" s="310"/>
      <c r="C209" s="310"/>
      <c r="D209" s="42"/>
      <c r="E209" s="43"/>
      <c r="F209" s="44"/>
      <c r="G209" s="45"/>
    </row>
    <row r="210" spans="1:7" x14ac:dyDescent="0.2">
      <c r="A210" s="29">
        <v>203</v>
      </c>
      <c r="B210" s="310"/>
      <c r="C210" s="310"/>
      <c r="D210" s="42"/>
      <c r="E210" s="43"/>
      <c r="F210" s="44"/>
      <c r="G210" s="45"/>
    </row>
    <row r="211" spans="1:7" x14ac:dyDescent="0.2">
      <c r="A211" s="29">
        <v>204</v>
      </c>
      <c r="B211" s="310"/>
      <c r="C211" s="310"/>
      <c r="D211" s="42"/>
      <c r="E211" s="43"/>
      <c r="F211" s="44"/>
      <c r="G211" s="45"/>
    </row>
    <row r="212" spans="1:7" x14ac:dyDescent="0.2">
      <c r="A212" s="29">
        <v>205</v>
      </c>
      <c r="B212" s="310"/>
      <c r="C212" s="310"/>
      <c r="D212" s="42"/>
      <c r="E212" s="43"/>
      <c r="F212" s="44"/>
      <c r="G212" s="45"/>
    </row>
    <row r="213" spans="1:7" x14ac:dyDescent="0.2">
      <c r="A213" s="29">
        <v>206</v>
      </c>
      <c r="B213" s="310"/>
      <c r="C213" s="310"/>
      <c r="D213" s="42"/>
      <c r="E213" s="43"/>
      <c r="F213" s="44"/>
      <c r="G213" s="45"/>
    </row>
    <row r="214" spans="1:7" x14ac:dyDescent="0.2">
      <c r="A214" s="29">
        <v>207</v>
      </c>
      <c r="B214" s="310"/>
      <c r="C214" s="310"/>
      <c r="D214" s="42"/>
      <c r="E214" s="43"/>
      <c r="F214" s="44"/>
      <c r="G214" s="45"/>
    </row>
    <row r="215" spans="1:7" x14ac:dyDescent="0.2">
      <c r="A215" s="29">
        <v>208</v>
      </c>
      <c r="B215" s="310"/>
      <c r="C215" s="310"/>
      <c r="D215" s="42"/>
      <c r="E215" s="43"/>
      <c r="F215" s="44"/>
      <c r="G215" s="45"/>
    </row>
    <row r="216" spans="1:7" x14ac:dyDescent="0.2">
      <c r="A216" s="29">
        <v>209</v>
      </c>
      <c r="B216" s="310"/>
      <c r="C216" s="310"/>
      <c r="D216" s="42"/>
      <c r="E216" s="43"/>
      <c r="F216" s="44"/>
      <c r="G216" s="45"/>
    </row>
    <row r="217" spans="1:7" x14ac:dyDescent="0.2">
      <c r="A217" s="29">
        <v>210</v>
      </c>
      <c r="B217" s="310"/>
      <c r="C217" s="310"/>
      <c r="D217" s="42"/>
      <c r="E217" s="43"/>
      <c r="F217" s="44"/>
      <c r="G217" s="45"/>
    </row>
    <row r="218" spans="1:7" x14ac:dyDescent="0.2">
      <c r="A218" s="29">
        <v>211</v>
      </c>
      <c r="B218" s="310"/>
      <c r="C218" s="310"/>
      <c r="D218" s="42"/>
      <c r="E218" s="43"/>
      <c r="F218" s="44"/>
      <c r="G218" s="45"/>
    </row>
    <row r="219" spans="1:7" x14ac:dyDescent="0.2">
      <c r="A219" s="29">
        <v>212</v>
      </c>
      <c r="B219" s="310"/>
      <c r="C219" s="310"/>
      <c r="D219" s="42"/>
      <c r="E219" s="43"/>
      <c r="F219" s="44"/>
      <c r="G219" s="45"/>
    </row>
    <row r="220" spans="1:7" x14ac:dyDescent="0.2">
      <c r="A220" s="29">
        <v>213</v>
      </c>
      <c r="B220" s="310"/>
      <c r="C220" s="310"/>
      <c r="D220" s="42"/>
      <c r="E220" s="43"/>
      <c r="F220" s="44"/>
      <c r="G220" s="45"/>
    </row>
    <row r="221" spans="1:7" x14ac:dyDescent="0.2">
      <c r="A221" s="29">
        <v>214</v>
      </c>
      <c r="B221" s="310"/>
      <c r="C221" s="310"/>
      <c r="D221" s="42"/>
      <c r="E221" s="43"/>
      <c r="F221" s="44"/>
      <c r="G221" s="45"/>
    </row>
    <row r="222" spans="1:7" x14ac:dyDescent="0.2">
      <c r="A222" s="29">
        <v>215</v>
      </c>
      <c r="B222" s="310"/>
      <c r="C222" s="310"/>
      <c r="D222" s="42"/>
      <c r="E222" s="43"/>
      <c r="F222" s="44"/>
      <c r="G222" s="45"/>
    </row>
    <row r="223" spans="1:7" x14ac:dyDescent="0.2">
      <c r="A223" s="29">
        <v>216</v>
      </c>
      <c r="B223" s="310"/>
      <c r="C223" s="310"/>
      <c r="D223" s="42"/>
      <c r="E223" s="43"/>
      <c r="F223" s="44"/>
      <c r="G223" s="45"/>
    </row>
    <row r="224" spans="1:7" x14ac:dyDescent="0.2">
      <c r="A224" s="29">
        <v>217</v>
      </c>
      <c r="B224" s="310"/>
      <c r="C224" s="310"/>
      <c r="D224" s="42"/>
      <c r="E224" s="43"/>
      <c r="F224" s="44"/>
      <c r="G224" s="45"/>
    </row>
    <row r="225" spans="1:7" x14ac:dyDescent="0.2">
      <c r="A225" s="29">
        <v>218</v>
      </c>
      <c r="B225" s="310"/>
      <c r="C225" s="310"/>
      <c r="D225" s="42"/>
      <c r="E225" s="43"/>
      <c r="F225" s="44"/>
      <c r="G225" s="45"/>
    </row>
    <row r="226" spans="1:7" x14ac:dyDescent="0.2">
      <c r="A226" s="29">
        <v>219</v>
      </c>
      <c r="B226" s="310"/>
      <c r="C226" s="310"/>
      <c r="D226" s="42"/>
      <c r="E226" s="43"/>
      <c r="F226" s="44"/>
      <c r="G226" s="45"/>
    </row>
    <row r="227" spans="1:7" x14ac:dyDescent="0.2">
      <c r="A227" s="29">
        <v>220</v>
      </c>
      <c r="B227" s="310"/>
      <c r="C227" s="310"/>
      <c r="D227" s="42"/>
      <c r="E227" s="43"/>
      <c r="F227" s="44"/>
      <c r="G227" s="45"/>
    </row>
    <row r="228" spans="1:7" x14ac:dyDescent="0.2">
      <c r="A228" s="29">
        <v>221</v>
      </c>
      <c r="B228" s="310"/>
      <c r="C228" s="310"/>
      <c r="D228" s="42"/>
      <c r="E228" s="43"/>
      <c r="F228" s="44"/>
      <c r="G228" s="45"/>
    </row>
    <row r="229" spans="1:7" x14ac:dyDescent="0.2">
      <c r="A229" s="29">
        <v>222</v>
      </c>
      <c r="B229" s="310"/>
      <c r="C229" s="310"/>
      <c r="D229" s="42"/>
      <c r="E229" s="43"/>
      <c r="F229" s="44"/>
      <c r="G229" s="45"/>
    </row>
    <row r="230" spans="1:7" x14ac:dyDescent="0.2">
      <c r="A230" s="29">
        <v>223</v>
      </c>
      <c r="B230" s="310"/>
      <c r="C230" s="310"/>
      <c r="D230" s="42"/>
      <c r="E230" s="43"/>
      <c r="F230" s="44"/>
      <c r="G230" s="45"/>
    </row>
    <row r="231" spans="1:7" x14ac:dyDescent="0.2">
      <c r="A231" s="29">
        <v>224</v>
      </c>
      <c r="B231" s="310"/>
      <c r="C231" s="310"/>
      <c r="D231" s="42"/>
      <c r="E231" s="43"/>
      <c r="F231" s="44"/>
      <c r="G231" s="45"/>
    </row>
    <row r="232" spans="1:7" x14ac:dyDescent="0.2">
      <c r="A232" s="29">
        <v>225</v>
      </c>
      <c r="B232" s="310"/>
      <c r="C232" s="310"/>
      <c r="D232" s="42"/>
      <c r="E232" s="43"/>
      <c r="F232" s="44"/>
      <c r="G232" s="45"/>
    </row>
    <row r="233" spans="1:7" x14ac:dyDescent="0.2">
      <c r="A233" s="29">
        <v>226</v>
      </c>
      <c r="B233" s="310"/>
      <c r="C233" s="310"/>
      <c r="D233" s="42"/>
      <c r="E233" s="43"/>
      <c r="F233" s="44"/>
      <c r="G233" s="45"/>
    </row>
    <row r="234" spans="1:7" x14ac:dyDescent="0.2">
      <c r="A234" s="29">
        <v>227</v>
      </c>
      <c r="B234" s="310"/>
      <c r="C234" s="310"/>
      <c r="D234" s="42"/>
      <c r="E234" s="43"/>
      <c r="F234" s="44"/>
      <c r="G234" s="45"/>
    </row>
    <row r="235" spans="1:7" x14ac:dyDescent="0.2">
      <c r="A235" s="29">
        <v>228</v>
      </c>
      <c r="B235" s="310"/>
      <c r="C235" s="310"/>
      <c r="D235" s="42"/>
      <c r="E235" s="43"/>
      <c r="F235" s="44"/>
      <c r="G235" s="45"/>
    </row>
    <row r="236" spans="1:7" x14ac:dyDescent="0.2">
      <c r="A236" s="29">
        <v>229</v>
      </c>
      <c r="B236" s="310"/>
      <c r="C236" s="310"/>
      <c r="D236" s="42"/>
      <c r="E236" s="43"/>
      <c r="F236" s="44"/>
      <c r="G236" s="45"/>
    </row>
    <row r="237" spans="1:7" x14ac:dyDescent="0.2">
      <c r="A237" s="29">
        <v>230</v>
      </c>
      <c r="B237" s="310"/>
      <c r="C237" s="310"/>
      <c r="D237" s="42"/>
      <c r="E237" s="43"/>
      <c r="F237" s="44"/>
      <c r="G237" s="45"/>
    </row>
    <row r="238" spans="1:7" x14ac:dyDescent="0.2">
      <c r="A238" s="29">
        <v>231</v>
      </c>
      <c r="B238" s="310"/>
      <c r="C238" s="310"/>
      <c r="D238" s="42"/>
      <c r="E238" s="43"/>
      <c r="F238" s="44"/>
      <c r="G238" s="45"/>
    </row>
    <row r="239" spans="1:7" x14ac:dyDescent="0.2">
      <c r="A239" s="29">
        <v>232</v>
      </c>
      <c r="B239" s="310"/>
      <c r="C239" s="310"/>
      <c r="D239" s="42"/>
      <c r="E239" s="43"/>
      <c r="F239" s="44"/>
      <c r="G239" s="45"/>
    </row>
    <row r="240" spans="1:7" x14ac:dyDescent="0.2">
      <c r="A240" s="29">
        <v>233</v>
      </c>
      <c r="B240" s="310"/>
      <c r="C240" s="310"/>
      <c r="D240" s="42"/>
      <c r="E240" s="43"/>
      <c r="F240" s="44"/>
      <c r="G240" s="45"/>
    </row>
    <row r="241" spans="1:7" x14ac:dyDescent="0.2">
      <c r="A241" s="29">
        <v>234</v>
      </c>
      <c r="B241" s="310"/>
      <c r="C241" s="310"/>
      <c r="D241" s="42"/>
      <c r="E241" s="43"/>
      <c r="F241" s="44"/>
      <c r="G241" s="45"/>
    </row>
    <row r="242" spans="1:7" x14ac:dyDescent="0.2">
      <c r="A242" s="29">
        <v>235</v>
      </c>
      <c r="B242" s="310"/>
      <c r="C242" s="310"/>
      <c r="D242" s="42"/>
      <c r="E242" s="43"/>
      <c r="F242" s="44"/>
      <c r="G242" s="45"/>
    </row>
    <row r="243" spans="1:7" x14ac:dyDescent="0.2">
      <c r="A243" s="29">
        <v>236</v>
      </c>
      <c r="B243" s="310"/>
      <c r="C243" s="310"/>
      <c r="D243" s="42"/>
      <c r="E243" s="43"/>
      <c r="F243" s="44"/>
      <c r="G243" s="45"/>
    </row>
    <row r="244" spans="1:7" x14ac:dyDescent="0.2">
      <c r="A244" s="29">
        <v>237</v>
      </c>
      <c r="B244" s="310"/>
      <c r="C244" s="310"/>
      <c r="D244" s="42"/>
      <c r="E244" s="43"/>
      <c r="F244" s="44"/>
      <c r="G244" s="45"/>
    </row>
    <row r="245" spans="1:7" x14ac:dyDescent="0.2">
      <c r="A245" s="29">
        <v>238</v>
      </c>
      <c r="B245" s="310"/>
      <c r="C245" s="310"/>
      <c r="D245" s="42"/>
      <c r="E245" s="43"/>
      <c r="F245" s="44"/>
      <c r="G245" s="45"/>
    </row>
    <row r="246" spans="1:7" x14ac:dyDescent="0.2">
      <c r="A246" s="29">
        <v>239</v>
      </c>
      <c r="B246" s="310"/>
      <c r="C246" s="310"/>
      <c r="D246" s="42"/>
      <c r="E246" s="43"/>
      <c r="F246" s="44"/>
      <c r="G246" s="45"/>
    </row>
    <row r="247" spans="1:7" x14ac:dyDescent="0.2">
      <c r="A247" s="29">
        <v>240</v>
      </c>
      <c r="B247" s="310"/>
      <c r="C247" s="310"/>
      <c r="D247" s="42"/>
      <c r="E247" s="43"/>
      <c r="F247" s="44"/>
      <c r="G247" s="45"/>
    </row>
    <row r="248" spans="1:7" x14ac:dyDescent="0.2">
      <c r="A248" s="29">
        <v>241</v>
      </c>
      <c r="B248" s="310"/>
      <c r="C248" s="310"/>
      <c r="D248" s="42"/>
      <c r="E248" s="43"/>
      <c r="F248" s="44"/>
      <c r="G248" s="45"/>
    </row>
    <row r="249" spans="1:7" x14ac:dyDescent="0.2">
      <c r="A249" s="29">
        <v>242</v>
      </c>
      <c r="B249" s="310"/>
      <c r="C249" s="310"/>
      <c r="D249" s="42"/>
      <c r="E249" s="43"/>
      <c r="F249" s="44"/>
      <c r="G249" s="45"/>
    </row>
    <row r="250" spans="1:7" x14ac:dyDescent="0.2">
      <c r="A250" s="29">
        <v>243</v>
      </c>
      <c r="B250" s="310"/>
      <c r="C250" s="310"/>
      <c r="D250" s="42"/>
      <c r="E250" s="43"/>
      <c r="F250" s="44"/>
      <c r="G250" s="45"/>
    </row>
    <row r="251" spans="1:7" x14ac:dyDescent="0.2">
      <c r="A251" s="29">
        <v>244</v>
      </c>
      <c r="B251" s="310"/>
      <c r="C251" s="310"/>
      <c r="D251" s="42"/>
      <c r="E251" s="43"/>
      <c r="F251" s="44"/>
      <c r="G251" s="45"/>
    </row>
    <row r="252" spans="1:7" x14ac:dyDescent="0.2">
      <c r="A252" s="29">
        <v>245</v>
      </c>
      <c r="B252" s="310"/>
      <c r="C252" s="310"/>
      <c r="D252" s="42"/>
      <c r="E252" s="43"/>
      <c r="F252" s="44"/>
      <c r="G252" s="45"/>
    </row>
    <row r="253" spans="1:7" x14ac:dyDescent="0.2">
      <c r="A253" s="29">
        <v>246</v>
      </c>
      <c r="B253" s="310"/>
      <c r="C253" s="310"/>
      <c r="D253" s="42"/>
      <c r="E253" s="43"/>
      <c r="F253" s="44"/>
      <c r="G253" s="45"/>
    </row>
    <row r="254" spans="1:7" x14ac:dyDescent="0.2">
      <c r="A254" s="29">
        <v>247</v>
      </c>
      <c r="B254" s="310"/>
      <c r="C254" s="310"/>
      <c r="D254" s="42"/>
      <c r="E254" s="43"/>
      <c r="F254" s="44"/>
      <c r="G254" s="45"/>
    </row>
    <row r="255" spans="1:7" x14ac:dyDescent="0.2">
      <c r="A255" s="29">
        <v>248</v>
      </c>
      <c r="B255" s="310"/>
      <c r="C255" s="310"/>
      <c r="D255" s="42"/>
      <c r="E255" s="43"/>
      <c r="F255" s="44"/>
      <c r="G255" s="45"/>
    </row>
    <row r="256" spans="1:7" x14ac:dyDescent="0.2">
      <c r="A256" s="29">
        <v>249</v>
      </c>
      <c r="B256" s="310"/>
      <c r="C256" s="310"/>
      <c r="D256" s="42"/>
      <c r="E256" s="43"/>
      <c r="F256" s="44"/>
      <c r="G256" s="45"/>
    </row>
    <row r="257" spans="1:7" x14ac:dyDescent="0.2">
      <c r="A257" s="29">
        <v>250</v>
      </c>
      <c r="B257" s="310"/>
      <c r="C257" s="310"/>
      <c r="D257" s="42"/>
      <c r="E257" s="43"/>
      <c r="F257" s="44"/>
      <c r="G257" s="45"/>
    </row>
    <row r="258" spans="1:7" x14ac:dyDescent="0.2">
      <c r="A258" s="29">
        <v>251</v>
      </c>
      <c r="B258" s="310"/>
      <c r="C258" s="310"/>
      <c r="D258" s="42"/>
      <c r="E258" s="43"/>
      <c r="F258" s="44"/>
      <c r="G258" s="45"/>
    </row>
    <row r="259" spans="1:7" x14ac:dyDescent="0.2">
      <c r="A259" s="29">
        <v>252</v>
      </c>
      <c r="B259" s="310"/>
      <c r="C259" s="310"/>
      <c r="D259" s="42"/>
      <c r="E259" s="43"/>
      <c r="F259" s="44"/>
      <c r="G259" s="45"/>
    </row>
    <row r="260" spans="1:7" x14ac:dyDescent="0.2">
      <c r="A260" s="29">
        <v>253</v>
      </c>
      <c r="B260" s="310"/>
      <c r="C260" s="310"/>
      <c r="D260" s="42"/>
      <c r="E260" s="43"/>
      <c r="F260" s="44"/>
      <c r="G260" s="45"/>
    </row>
    <row r="261" spans="1:7" x14ac:dyDescent="0.2">
      <c r="A261" s="29">
        <v>254</v>
      </c>
      <c r="B261" s="310"/>
      <c r="C261" s="310"/>
      <c r="D261" s="42"/>
      <c r="E261" s="43"/>
      <c r="F261" s="44"/>
      <c r="G261" s="45"/>
    </row>
    <row r="262" spans="1:7" x14ac:dyDescent="0.2">
      <c r="A262" s="29">
        <v>255</v>
      </c>
      <c r="B262" s="310"/>
      <c r="C262" s="310"/>
      <c r="D262" s="42"/>
      <c r="E262" s="43"/>
      <c r="F262" s="44"/>
      <c r="G262" s="45"/>
    </row>
    <row r="263" spans="1:7" x14ac:dyDescent="0.2">
      <c r="A263" s="29">
        <v>256</v>
      </c>
      <c r="B263" s="310"/>
      <c r="C263" s="310"/>
      <c r="D263" s="42"/>
      <c r="E263" s="43"/>
      <c r="F263" s="44"/>
      <c r="G263" s="45"/>
    </row>
    <row r="264" spans="1:7" x14ac:dyDescent="0.2">
      <c r="A264" s="29">
        <v>257</v>
      </c>
      <c r="B264" s="310"/>
      <c r="C264" s="310"/>
      <c r="D264" s="42"/>
      <c r="E264" s="43"/>
      <c r="F264" s="44"/>
      <c r="G264" s="45"/>
    </row>
    <row r="265" spans="1:7" x14ac:dyDescent="0.2">
      <c r="A265" s="29">
        <v>258</v>
      </c>
      <c r="B265" s="310"/>
      <c r="C265" s="310"/>
      <c r="D265" s="42"/>
      <c r="E265" s="43"/>
      <c r="F265" s="44"/>
      <c r="G265" s="45"/>
    </row>
    <row r="266" spans="1:7" x14ac:dyDescent="0.2">
      <c r="A266" s="29">
        <v>259</v>
      </c>
      <c r="B266" s="310"/>
      <c r="C266" s="310"/>
      <c r="D266" s="42"/>
      <c r="E266" s="43"/>
      <c r="F266" s="44"/>
      <c r="G266" s="45"/>
    </row>
    <row r="267" spans="1:7" x14ac:dyDescent="0.2">
      <c r="A267" s="29">
        <v>260</v>
      </c>
      <c r="B267" s="310"/>
      <c r="C267" s="310"/>
      <c r="D267" s="42"/>
      <c r="E267" s="43"/>
      <c r="F267" s="44"/>
      <c r="G267" s="45"/>
    </row>
    <row r="268" spans="1:7" x14ac:dyDescent="0.2">
      <c r="A268" s="29">
        <v>261</v>
      </c>
      <c r="B268" s="310"/>
      <c r="C268" s="310"/>
      <c r="D268" s="42"/>
      <c r="E268" s="43"/>
      <c r="F268" s="44"/>
      <c r="G268" s="45"/>
    </row>
    <row r="269" spans="1:7" x14ac:dyDescent="0.2">
      <c r="A269" s="29">
        <v>262</v>
      </c>
      <c r="B269" s="310"/>
      <c r="C269" s="310"/>
      <c r="D269" s="42"/>
      <c r="E269" s="43"/>
      <c r="F269" s="44"/>
      <c r="G269" s="45"/>
    </row>
    <row r="270" spans="1:7" x14ac:dyDescent="0.2">
      <c r="A270" s="29">
        <v>263</v>
      </c>
      <c r="B270" s="310"/>
      <c r="C270" s="310"/>
      <c r="D270" s="42"/>
      <c r="E270" s="43"/>
      <c r="F270" s="44"/>
      <c r="G270" s="45"/>
    </row>
    <row r="271" spans="1:7" x14ac:dyDescent="0.2">
      <c r="A271" s="29">
        <v>264</v>
      </c>
      <c r="B271" s="310"/>
      <c r="C271" s="310"/>
      <c r="D271" s="42"/>
      <c r="E271" s="43"/>
      <c r="F271" s="44"/>
      <c r="G271" s="45"/>
    </row>
    <row r="272" spans="1:7" x14ac:dyDescent="0.2">
      <c r="A272" s="29">
        <v>265</v>
      </c>
      <c r="B272" s="310"/>
      <c r="C272" s="310"/>
      <c r="D272" s="42"/>
      <c r="E272" s="43"/>
      <c r="F272" s="44"/>
      <c r="G272" s="45"/>
    </row>
    <row r="273" spans="1:7" x14ac:dyDescent="0.2">
      <c r="A273" s="29">
        <v>266</v>
      </c>
      <c r="B273" s="310"/>
      <c r="C273" s="310"/>
      <c r="D273" s="42"/>
      <c r="E273" s="43"/>
      <c r="F273" s="44"/>
      <c r="G273" s="45"/>
    </row>
    <row r="274" spans="1:7" x14ac:dyDescent="0.2">
      <c r="A274" s="29">
        <v>267</v>
      </c>
      <c r="B274" s="310"/>
      <c r="C274" s="310"/>
      <c r="D274" s="42"/>
      <c r="E274" s="43"/>
      <c r="F274" s="44"/>
      <c r="G274" s="45"/>
    </row>
    <row r="275" spans="1:7" x14ac:dyDescent="0.2">
      <c r="A275" s="29">
        <v>268</v>
      </c>
      <c r="B275" s="310"/>
      <c r="C275" s="310"/>
      <c r="D275" s="42"/>
      <c r="E275" s="43"/>
      <c r="F275" s="44"/>
      <c r="G275" s="45"/>
    </row>
    <row r="276" spans="1:7" x14ac:dyDescent="0.2">
      <c r="A276" s="29">
        <v>269</v>
      </c>
      <c r="B276" s="310"/>
      <c r="C276" s="310"/>
      <c r="D276" s="42"/>
      <c r="E276" s="43"/>
      <c r="F276" s="44"/>
      <c r="G276" s="45"/>
    </row>
    <row r="277" spans="1:7" x14ac:dyDescent="0.2">
      <c r="A277" s="29">
        <v>270</v>
      </c>
      <c r="B277" s="310"/>
      <c r="C277" s="310"/>
      <c r="D277" s="42"/>
      <c r="E277" s="43"/>
      <c r="F277" s="44"/>
      <c r="G277" s="45"/>
    </row>
    <row r="278" spans="1:7" x14ac:dyDescent="0.2">
      <c r="A278" s="29">
        <v>271</v>
      </c>
      <c r="B278" s="310"/>
      <c r="C278" s="310"/>
      <c r="D278" s="42"/>
      <c r="E278" s="43"/>
      <c r="F278" s="44"/>
      <c r="G278" s="45"/>
    </row>
    <row r="279" spans="1:7" x14ac:dyDescent="0.2">
      <c r="A279" s="29">
        <v>272</v>
      </c>
      <c r="B279" s="310"/>
      <c r="C279" s="310"/>
      <c r="D279" s="42"/>
      <c r="E279" s="43"/>
      <c r="F279" s="44"/>
      <c r="G279" s="45"/>
    </row>
    <row r="280" spans="1:7" x14ac:dyDescent="0.2">
      <c r="A280" s="29">
        <v>273</v>
      </c>
      <c r="B280" s="310"/>
      <c r="C280" s="310"/>
      <c r="D280" s="42"/>
      <c r="E280" s="43"/>
      <c r="F280" s="44"/>
      <c r="G280" s="45"/>
    </row>
    <row r="281" spans="1:7" x14ac:dyDescent="0.2">
      <c r="A281" s="29">
        <v>274</v>
      </c>
      <c r="B281" s="310"/>
      <c r="C281" s="310"/>
      <c r="D281" s="42"/>
      <c r="E281" s="43"/>
      <c r="F281" s="44"/>
      <c r="G281" s="45"/>
    </row>
    <row r="282" spans="1:7" x14ac:dyDescent="0.2">
      <c r="A282" s="29">
        <v>275</v>
      </c>
      <c r="B282" s="310"/>
      <c r="C282" s="310"/>
      <c r="D282" s="42"/>
      <c r="E282" s="43"/>
      <c r="F282" s="44"/>
      <c r="G282" s="45"/>
    </row>
    <row r="283" spans="1:7" x14ac:dyDescent="0.2">
      <c r="A283" s="29">
        <v>276</v>
      </c>
      <c r="B283" s="310"/>
      <c r="C283" s="310"/>
      <c r="D283" s="42"/>
      <c r="E283" s="43"/>
      <c r="F283" s="44"/>
      <c r="G283" s="45"/>
    </row>
    <row r="284" spans="1:7" x14ac:dyDescent="0.2">
      <c r="A284" s="29">
        <v>277</v>
      </c>
      <c r="B284" s="310"/>
      <c r="C284" s="310"/>
      <c r="D284" s="42"/>
      <c r="E284" s="43"/>
      <c r="F284" s="44"/>
      <c r="G284" s="45"/>
    </row>
    <row r="285" spans="1:7" x14ac:dyDescent="0.2">
      <c r="A285" s="29">
        <v>278</v>
      </c>
      <c r="B285" s="310"/>
      <c r="C285" s="310"/>
      <c r="D285" s="42"/>
      <c r="E285" s="43"/>
      <c r="F285" s="44"/>
      <c r="G285" s="45"/>
    </row>
    <row r="286" spans="1:7" x14ac:dyDescent="0.2">
      <c r="A286" s="29">
        <v>279</v>
      </c>
      <c r="B286" s="310"/>
      <c r="C286" s="310"/>
      <c r="D286" s="42"/>
      <c r="E286" s="43"/>
      <c r="F286" s="44"/>
      <c r="G286" s="45"/>
    </row>
    <row r="287" spans="1:7" x14ac:dyDescent="0.2">
      <c r="A287" s="29">
        <v>280</v>
      </c>
      <c r="B287" s="310"/>
      <c r="C287" s="310"/>
      <c r="D287" s="42"/>
      <c r="E287" s="43"/>
      <c r="F287" s="44"/>
      <c r="G287" s="45"/>
    </row>
    <row r="288" spans="1:7" x14ac:dyDescent="0.2">
      <c r="A288" s="29">
        <v>281</v>
      </c>
      <c r="B288" s="310"/>
      <c r="C288" s="310"/>
      <c r="D288" s="42"/>
      <c r="E288" s="43"/>
      <c r="F288" s="44"/>
      <c r="G288" s="45"/>
    </row>
    <row r="289" spans="1:7" x14ac:dyDescent="0.2">
      <c r="A289" s="29">
        <v>282</v>
      </c>
      <c r="B289" s="310"/>
      <c r="C289" s="310"/>
      <c r="D289" s="42"/>
      <c r="E289" s="43"/>
      <c r="F289" s="44"/>
      <c r="G289" s="45"/>
    </row>
    <row r="290" spans="1:7" x14ac:dyDescent="0.2">
      <c r="A290" s="29">
        <v>283</v>
      </c>
      <c r="B290" s="310"/>
      <c r="C290" s="310"/>
      <c r="D290" s="42"/>
      <c r="E290" s="43"/>
      <c r="F290" s="44"/>
      <c r="G290" s="45"/>
    </row>
    <row r="291" spans="1:7" x14ac:dyDescent="0.2">
      <c r="A291" s="29">
        <v>284</v>
      </c>
      <c r="B291" s="310"/>
      <c r="C291" s="310"/>
      <c r="D291" s="42"/>
      <c r="E291" s="43"/>
      <c r="F291" s="44"/>
      <c r="G291" s="45"/>
    </row>
    <row r="292" spans="1:7" x14ac:dyDescent="0.2">
      <c r="A292" s="29">
        <v>285</v>
      </c>
      <c r="B292" s="310"/>
      <c r="C292" s="310"/>
      <c r="D292" s="42"/>
      <c r="E292" s="43"/>
      <c r="F292" s="44"/>
      <c r="G292" s="45"/>
    </row>
    <row r="293" spans="1:7" x14ac:dyDescent="0.2">
      <c r="A293" s="29">
        <v>286</v>
      </c>
      <c r="B293" s="310"/>
      <c r="C293" s="310"/>
      <c r="D293" s="42"/>
      <c r="E293" s="43"/>
      <c r="F293" s="44"/>
      <c r="G293" s="45"/>
    </row>
    <row r="294" spans="1:7" x14ac:dyDescent="0.2">
      <c r="A294" s="29">
        <v>287</v>
      </c>
      <c r="B294" s="310"/>
      <c r="C294" s="310"/>
      <c r="D294" s="42"/>
      <c r="E294" s="43"/>
      <c r="F294" s="44"/>
      <c r="G294" s="45"/>
    </row>
    <row r="295" spans="1:7" x14ac:dyDescent="0.2">
      <c r="A295" s="29">
        <v>288</v>
      </c>
      <c r="B295" s="310"/>
      <c r="C295" s="310"/>
      <c r="D295" s="42"/>
      <c r="E295" s="43"/>
      <c r="F295" s="44"/>
      <c r="G295" s="45"/>
    </row>
    <row r="296" spans="1:7" x14ac:dyDescent="0.2">
      <c r="A296" s="29">
        <v>289</v>
      </c>
      <c r="B296" s="310"/>
      <c r="C296" s="310"/>
      <c r="D296" s="42"/>
      <c r="E296" s="43"/>
      <c r="F296" s="44"/>
      <c r="G296" s="45"/>
    </row>
    <row r="297" spans="1:7" x14ac:dyDescent="0.2">
      <c r="A297" s="29">
        <v>290</v>
      </c>
      <c r="B297" s="310"/>
      <c r="C297" s="310"/>
      <c r="D297" s="42"/>
      <c r="E297" s="43"/>
      <c r="F297" s="44"/>
      <c r="G297" s="45"/>
    </row>
    <row r="298" spans="1:7" x14ac:dyDescent="0.2">
      <c r="A298" s="29">
        <v>291</v>
      </c>
      <c r="B298" s="310"/>
      <c r="C298" s="310"/>
      <c r="D298" s="42"/>
      <c r="E298" s="43"/>
      <c r="F298" s="44"/>
      <c r="G298" s="45"/>
    </row>
    <row r="299" spans="1:7" x14ac:dyDescent="0.2">
      <c r="A299" s="29">
        <v>292</v>
      </c>
      <c r="B299" s="310"/>
      <c r="C299" s="310"/>
      <c r="D299" s="42"/>
      <c r="E299" s="43"/>
      <c r="F299" s="44"/>
      <c r="G299" s="45"/>
    </row>
    <row r="300" spans="1:7" x14ac:dyDescent="0.2">
      <c r="A300" s="29">
        <v>293</v>
      </c>
      <c r="B300" s="310"/>
      <c r="C300" s="310"/>
      <c r="D300" s="42"/>
      <c r="E300" s="43"/>
      <c r="F300" s="44"/>
      <c r="G300" s="45"/>
    </row>
    <row r="301" spans="1:7" x14ac:dyDescent="0.2">
      <c r="A301" s="29">
        <v>294</v>
      </c>
      <c r="B301" s="310"/>
      <c r="C301" s="310"/>
      <c r="D301" s="42"/>
      <c r="E301" s="43"/>
      <c r="F301" s="44"/>
      <c r="G301" s="45"/>
    </row>
    <row r="302" spans="1:7" x14ac:dyDescent="0.2">
      <c r="A302" s="29">
        <v>295</v>
      </c>
      <c r="B302" s="310"/>
      <c r="C302" s="310"/>
      <c r="D302" s="42"/>
      <c r="E302" s="43"/>
      <c r="F302" s="44"/>
      <c r="G302" s="45"/>
    </row>
    <row r="303" spans="1:7" x14ac:dyDescent="0.2">
      <c r="A303" s="29">
        <v>296</v>
      </c>
      <c r="B303" s="310"/>
      <c r="C303" s="310"/>
      <c r="D303" s="42"/>
      <c r="E303" s="43"/>
      <c r="F303" s="44"/>
      <c r="G303" s="45"/>
    </row>
    <row r="304" spans="1:7" x14ac:dyDescent="0.2">
      <c r="A304" s="29">
        <v>297</v>
      </c>
      <c r="B304" s="310"/>
      <c r="C304" s="310"/>
      <c r="D304" s="42"/>
      <c r="E304" s="43"/>
      <c r="F304" s="44"/>
      <c r="G304" s="45"/>
    </row>
    <row r="305" spans="1:7" x14ac:dyDescent="0.2">
      <c r="A305" s="29">
        <v>298</v>
      </c>
      <c r="B305" s="310"/>
      <c r="C305" s="310"/>
      <c r="D305" s="42"/>
      <c r="E305" s="43"/>
      <c r="F305" s="44"/>
      <c r="G305" s="45"/>
    </row>
    <row r="306" spans="1:7" x14ac:dyDescent="0.2">
      <c r="A306" s="29">
        <v>299</v>
      </c>
      <c r="B306" s="310"/>
      <c r="C306" s="310"/>
      <c r="D306" s="42"/>
      <c r="E306" s="43"/>
      <c r="F306" s="44"/>
      <c r="G306" s="45"/>
    </row>
    <row r="307" spans="1:7" x14ac:dyDescent="0.2">
      <c r="A307" s="29">
        <v>300</v>
      </c>
      <c r="B307" s="310"/>
      <c r="C307" s="310"/>
      <c r="D307" s="42"/>
      <c r="E307" s="43"/>
      <c r="F307" s="44"/>
      <c r="G307" s="45"/>
    </row>
    <row r="308" spans="1:7" x14ac:dyDescent="0.2">
      <c r="A308" s="29">
        <v>301</v>
      </c>
      <c r="B308" s="310"/>
      <c r="C308" s="310"/>
      <c r="D308" s="42"/>
      <c r="E308" s="43"/>
      <c r="F308" s="44"/>
      <c r="G308" s="45"/>
    </row>
    <row r="309" spans="1:7" x14ac:dyDescent="0.2">
      <c r="A309" s="29">
        <v>302</v>
      </c>
      <c r="B309" s="310"/>
      <c r="C309" s="310"/>
      <c r="D309" s="42"/>
      <c r="E309" s="43"/>
      <c r="F309" s="44"/>
      <c r="G309" s="45"/>
    </row>
    <row r="310" spans="1:7" x14ac:dyDescent="0.2">
      <c r="A310" s="29">
        <v>303</v>
      </c>
      <c r="B310" s="310"/>
      <c r="C310" s="310"/>
      <c r="D310" s="42"/>
      <c r="E310" s="43"/>
      <c r="F310" s="44"/>
      <c r="G310" s="45"/>
    </row>
    <row r="311" spans="1:7" x14ac:dyDescent="0.2">
      <c r="A311" s="29">
        <v>304</v>
      </c>
      <c r="B311" s="310"/>
      <c r="C311" s="310"/>
      <c r="D311" s="42"/>
      <c r="E311" s="43"/>
      <c r="F311" s="44"/>
      <c r="G311" s="45"/>
    </row>
    <row r="312" spans="1:7" x14ac:dyDescent="0.2">
      <c r="A312" s="29">
        <v>305</v>
      </c>
      <c r="B312" s="310"/>
      <c r="C312" s="310"/>
      <c r="D312" s="42"/>
      <c r="E312" s="43"/>
      <c r="F312" s="44"/>
      <c r="G312" s="45"/>
    </row>
    <row r="313" spans="1:7" x14ac:dyDescent="0.2">
      <c r="A313" s="29">
        <v>306</v>
      </c>
      <c r="B313" s="310"/>
      <c r="C313" s="310"/>
      <c r="D313" s="42"/>
      <c r="E313" s="43"/>
      <c r="F313" s="44"/>
      <c r="G313" s="45"/>
    </row>
    <row r="314" spans="1:7" x14ac:dyDescent="0.2">
      <c r="A314" s="29">
        <v>307</v>
      </c>
      <c r="B314" s="310"/>
      <c r="C314" s="310"/>
      <c r="D314" s="42"/>
      <c r="E314" s="43"/>
      <c r="F314" s="44"/>
      <c r="G314" s="45"/>
    </row>
    <row r="315" spans="1:7" x14ac:dyDescent="0.2">
      <c r="A315" s="29">
        <v>308</v>
      </c>
      <c r="B315" s="310"/>
      <c r="C315" s="310"/>
      <c r="D315" s="42"/>
      <c r="E315" s="43"/>
      <c r="F315" s="44"/>
      <c r="G315" s="45"/>
    </row>
    <row r="316" spans="1:7" x14ac:dyDescent="0.2">
      <c r="A316" s="29">
        <v>309</v>
      </c>
      <c r="B316" s="310"/>
      <c r="C316" s="310"/>
      <c r="D316" s="42"/>
      <c r="E316" s="43"/>
      <c r="F316" s="44"/>
      <c r="G316" s="45"/>
    </row>
    <row r="317" spans="1:7" x14ac:dyDescent="0.2">
      <c r="A317" s="29">
        <v>310</v>
      </c>
      <c r="B317" s="310"/>
      <c r="C317" s="310"/>
      <c r="D317" s="42"/>
      <c r="E317" s="43"/>
      <c r="F317" s="44"/>
      <c r="G317" s="45"/>
    </row>
    <row r="318" spans="1:7" x14ac:dyDescent="0.2">
      <c r="A318" s="29">
        <v>311</v>
      </c>
      <c r="B318" s="310"/>
      <c r="C318" s="310"/>
      <c r="D318" s="42"/>
      <c r="E318" s="43"/>
      <c r="F318" s="44"/>
      <c r="G318" s="45"/>
    </row>
    <row r="319" spans="1:7" x14ac:dyDescent="0.2">
      <c r="A319" s="29">
        <v>312</v>
      </c>
      <c r="B319" s="310"/>
      <c r="C319" s="310"/>
      <c r="D319" s="42"/>
      <c r="E319" s="43"/>
      <c r="F319" s="44"/>
      <c r="G319" s="45"/>
    </row>
    <row r="320" spans="1:7" x14ac:dyDescent="0.2">
      <c r="A320" s="29">
        <v>313</v>
      </c>
      <c r="B320" s="310"/>
      <c r="C320" s="310"/>
      <c r="D320" s="42"/>
      <c r="E320" s="43"/>
      <c r="F320" s="44"/>
      <c r="G320" s="45"/>
    </row>
    <row r="321" spans="1:7" x14ac:dyDescent="0.2">
      <c r="A321" s="29">
        <v>314</v>
      </c>
      <c r="B321" s="310"/>
      <c r="C321" s="310"/>
      <c r="D321" s="42"/>
      <c r="E321" s="43"/>
      <c r="F321" s="44"/>
      <c r="G321" s="45"/>
    </row>
    <row r="322" spans="1:7" x14ac:dyDescent="0.2">
      <c r="A322" s="29">
        <v>315</v>
      </c>
      <c r="B322" s="310"/>
      <c r="C322" s="310"/>
      <c r="D322" s="42"/>
      <c r="E322" s="43"/>
      <c r="F322" s="44"/>
      <c r="G322" s="45"/>
    </row>
    <row r="323" spans="1:7" x14ac:dyDescent="0.2">
      <c r="A323" s="29">
        <v>316</v>
      </c>
      <c r="B323" s="310"/>
      <c r="C323" s="310"/>
      <c r="D323" s="42"/>
      <c r="E323" s="43"/>
      <c r="F323" s="44"/>
      <c r="G323" s="45"/>
    </row>
    <row r="324" spans="1:7" x14ac:dyDescent="0.2">
      <c r="A324" s="29">
        <v>317</v>
      </c>
      <c r="B324" s="310"/>
      <c r="C324" s="310"/>
      <c r="D324" s="42"/>
      <c r="E324" s="43"/>
      <c r="F324" s="44"/>
      <c r="G324" s="45"/>
    </row>
    <row r="325" spans="1:7" x14ac:dyDescent="0.2">
      <c r="A325" s="29">
        <v>318</v>
      </c>
      <c r="B325" s="310"/>
      <c r="C325" s="310"/>
      <c r="D325" s="42"/>
      <c r="E325" s="43"/>
      <c r="F325" s="44"/>
      <c r="G325" s="45"/>
    </row>
    <row r="326" spans="1:7" x14ac:dyDescent="0.2">
      <c r="A326" s="29">
        <v>319</v>
      </c>
      <c r="B326" s="310"/>
      <c r="C326" s="310"/>
      <c r="D326" s="42"/>
      <c r="E326" s="43"/>
      <c r="F326" s="44"/>
      <c r="G326" s="45"/>
    </row>
    <row r="327" spans="1:7" x14ac:dyDescent="0.2">
      <c r="A327" s="29">
        <v>320</v>
      </c>
      <c r="B327" s="310"/>
      <c r="C327" s="310"/>
      <c r="D327" s="42"/>
      <c r="E327" s="43"/>
      <c r="F327" s="44"/>
      <c r="G327" s="45"/>
    </row>
    <row r="328" spans="1:7" x14ac:dyDescent="0.2">
      <c r="A328" s="29">
        <v>321</v>
      </c>
      <c r="B328" s="310"/>
      <c r="C328" s="310"/>
      <c r="D328" s="42"/>
      <c r="E328" s="43"/>
      <c r="F328" s="44"/>
      <c r="G328" s="45"/>
    </row>
    <row r="329" spans="1:7" x14ac:dyDescent="0.2">
      <c r="A329" s="29">
        <v>322</v>
      </c>
      <c r="B329" s="310"/>
      <c r="C329" s="310"/>
      <c r="D329" s="42"/>
      <c r="E329" s="43"/>
      <c r="F329" s="44"/>
      <c r="G329" s="45"/>
    </row>
    <row r="330" spans="1:7" x14ac:dyDescent="0.2">
      <c r="A330" s="29">
        <v>323</v>
      </c>
      <c r="B330" s="310"/>
      <c r="C330" s="310"/>
      <c r="D330" s="42"/>
      <c r="E330" s="43"/>
      <c r="F330" s="44"/>
      <c r="G330" s="45"/>
    </row>
    <row r="331" spans="1:7" x14ac:dyDescent="0.2">
      <c r="A331" s="29">
        <v>324</v>
      </c>
      <c r="B331" s="310"/>
      <c r="C331" s="310"/>
      <c r="D331" s="42"/>
      <c r="E331" s="43"/>
      <c r="F331" s="44"/>
      <c r="G331" s="45"/>
    </row>
    <row r="332" spans="1:7" x14ac:dyDescent="0.2">
      <c r="A332" s="29">
        <v>325</v>
      </c>
      <c r="B332" s="310"/>
      <c r="C332" s="310"/>
      <c r="D332" s="42"/>
      <c r="E332" s="43"/>
      <c r="F332" s="44"/>
      <c r="G332" s="45"/>
    </row>
    <row r="333" spans="1:7" x14ac:dyDescent="0.2">
      <c r="A333" s="29">
        <v>326</v>
      </c>
      <c r="B333" s="310"/>
      <c r="C333" s="310"/>
      <c r="D333" s="42"/>
      <c r="E333" s="43"/>
      <c r="F333" s="44"/>
      <c r="G333" s="45"/>
    </row>
    <row r="334" spans="1:7" x14ac:dyDescent="0.2">
      <c r="A334" s="29">
        <v>327</v>
      </c>
      <c r="B334" s="310"/>
      <c r="C334" s="310"/>
      <c r="D334" s="42"/>
      <c r="E334" s="43"/>
      <c r="F334" s="44"/>
      <c r="G334" s="45"/>
    </row>
    <row r="335" spans="1:7" x14ac:dyDescent="0.2">
      <c r="A335" s="29">
        <v>328</v>
      </c>
      <c r="B335" s="310"/>
      <c r="C335" s="310"/>
      <c r="D335" s="42"/>
      <c r="E335" s="43"/>
      <c r="F335" s="44"/>
      <c r="G335" s="45"/>
    </row>
    <row r="336" spans="1:7" x14ac:dyDescent="0.2">
      <c r="A336" s="29">
        <v>329</v>
      </c>
      <c r="B336" s="310"/>
      <c r="C336" s="310"/>
      <c r="D336" s="42"/>
      <c r="E336" s="43"/>
      <c r="F336" s="44"/>
      <c r="G336" s="45"/>
    </row>
    <row r="337" spans="1:7" x14ac:dyDescent="0.2">
      <c r="A337" s="29">
        <v>330</v>
      </c>
      <c r="B337" s="310"/>
      <c r="C337" s="310"/>
      <c r="D337" s="42"/>
      <c r="E337" s="43"/>
      <c r="F337" s="44"/>
      <c r="G337" s="45"/>
    </row>
    <row r="338" spans="1:7" x14ac:dyDescent="0.2">
      <c r="A338" s="29">
        <v>331</v>
      </c>
      <c r="B338" s="310"/>
      <c r="C338" s="310"/>
      <c r="D338" s="42"/>
      <c r="E338" s="43"/>
      <c r="F338" s="44"/>
      <c r="G338" s="45"/>
    </row>
    <row r="339" spans="1:7" x14ac:dyDescent="0.2">
      <c r="A339" s="29">
        <v>332</v>
      </c>
      <c r="B339" s="310"/>
      <c r="C339" s="310"/>
      <c r="D339" s="42"/>
      <c r="E339" s="43"/>
      <c r="F339" s="44"/>
      <c r="G339" s="45"/>
    </row>
    <row r="340" spans="1:7" x14ac:dyDescent="0.2">
      <c r="A340" s="29">
        <v>333</v>
      </c>
      <c r="B340" s="310"/>
      <c r="C340" s="310"/>
      <c r="D340" s="42"/>
      <c r="E340" s="43"/>
      <c r="F340" s="44"/>
      <c r="G340" s="45"/>
    </row>
    <row r="341" spans="1:7" x14ac:dyDescent="0.2">
      <c r="A341" s="29">
        <v>334</v>
      </c>
      <c r="B341" s="310"/>
      <c r="C341" s="310"/>
      <c r="D341" s="42"/>
      <c r="E341" s="43"/>
      <c r="F341" s="44"/>
      <c r="G341" s="45"/>
    </row>
    <row r="342" spans="1:7" x14ac:dyDescent="0.2">
      <c r="A342" s="29">
        <v>335</v>
      </c>
      <c r="B342" s="310"/>
      <c r="C342" s="310"/>
      <c r="D342" s="42"/>
      <c r="E342" s="43"/>
      <c r="F342" s="44"/>
      <c r="G342" s="45"/>
    </row>
    <row r="343" spans="1:7" x14ac:dyDescent="0.2">
      <c r="A343" s="29">
        <v>336</v>
      </c>
      <c r="B343" s="310"/>
      <c r="C343" s="310"/>
      <c r="D343" s="42"/>
      <c r="E343" s="43"/>
      <c r="F343" s="44"/>
      <c r="G343" s="45"/>
    </row>
    <row r="344" spans="1:7" x14ac:dyDescent="0.2">
      <c r="A344" s="29">
        <v>337</v>
      </c>
      <c r="B344" s="310"/>
      <c r="C344" s="310"/>
      <c r="D344" s="42"/>
      <c r="E344" s="43"/>
      <c r="F344" s="44"/>
      <c r="G344" s="45"/>
    </row>
    <row r="345" spans="1:7" x14ac:dyDescent="0.2">
      <c r="A345" s="29">
        <v>338</v>
      </c>
      <c r="B345" s="310"/>
      <c r="C345" s="310"/>
      <c r="D345" s="42"/>
      <c r="E345" s="43"/>
      <c r="F345" s="44"/>
      <c r="G345" s="45"/>
    </row>
    <row r="346" spans="1:7" x14ac:dyDescent="0.2">
      <c r="A346" s="29">
        <v>339</v>
      </c>
      <c r="B346" s="310"/>
      <c r="C346" s="310"/>
      <c r="D346" s="42"/>
      <c r="E346" s="43"/>
      <c r="F346" s="44"/>
      <c r="G346" s="45"/>
    </row>
    <row r="347" spans="1:7" x14ac:dyDescent="0.2">
      <c r="A347" s="29">
        <v>340</v>
      </c>
      <c r="B347" s="310"/>
      <c r="C347" s="310"/>
      <c r="D347" s="42"/>
      <c r="E347" s="43"/>
      <c r="F347" s="44"/>
      <c r="G347" s="45"/>
    </row>
    <row r="348" spans="1:7" x14ac:dyDescent="0.2">
      <c r="A348" s="29">
        <v>341</v>
      </c>
      <c r="B348" s="310"/>
      <c r="C348" s="310"/>
      <c r="D348" s="42"/>
      <c r="E348" s="43"/>
      <c r="F348" s="44"/>
      <c r="G348" s="45"/>
    </row>
    <row r="349" spans="1:7" x14ac:dyDescent="0.2">
      <c r="A349" s="29">
        <v>342</v>
      </c>
      <c r="B349" s="310"/>
      <c r="C349" s="310"/>
      <c r="D349" s="42"/>
      <c r="E349" s="43"/>
      <c r="F349" s="44"/>
      <c r="G349" s="45"/>
    </row>
    <row r="350" spans="1:7" x14ac:dyDescent="0.2">
      <c r="A350" s="29">
        <v>343</v>
      </c>
      <c r="B350" s="310"/>
      <c r="C350" s="310"/>
      <c r="D350" s="42"/>
      <c r="E350" s="43"/>
      <c r="F350" s="44"/>
      <c r="G350" s="45"/>
    </row>
    <row r="351" spans="1:7" x14ac:dyDescent="0.2">
      <c r="A351" s="29">
        <v>344</v>
      </c>
      <c r="B351" s="310"/>
      <c r="C351" s="310"/>
      <c r="D351" s="42"/>
      <c r="E351" s="43"/>
      <c r="F351" s="44"/>
      <c r="G351" s="45"/>
    </row>
    <row r="352" spans="1:7" x14ac:dyDescent="0.2">
      <c r="A352" s="29">
        <v>345</v>
      </c>
      <c r="B352" s="310"/>
      <c r="C352" s="310"/>
      <c r="D352" s="42"/>
      <c r="E352" s="43"/>
      <c r="F352" s="44"/>
      <c r="G352" s="45"/>
    </row>
    <row r="353" spans="1:7" x14ac:dyDescent="0.2">
      <c r="A353" s="29">
        <v>346</v>
      </c>
      <c r="B353" s="310"/>
      <c r="C353" s="310"/>
      <c r="D353" s="42"/>
      <c r="E353" s="43"/>
      <c r="F353" s="44"/>
      <c r="G353" s="45"/>
    </row>
    <row r="354" spans="1:7" x14ac:dyDescent="0.2">
      <c r="A354" s="29">
        <v>347</v>
      </c>
      <c r="B354" s="310"/>
      <c r="C354" s="310"/>
      <c r="D354" s="42"/>
      <c r="E354" s="43"/>
      <c r="F354" s="44"/>
      <c r="G354" s="45"/>
    </row>
    <row r="355" spans="1:7" x14ac:dyDescent="0.2">
      <c r="A355" s="29">
        <v>348</v>
      </c>
      <c r="B355" s="310"/>
      <c r="C355" s="310"/>
      <c r="D355" s="42"/>
      <c r="E355" s="43"/>
      <c r="F355" s="44"/>
      <c r="G355" s="45"/>
    </row>
    <row r="356" spans="1:7" x14ac:dyDescent="0.2">
      <c r="A356" s="29">
        <v>349</v>
      </c>
      <c r="B356" s="310"/>
      <c r="C356" s="310"/>
      <c r="D356" s="42"/>
      <c r="E356" s="43"/>
      <c r="F356" s="44"/>
      <c r="G356" s="45"/>
    </row>
    <row r="357" spans="1:7" x14ac:dyDescent="0.2">
      <c r="A357" s="29">
        <v>350</v>
      </c>
      <c r="B357" s="310"/>
      <c r="C357" s="310"/>
      <c r="D357" s="42"/>
      <c r="E357" s="43"/>
      <c r="F357" s="44"/>
      <c r="G357" s="45"/>
    </row>
    <row r="358" spans="1:7" x14ac:dyDescent="0.2">
      <c r="A358" s="29">
        <v>351</v>
      </c>
      <c r="B358" s="310"/>
      <c r="C358" s="310"/>
      <c r="D358" s="42"/>
      <c r="E358" s="43"/>
      <c r="F358" s="44"/>
      <c r="G358" s="45"/>
    </row>
    <row r="359" spans="1:7" x14ac:dyDescent="0.2">
      <c r="A359" s="29">
        <v>352</v>
      </c>
      <c r="B359" s="310"/>
      <c r="C359" s="310"/>
      <c r="D359" s="42"/>
      <c r="E359" s="43"/>
      <c r="F359" s="44"/>
      <c r="G359" s="45"/>
    </row>
    <row r="360" spans="1:7" x14ac:dyDescent="0.2">
      <c r="A360" s="29">
        <v>353</v>
      </c>
      <c r="B360" s="310"/>
      <c r="C360" s="310"/>
      <c r="D360" s="42"/>
      <c r="E360" s="43"/>
      <c r="F360" s="44"/>
      <c r="G360" s="45"/>
    </row>
    <row r="361" spans="1:7" x14ac:dyDescent="0.2">
      <c r="A361" s="29">
        <v>354</v>
      </c>
      <c r="B361" s="310"/>
      <c r="C361" s="310"/>
      <c r="D361" s="42"/>
      <c r="E361" s="43"/>
      <c r="F361" s="44"/>
      <c r="G361" s="45"/>
    </row>
    <row r="362" spans="1:7" x14ac:dyDescent="0.2">
      <c r="A362" s="29">
        <v>355</v>
      </c>
      <c r="B362" s="310"/>
      <c r="C362" s="310"/>
      <c r="D362" s="42"/>
      <c r="E362" s="43"/>
      <c r="F362" s="44"/>
      <c r="G362" s="45"/>
    </row>
    <row r="363" spans="1:7" x14ac:dyDescent="0.2">
      <c r="A363" s="29">
        <v>356</v>
      </c>
      <c r="B363" s="310"/>
      <c r="C363" s="310"/>
      <c r="D363" s="42"/>
      <c r="E363" s="43"/>
      <c r="F363" s="44"/>
      <c r="G363" s="45"/>
    </row>
    <row r="364" spans="1:7" x14ac:dyDescent="0.2">
      <c r="A364" s="29">
        <v>357</v>
      </c>
      <c r="B364" s="310"/>
      <c r="C364" s="310"/>
      <c r="D364" s="42"/>
      <c r="E364" s="43"/>
      <c r="F364" s="44"/>
      <c r="G364" s="45"/>
    </row>
    <row r="365" spans="1:7" x14ac:dyDescent="0.2">
      <c r="A365" s="29">
        <v>358</v>
      </c>
      <c r="B365" s="310"/>
      <c r="C365" s="310"/>
      <c r="D365" s="42"/>
      <c r="E365" s="43"/>
      <c r="F365" s="44"/>
      <c r="G365" s="45"/>
    </row>
    <row r="366" spans="1:7" x14ac:dyDescent="0.2">
      <c r="A366" s="29">
        <v>359</v>
      </c>
      <c r="B366" s="310"/>
      <c r="C366" s="310"/>
      <c r="D366" s="42"/>
      <c r="E366" s="43"/>
      <c r="F366" s="44"/>
      <c r="G366" s="45"/>
    </row>
    <row r="367" spans="1:7" x14ac:dyDescent="0.2">
      <c r="A367" s="29">
        <v>360</v>
      </c>
      <c r="B367" s="310"/>
      <c r="C367" s="310"/>
      <c r="D367" s="42"/>
      <c r="E367" s="43"/>
      <c r="F367" s="44"/>
      <c r="G367" s="45"/>
    </row>
    <row r="368" spans="1:7" x14ac:dyDescent="0.2">
      <c r="A368" s="29">
        <v>361</v>
      </c>
      <c r="B368" s="310"/>
      <c r="C368" s="310"/>
      <c r="D368" s="42"/>
      <c r="E368" s="43"/>
      <c r="F368" s="44"/>
      <c r="G368" s="45"/>
    </row>
    <row r="369" spans="1:7" x14ac:dyDescent="0.2">
      <c r="A369" s="29">
        <v>362</v>
      </c>
      <c r="B369" s="310"/>
      <c r="C369" s="310"/>
      <c r="D369" s="42"/>
      <c r="E369" s="43"/>
      <c r="F369" s="44"/>
      <c r="G369" s="45"/>
    </row>
    <row r="370" spans="1:7" x14ac:dyDescent="0.2">
      <c r="A370" s="29">
        <v>363</v>
      </c>
      <c r="B370" s="310"/>
      <c r="C370" s="310"/>
      <c r="D370" s="42"/>
      <c r="E370" s="43"/>
      <c r="F370" s="44"/>
      <c r="G370" s="45"/>
    </row>
    <row r="371" spans="1:7" x14ac:dyDescent="0.2">
      <c r="A371" s="29">
        <v>364</v>
      </c>
      <c r="B371" s="310"/>
      <c r="C371" s="310"/>
      <c r="D371" s="42"/>
      <c r="E371" s="43"/>
      <c r="F371" s="44"/>
      <c r="G371" s="45"/>
    </row>
    <row r="372" spans="1:7" x14ac:dyDescent="0.2">
      <c r="A372" s="29">
        <v>365</v>
      </c>
      <c r="B372" s="310"/>
      <c r="C372" s="310"/>
      <c r="D372" s="42"/>
      <c r="E372" s="43"/>
      <c r="F372" s="44"/>
      <c r="G372" s="45"/>
    </row>
    <row r="373" spans="1:7" x14ac:dyDescent="0.2">
      <c r="A373" s="29">
        <v>366</v>
      </c>
      <c r="B373" s="310"/>
      <c r="C373" s="310"/>
      <c r="D373" s="42"/>
      <c r="E373" s="43"/>
      <c r="F373" s="44"/>
      <c r="G373" s="45"/>
    </row>
    <row r="374" spans="1:7" x14ac:dyDescent="0.2">
      <c r="A374" s="29">
        <v>367</v>
      </c>
      <c r="B374" s="310"/>
      <c r="C374" s="310"/>
      <c r="D374" s="42"/>
      <c r="E374" s="43"/>
      <c r="F374" s="44"/>
      <c r="G374" s="45"/>
    </row>
    <row r="375" spans="1:7" x14ac:dyDescent="0.2">
      <c r="A375" s="29">
        <v>368</v>
      </c>
      <c r="B375" s="310"/>
      <c r="C375" s="310"/>
      <c r="D375" s="42"/>
      <c r="E375" s="43"/>
      <c r="F375" s="44"/>
      <c r="G375" s="45"/>
    </row>
    <row r="376" spans="1:7" x14ac:dyDescent="0.2">
      <c r="A376" s="29">
        <v>369</v>
      </c>
      <c r="B376" s="310"/>
      <c r="C376" s="310"/>
      <c r="D376" s="42"/>
      <c r="E376" s="43"/>
      <c r="F376" s="44"/>
      <c r="G376" s="45"/>
    </row>
    <row r="377" spans="1:7" x14ac:dyDescent="0.2">
      <c r="A377" s="29">
        <v>370</v>
      </c>
      <c r="B377" s="310"/>
      <c r="C377" s="310"/>
      <c r="D377" s="42"/>
      <c r="E377" s="43"/>
      <c r="F377" s="44"/>
      <c r="G377" s="45"/>
    </row>
    <row r="378" spans="1:7" x14ac:dyDescent="0.2">
      <c r="A378" s="29">
        <v>371</v>
      </c>
      <c r="B378" s="310"/>
      <c r="C378" s="310"/>
      <c r="D378" s="42"/>
      <c r="E378" s="43"/>
      <c r="F378" s="44"/>
      <c r="G378" s="45"/>
    </row>
    <row r="379" spans="1:7" x14ac:dyDescent="0.2">
      <c r="A379" s="29">
        <v>372</v>
      </c>
      <c r="B379" s="310"/>
      <c r="C379" s="310"/>
      <c r="D379" s="42"/>
      <c r="E379" s="43"/>
      <c r="F379" s="44"/>
      <c r="G379" s="45"/>
    </row>
    <row r="380" spans="1:7" x14ac:dyDescent="0.2">
      <c r="A380" s="29">
        <v>373</v>
      </c>
      <c r="B380" s="310"/>
      <c r="C380" s="310"/>
      <c r="D380" s="42"/>
      <c r="E380" s="43"/>
      <c r="F380" s="44"/>
      <c r="G380" s="45"/>
    </row>
    <row r="381" spans="1:7" x14ac:dyDescent="0.2">
      <c r="A381" s="29">
        <v>374</v>
      </c>
      <c r="B381" s="310"/>
      <c r="C381" s="310"/>
      <c r="D381" s="42"/>
      <c r="E381" s="43"/>
      <c r="F381" s="44"/>
      <c r="G381" s="45"/>
    </row>
    <row r="382" spans="1:7" x14ac:dyDescent="0.2">
      <c r="A382" s="29">
        <v>375</v>
      </c>
      <c r="B382" s="310"/>
      <c r="C382" s="310"/>
      <c r="D382" s="42"/>
      <c r="E382" s="43"/>
      <c r="F382" s="44"/>
      <c r="G382" s="45"/>
    </row>
    <row r="383" spans="1:7" x14ac:dyDescent="0.2">
      <c r="A383" s="29">
        <v>376</v>
      </c>
      <c r="B383" s="310"/>
      <c r="C383" s="310"/>
      <c r="D383" s="42"/>
      <c r="E383" s="43"/>
      <c r="F383" s="44"/>
      <c r="G383" s="45"/>
    </row>
    <row r="384" spans="1:7" x14ac:dyDescent="0.2">
      <c r="A384" s="29">
        <v>377</v>
      </c>
      <c r="B384" s="310"/>
      <c r="C384" s="310"/>
      <c r="D384" s="42"/>
      <c r="E384" s="43"/>
      <c r="F384" s="44"/>
      <c r="G384" s="45"/>
    </row>
    <row r="385" spans="1:7" x14ac:dyDescent="0.2">
      <c r="A385" s="29">
        <v>378</v>
      </c>
      <c r="B385" s="310"/>
      <c r="C385" s="310"/>
      <c r="D385" s="42"/>
      <c r="E385" s="43"/>
      <c r="F385" s="44"/>
      <c r="G385" s="45"/>
    </row>
    <row r="386" spans="1:7" x14ac:dyDescent="0.2">
      <c r="A386" s="29">
        <v>379</v>
      </c>
      <c r="B386" s="310"/>
      <c r="C386" s="310"/>
      <c r="D386" s="42"/>
      <c r="E386" s="43"/>
      <c r="F386" s="44"/>
      <c r="G386" s="45"/>
    </row>
    <row r="387" spans="1:7" x14ac:dyDescent="0.2">
      <c r="A387" s="29">
        <v>380</v>
      </c>
      <c r="B387" s="310"/>
      <c r="C387" s="310"/>
      <c r="D387" s="42"/>
      <c r="E387" s="43"/>
      <c r="F387" s="44"/>
      <c r="G387" s="45"/>
    </row>
    <row r="388" spans="1:7" x14ac:dyDescent="0.2">
      <c r="A388" s="29">
        <v>381</v>
      </c>
      <c r="B388" s="310"/>
      <c r="C388" s="310"/>
      <c r="D388" s="42"/>
      <c r="E388" s="43"/>
      <c r="F388" s="44"/>
      <c r="G388" s="45"/>
    </row>
    <row r="389" spans="1:7" x14ac:dyDescent="0.2">
      <c r="A389" s="29">
        <v>382</v>
      </c>
      <c r="B389" s="310"/>
      <c r="C389" s="310"/>
      <c r="D389" s="42"/>
      <c r="E389" s="43"/>
      <c r="F389" s="44"/>
      <c r="G389" s="45"/>
    </row>
    <row r="390" spans="1:7" x14ac:dyDescent="0.2">
      <c r="A390" s="29">
        <v>383</v>
      </c>
      <c r="B390" s="310"/>
      <c r="C390" s="310"/>
      <c r="D390" s="42"/>
      <c r="E390" s="43"/>
      <c r="F390" s="44"/>
      <c r="G390" s="45"/>
    </row>
    <row r="391" spans="1:7" x14ac:dyDescent="0.2">
      <c r="A391" s="29">
        <v>384</v>
      </c>
      <c r="B391" s="310"/>
      <c r="C391" s="310"/>
      <c r="D391" s="42"/>
      <c r="E391" s="43"/>
      <c r="F391" s="44"/>
      <c r="G391" s="45"/>
    </row>
    <row r="392" spans="1:7" x14ac:dyDescent="0.2">
      <c r="A392" s="29">
        <v>385</v>
      </c>
      <c r="B392" s="310"/>
      <c r="C392" s="310"/>
      <c r="D392" s="42"/>
      <c r="E392" s="43"/>
      <c r="F392" s="44"/>
      <c r="G392" s="45"/>
    </row>
    <row r="393" spans="1:7" x14ac:dyDescent="0.2">
      <c r="A393" s="29">
        <v>386</v>
      </c>
      <c r="B393" s="310"/>
      <c r="C393" s="310"/>
      <c r="D393" s="42"/>
      <c r="E393" s="43"/>
      <c r="F393" s="44"/>
      <c r="G393" s="45"/>
    </row>
    <row r="394" spans="1:7" x14ac:dyDescent="0.2">
      <c r="A394" s="29">
        <v>387</v>
      </c>
      <c r="B394" s="310"/>
      <c r="C394" s="310"/>
      <c r="D394" s="42"/>
      <c r="E394" s="43"/>
      <c r="F394" s="44"/>
      <c r="G394" s="45"/>
    </row>
    <row r="395" spans="1:7" x14ac:dyDescent="0.2">
      <c r="A395" s="29">
        <v>388</v>
      </c>
      <c r="B395" s="310"/>
      <c r="C395" s="310"/>
      <c r="D395" s="42"/>
      <c r="E395" s="43"/>
      <c r="F395" s="44"/>
      <c r="G395" s="45"/>
    </row>
    <row r="396" spans="1:7" x14ac:dyDescent="0.2">
      <c r="A396" s="29">
        <v>389</v>
      </c>
      <c r="B396" s="310"/>
      <c r="C396" s="310"/>
      <c r="D396" s="42"/>
      <c r="E396" s="43"/>
      <c r="F396" s="44"/>
      <c r="G396" s="45"/>
    </row>
    <row r="397" spans="1:7" x14ac:dyDescent="0.2">
      <c r="A397" s="29">
        <v>390</v>
      </c>
      <c r="B397" s="310"/>
      <c r="C397" s="310"/>
      <c r="D397" s="42"/>
      <c r="E397" s="43"/>
      <c r="F397" s="44"/>
      <c r="G397" s="45"/>
    </row>
    <row r="398" spans="1:7" x14ac:dyDescent="0.2">
      <c r="A398" s="29">
        <v>391</v>
      </c>
      <c r="B398" s="310"/>
      <c r="C398" s="310"/>
      <c r="D398" s="42"/>
      <c r="E398" s="43"/>
      <c r="F398" s="44"/>
      <c r="G398" s="45"/>
    </row>
    <row r="399" spans="1:7" x14ac:dyDescent="0.2">
      <c r="A399" s="29">
        <v>392</v>
      </c>
      <c r="B399" s="310"/>
      <c r="C399" s="310"/>
      <c r="D399" s="42"/>
      <c r="E399" s="43"/>
      <c r="F399" s="44"/>
      <c r="G399" s="45"/>
    </row>
    <row r="400" spans="1:7" x14ac:dyDescent="0.2">
      <c r="A400" s="29">
        <v>393</v>
      </c>
      <c r="B400" s="310"/>
      <c r="C400" s="310"/>
      <c r="D400" s="42"/>
      <c r="E400" s="43"/>
      <c r="F400" s="44"/>
      <c r="G400" s="45"/>
    </row>
    <row r="401" spans="1:7" x14ac:dyDescent="0.2">
      <c r="A401" s="29">
        <v>394</v>
      </c>
      <c r="B401" s="310"/>
      <c r="C401" s="310"/>
      <c r="D401" s="42"/>
      <c r="E401" s="43"/>
      <c r="F401" s="44"/>
      <c r="G401" s="45"/>
    </row>
    <row r="402" spans="1:7" x14ac:dyDescent="0.2">
      <c r="A402" s="29">
        <v>395</v>
      </c>
      <c r="B402" s="310"/>
      <c r="C402" s="310"/>
      <c r="D402" s="42"/>
      <c r="E402" s="43"/>
      <c r="F402" s="44"/>
      <c r="G402" s="45"/>
    </row>
    <row r="403" spans="1:7" x14ac:dyDescent="0.2">
      <c r="A403" s="29">
        <v>396</v>
      </c>
      <c r="B403" s="310"/>
      <c r="C403" s="310"/>
      <c r="D403" s="42"/>
      <c r="E403" s="43"/>
      <c r="F403" s="44"/>
      <c r="G403" s="45"/>
    </row>
    <row r="404" spans="1:7" x14ac:dyDescent="0.2">
      <c r="A404" s="29">
        <v>397</v>
      </c>
      <c r="B404" s="310"/>
      <c r="C404" s="310"/>
      <c r="D404" s="42"/>
      <c r="E404" s="43"/>
      <c r="F404" s="44"/>
      <c r="G404" s="45"/>
    </row>
    <row r="405" spans="1:7" x14ac:dyDescent="0.2">
      <c r="A405" s="29">
        <v>398</v>
      </c>
      <c r="B405" s="310"/>
      <c r="C405" s="310"/>
      <c r="D405" s="42"/>
      <c r="E405" s="43"/>
      <c r="F405" s="44"/>
      <c r="G405" s="45"/>
    </row>
    <row r="406" spans="1:7" x14ac:dyDescent="0.2">
      <c r="A406" s="29">
        <v>399</v>
      </c>
      <c r="B406" s="310"/>
      <c r="C406" s="310"/>
      <c r="D406" s="42"/>
      <c r="E406" s="43"/>
      <c r="F406" s="44"/>
      <c r="G406" s="45"/>
    </row>
    <row r="407" spans="1:7" x14ac:dyDescent="0.2">
      <c r="A407" s="29">
        <v>400</v>
      </c>
      <c r="B407" s="310"/>
      <c r="C407" s="310"/>
      <c r="D407" s="42"/>
      <c r="E407" s="43"/>
      <c r="F407" s="44"/>
      <c r="G407" s="45"/>
    </row>
    <row r="408" spans="1:7" x14ac:dyDescent="0.2">
      <c r="A408" s="29">
        <v>401</v>
      </c>
      <c r="B408" s="310"/>
      <c r="C408" s="310"/>
      <c r="D408" s="42"/>
      <c r="E408" s="43"/>
      <c r="F408" s="44"/>
      <c r="G408" s="45"/>
    </row>
    <row r="409" spans="1:7" x14ac:dyDescent="0.2">
      <c r="A409" s="29">
        <v>402</v>
      </c>
      <c r="B409" s="310"/>
      <c r="C409" s="310"/>
      <c r="D409" s="42"/>
      <c r="E409" s="43"/>
      <c r="F409" s="44"/>
      <c r="G409" s="45"/>
    </row>
    <row r="410" spans="1:7" x14ac:dyDescent="0.2">
      <c r="A410" s="29">
        <v>403</v>
      </c>
      <c r="B410" s="310"/>
      <c r="C410" s="310"/>
      <c r="D410" s="42"/>
      <c r="E410" s="43"/>
      <c r="F410" s="44"/>
      <c r="G410" s="45"/>
    </row>
    <row r="411" spans="1:7" x14ac:dyDescent="0.2">
      <c r="A411" s="29">
        <v>404</v>
      </c>
      <c r="B411" s="310"/>
      <c r="C411" s="310"/>
      <c r="D411" s="42"/>
      <c r="E411" s="43"/>
      <c r="F411" s="44"/>
      <c r="G411" s="45"/>
    </row>
    <row r="412" spans="1:7" x14ac:dyDescent="0.2">
      <c r="A412" s="29">
        <v>405</v>
      </c>
      <c r="B412" s="310"/>
      <c r="C412" s="310"/>
      <c r="D412" s="42"/>
      <c r="E412" s="43"/>
      <c r="F412" s="44"/>
      <c r="G412" s="45"/>
    </row>
    <row r="413" spans="1:7" x14ac:dyDescent="0.2">
      <c r="A413" s="29">
        <v>406</v>
      </c>
      <c r="B413" s="310"/>
      <c r="C413" s="310"/>
      <c r="D413" s="42"/>
      <c r="E413" s="43"/>
      <c r="F413" s="44"/>
      <c r="G413" s="45"/>
    </row>
    <row r="414" spans="1:7" x14ac:dyDescent="0.2">
      <c r="A414" s="29">
        <v>407</v>
      </c>
      <c r="B414" s="310"/>
      <c r="C414" s="310"/>
      <c r="D414" s="42"/>
      <c r="E414" s="43"/>
      <c r="F414" s="44"/>
      <c r="G414" s="45"/>
    </row>
    <row r="415" spans="1:7" x14ac:dyDescent="0.2">
      <c r="A415" s="29">
        <v>408</v>
      </c>
      <c r="B415" s="310"/>
      <c r="C415" s="310"/>
      <c r="D415" s="42"/>
      <c r="E415" s="43"/>
      <c r="F415" s="44"/>
      <c r="G415" s="45"/>
    </row>
    <row r="416" spans="1:7" x14ac:dyDescent="0.2">
      <c r="A416" s="29">
        <v>409</v>
      </c>
      <c r="B416" s="310"/>
      <c r="C416" s="310"/>
      <c r="D416" s="42"/>
      <c r="E416" s="43"/>
      <c r="F416" s="44"/>
      <c r="G416" s="45"/>
    </row>
    <row r="417" spans="1:7" x14ac:dyDescent="0.2">
      <c r="A417" s="29">
        <v>410</v>
      </c>
      <c r="B417" s="310"/>
      <c r="C417" s="310"/>
      <c r="D417" s="42"/>
      <c r="E417" s="43"/>
      <c r="F417" s="44"/>
      <c r="G417" s="45"/>
    </row>
    <row r="418" spans="1:7" x14ac:dyDescent="0.2">
      <c r="A418" s="29">
        <v>411</v>
      </c>
      <c r="B418" s="310"/>
      <c r="C418" s="310"/>
      <c r="D418" s="42"/>
      <c r="E418" s="43"/>
      <c r="F418" s="44"/>
      <c r="G418" s="45"/>
    </row>
    <row r="419" spans="1:7" x14ac:dyDescent="0.2">
      <c r="A419" s="29">
        <v>412</v>
      </c>
      <c r="B419" s="310"/>
      <c r="C419" s="310"/>
      <c r="D419" s="42"/>
      <c r="E419" s="43"/>
      <c r="F419" s="44"/>
      <c r="G419" s="45"/>
    </row>
    <row r="420" spans="1:7" x14ac:dyDescent="0.2">
      <c r="A420" s="29">
        <v>413</v>
      </c>
      <c r="B420" s="310"/>
      <c r="C420" s="310"/>
      <c r="D420" s="42"/>
      <c r="E420" s="43"/>
      <c r="F420" s="44"/>
      <c r="G420" s="45"/>
    </row>
    <row r="421" spans="1:7" x14ac:dyDescent="0.2">
      <c r="A421" s="29">
        <v>414</v>
      </c>
      <c r="B421" s="310"/>
      <c r="C421" s="310"/>
      <c r="D421" s="42"/>
      <c r="E421" s="43"/>
      <c r="F421" s="44"/>
      <c r="G421" s="45"/>
    </row>
    <row r="422" spans="1:7" x14ac:dyDescent="0.2">
      <c r="A422" s="29">
        <v>415</v>
      </c>
      <c r="B422" s="310"/>
      <c r="C422" s="310"/>
      <c r="D422" s="42"/>
      <c r="E422" s="43"/>
      <c r="F422" s="44"/>
      <c r="G422" s="45"/>
    </row>
    <row r="423" spans="1:7" x14ac:dyDescent="0.2">
      <c r="A423" s="29">
        <v>416</v>
      </c>
      <c r="B423" s="310"/>
      <c r="C423" s="310"/>
      <c r="D423" s="42"/>
      <c r="E423" s="43"/>
      <c r="F423" s="44"/>
      <c r="G423" s="45"/>
    </row>
    <row r="424" spans="1:7" x14ac:dyDescent="0.2">
      <c r="A424" s="29">
        <v>417</v>
      </c>
      <c r="B424" s="310"/>
      <c r="C424" s="310"/>
      <c r="D424" s="42"/>
      <c r="E424" s="43"/>
      <c r="F424" s="44"/>
      <c r="G424" s="45"/>
    </row>
    <row r="425" spans="1:7" x14ac:dyDescent="0.2">
      <c r="A425" s="29">
        <v>418</v>
      </c>
      <c r="B425" s="310"/>
      <c r="C425" s="310"/>
      <c r="D425" s="42"/>
      <c r="E425" s="43"/>
      <c r="F425" s="44"/>
      <c r="G425" s="45"/>
    </row>
    <row r="426" spans="1:7" x14ac:dyDescent="0.2">
      <c r="A426" s="29">
        <v>419</v>
      </c>
      <c r="B426" s="310"/>
      <c r="C426" s="310"/>
      <c r="D426" s="42"/>
      <c r="E426" s="43"/>
      <c r="F426" s="44"/>
      <c r="G426" s="45"/>
    </row>
    <row r="427" spans="1:7" x14ac:dyDescent="0.2">
      <c r="A427" s="29">
        <v>420</v>
      </c>
      <c r="B427" s="310"/>
      <c r="C427" s="310"/>
      <c r="D427" s="42"/>
      <c r="E427" s="43"/>
      <c r="F427" s="44"/>
      <c r="G427" s="45"/>
    </row>
    <row r="428" spans="1:7" x14ac:dyDescent="0.2">
      <c r="A428" s="29">
        <v>421</v>
      </c>
      <c r="B428" s="310"/>
      <c r="C428" s="310"/>
      <c r="D428" s="42"/>
      <c r="E428" s="43"/>
      <c r="F428" s="44"/>
      <c r="G428" s="45"/>
    </row>
    <row r="429" spans="1:7" x14ac:dyDescent="0.2">
      <c r="A429" s="29">
        <v>422</v>
      </c>
      <c r="B429" s="310"/>
      <c r="C429" s="310"/>
      <c r="D429" s="42"/>
      <c r="E429" s="43"/>
      <c r="F429" s="44"/>
      <c r="G429" s="45"/>
    </row>
    <row r="430" spans="1:7" x14ac:dyDescent="0.2">
      <c r="A430" s="29">
        <v>423</v>
      </c>
      <c r="B430" s="310"/>
      <c r="C430" s="310"/>
      <c r="D430" s="42"/>
      <c r="E430" s="43"/>
      <c r="F430" s="44"/>
      <c r="G430" s="45"/>
    </row>
    <row r="431" spans="1:7" x14ac:dyDescent="0.2">
      <c r="A431" s="29">
        <v>424</v>
      </c>
      <c r="B431" s="310"/>
      <c r="C431" s="310"/>
      <c r="D431" s="42"/>
      <c r="E431" s="43"/>
      <c r="F431" s="44"/>
      <c r="G431" s="45"/>
    </row>
    <row r="432" spans="1:7" x14ac:dyDescent="0.2">
      <c r="A432" s="29">
        <v>425</v>
      </c>
      <c r="B432" s="310"/>
      <c r="C432" s="310"/>
      <c r="D432" s="42"/>
      <c r="E432" s="43"/>
      <c r="F432" s="44"/>
      <c r="G432" s="45"/>
    </row>
    <row r="433" spans="1:7" x14ac:dyDescent="0.2">
      <c r="A433" s="29">
        <v>426</v>
      </c>
      <c r="B433" s="310"/>
      <c r="C433" s="310"/>
      <c r="D433" s="42"/>
      <c r="E433" s="43"/>
      <c r="F433" s="44"/>
      <c r="G433" s="45"/>
    </row>
    <row r="434" spans="1:7" x14ac:dyDescent="0.2">
      <c r="A434" s="29">
        <v>427</v>
      </c>
      <c r="B434" s="310"/>
      <c r="C434" s="310"/>
      <c r="D434" s="42"/>
      <c r="E434" s="43"/>
      <c r="F434" s="44"/>
      <c r="G434" s="45"/>
    </row>
    <row r="435" spans="1:7" x14ac:dyDescent="0.2">
      <c r="A435" s="29">
        <v>428</v>
      </c>
      <c r="B435" s="310"/>
      <c r="C435" s="310"/>
      <c r="D435" s="42"/>
      <c r="E435" s="43"/>
      <c r="F435" s="44"/>
      <c r="G435" s="45"/>
    </row>
    <row r="436" spans="1:7" x14ac:dyDescent="0.2">
      <c r="A436" s="29">
        <v>429</v>
      </c>
      <c r="B436" s="310"/>
      <c r="C436" s="310"/>
      <c r="D436" s="42"/>
      <c r="E436" s="43"/>
      <c r="F436" s="44"/>
      <c r="G436" s="45"/>
    </row>
    <row r="437" spans="1:7" x14ac:dyDescent="0.2">
      <c r="A437" s="29">
        <v>430</v>
      </c>
      <c r="B437" s="310"/>
      <c r="C437" s="310"/>
      <c r="D437" s="42"/>
      <c r="E437" s="43"/>
      <c r="F437" s="44"/>
      <c r="G437" s="45"/>
    </row>
    <row r="438" spans="1:7" x14ac:dyDescent="0.2">
      <c r="A438" s="29">
        <v>431</v>
      </c>
      <c r="B438" s="310"/>
      <c r="C438" s="310"/>
      <c r="D438" s="42"/>
      <c r="E438" s="43"/>
      <c r="F438" s="44"/>
      <c r="G438" s="45"/>
    </row>
    <row r="439" spans="1:7" x14ac:dyDescent="0.2">
      <c r="A439" s="29">
        <v>432</v>
      </c>
      <c r="B439" s="310"/>
      <c r="C439" s="310"/>
      <c r="D439" s="42"/>
      <c r="E439" s="43"/>
      <c r="F439" s="44"/>
      <c r="G439" s="45"/>
    </row>
    <row r="440" spans="1:7" x14ac:dyDescent="0.2">
      <c r="A440" s="29">
        <v>433</v>
      </c>
      <c r="B440" s="310"/>
      <c r="C440" s="310"/>
      <c r="D440" s="42"/>
      <c r="E440" s="43"/>
      <c r="F440" s="44"/>
      <c r="G440" s="45"/>
    </row>
    <row r="441" spans="1:7" x14ac:dyDescent="0.2">
      <c r="A441" s="29">
        <v>434</v>
      </c>
      <c r="B441" s="310"/>
      <c r="C441" s="310"/>
      <c r="D441" s="42"/>
      <c r="E441" s="43"/>
      <c r="F441" s="44"/>
      <c r="G441" s="45"/>
    </row>
    <row r="442" spans="1:7" x14ac:dyDescent="0.2">
      <c r="A442" s="29">
        <v>435</v>
      </c>
      <c r="B442" s="310"/>
      <c r="C442" s="310"/>
      <c r="D442" s="42"/>
      <c r="E442" s="43"/>
      <c r="F442" s="44"/>
      <c r="G442" s="45"/>
    </row>
    <row r="443" spans="1:7" x14ac:dyDescent="0.2">
      <c r="A443" s="29">
        <v>436</v>
      </c>
      <c r="B443" s="310"/>
      <c r="C443" s="310"/>
      <c r="D443" s="42"/>
      <c r="E443" s="43"/>
      <c r="F443" s="44"/>
      <c r="G443" s="45"/>
    </row>
    <row r="444" spans="1:7" x14ac:dyDescent="0.2">
      <c r="A444" s="29">
        <v>437</v>
      </c>
      <c r="B444" s="310"/>
      <c r="C444" s="310"/>
      <c r="D444" s="42"/>
      <c r="E444" s="43"/>
      <c r="F444" s="44"/>
      <c r="G444" s="45"/>
    </row>
    <row r="445" spans="1:7" x14ac:dyDescent="0.2">
      <c r="A445" s="29">
        <v>438</v>
      </c>
      <c r="B445" s="310"/>
      <c r="C445" s="310"/>
      <c r="D445" s="42"/>
      <c r="E445" s="43"/>
      <c r="F445" s="44"/>
      <c r="G445" s="45"/>
    </row>
    <row r="446" spans="1:7" x14ac:dyDescent="0.2">
      <c r="A446" s="29">
        <v>439</v>
      </c>
      <c r="B446" s="310"/>
      <c r="C446" s="310"/>
      <c r="D446" s="42"/>
      <c r="E446" s="43"/>
      <c r="F446" s="44"/>
      <c r="G446" s="45"/>
    </row>
    <row r="447" spans="1:7" x14ac:dyDescent="0.2">
      <c r="A447" s="29">
        <v>440</v>
      </c>
      <c r="B447" s="310"/>
      <c r="C447" s="310"/>
      <c r="D447" s="42"/>
      <c r="E447" s="43"/>
      <c r="F447" s="44"/>
      <c r="G447" s="45"/>
    </row>
    <row r="448" spans="1:7" x14ac:dyDescent="0.2">
      <c r="A448" s="29">
        <v>441</v>
      </c>
      <c r="B448" s="310"/>
      <c r="C448" s="310"/>
      <c r="D448" s="42"/>
      <c r="E448" s="43"/>
      <c r="F448" s="44"/>
      <c r="G448" s="45"/>
    </row>
    <row r="449" spans="1:7" x14ac:dyDescent="0.2">
      <c r="A449" s="29">
        <v>442</v>
      </c>
      <c r="B449" s="310"/>
      <c r="C449" s="310"/>
      <c r="D449" s="42"/>
      <c r="E449" s="43"/>
      <c r="F449" s="44"/>
      <c r="G449" s="45"/>
    </row>
    <row r="450" spans="1:7" x14ac:dyDescent="0.2">
      <c r="A450" s="29">
        <v>443</v>
      </c>
      <c r="B450" s="310"/>
      <c r="C450" s="310"/>
      <c r="D450" s="42"/>
      <c r="E450" s="43"/>
      <c r="F450" s="44"/>
      <c r="G450" s="45"/>
    </row>
    <row r="451" spans="1:7" x14ac:dyDescent="0.2">
      <c r="A451" s="29">
        <v>444</v>
      </c>
      <c r="B451" s="310"/>
      <c r="C451" s="310"/>
      <c r="D451" s="42"/>
      <c r="E451" s="43"/>
      <c r="F451" s="44"/>
      <c r="G451" s="45"/>
    </row>
    <row r="452" spans="1:7" x14ac:dyDescent="0.2">
      <c r="A452" s="29">
        <v>445</v>
      </c>
      <c r="B452" s="310"/>
      <c r="C452" s="310"/>
      <c r="D452" s="42"/>
      <c r="E452" s="43"/>
      <c r="F452" s="44"/>
      <c r="G452" s="45"/>
    </row>
    <row r="453" spans="1:7" x14ac:dyDescent="0.2">
      <c r="A453" s="29">
        <v>446</v>
      </c>
      <c r="B453" s="310"/>
      <c r="C453" s="310"/>
      <c r="D453" s="42"/>
      <c r="E453" s="43"/>
      <c r="F453" s="44"/>
      <c r="G453" s="45"/>
    </row>
    <row r="454" spans="1:7" x14ac:dyDescent="0.2">
      <c r="A454" s="29">
        <v>447</v>
      </c>
      <c r="B454" s="310"/>
      <c r="C454" s="310"/>
      <c r="D454" s="42"/>
      <c r="E454" s="43"/>
      <c r="F454" s="44"/>
      <c r="G454" s="45"/>
    </row>
    <row r="455" spans="1:7" x14ac:dyDescent="0.2">
      <c r="A455" s="29">
        <v>448</v>
      </c>
      <c r="B455" s="310"/>
      <c r="C455" s="310"/>
      <c r="D455" s="42"/>
      <c r="E455" s="43"/>
      <c r="F455" s="44"/>
      <c r="G455" s="45"/>
    </row>
    <row r="456" spans="1:7" x14ac:dyDescent="0.2">
      <c r="A456" s="29">
        <v>449</v>
      </c>
      <c r="B456" s="310"/>
      <c r="C456" s="310"/>
      <c r="D456" s="42"/>
      <c r="E456" s="43"/>
      <c r="F456" s="44"/>
      <c r="G456" s="45"/>
    </row>
    <row r="457" spans="1:7" x14ac:dyDescent="0.2">
      <c r="A457" s="29">
        <v>450</v>
      </c>
      <c r="B457" s="310"/>
      <c r="C457" s="310"/>
      <c r="D457" s="42"/>
      <c r="E457" s="43"/>
      <c r="F457" s="44"/>
      <c r="G457" s="45"/>
    </row>
    <row r="458" spans="1:7" x14ac:dyDescent="0.2">
      <c r="A458" s="29">
        <v>451</v>
      </c>
      <c r="B458" s="310"/>
      <c r="C458" s="310"/>
      <c r="D458" s="42"/>
      <c r="E458" s="43"/>
      <c r="F458" s="44"/>
      <c r="G458" s="45"/>
    </row>
    <row r="459" spans="1:7" x14ac:dyDescent="0.2">
      <c r="A459" s="29">
        <v>452</v>
      </c>
      <c r="B459" s="310"/>
      <c r="C459" s="310"/>
      <c r="D459" s="42"/>
      <c r="E459" s="43"/>
      <c r="F459" s="44"/>
      <c r="G459" s="45"/>
    </row>
    <row r="460" spans="1:7" x14ac:dyDescent="0.2">
      <c r="A460" s="29">
        <v>453</v>
      </c>
      <c r="B460" s="310"/>
      <c r="C460" s="310"/>
      <c r="D460" s="42"/>
      <c r="E460" s="43"/>
      <c r="F460" s="44"/>
      <c r="G460" s="45"/>
    </row>
    <row r="461" spans="1:7" x14ac:dyDescent="0.2">
      <c r="A461" s="29">
        <v>454</v>
      </c>
      <c r="B461" s="310"/>
      <c r="C461" s="310"/>
      <c r="D461" s="42"/>
      <c r="E461" s="43"/>
      <c r="F461" s="44"/>
      <c r="G461" s="45"/>
    </row>
    <row r="462" spans="1:7" x14ac:dyDescent="0.2">
      <c r="A462" s="29">
        <v>455</v>
      </c>
      <c r="B462" s="310"/>
      <c r="C462" s="310"/>
      <c r="D462" s="42"/>
      <c r="E462" s="43"/>
      <c r="F462" s="44"/>
      <c r="G462" s="45"/>
    </row>
    <row r="463" spans="1:7" x14ac:dyDescent="0.2">
      <c r="A463" s="29">
        <v>456</v>
      </c>
      <c r="B463" s="310"/>
      <c r="C463" s="310"/>
      <c r="D463" s="42"/>
      <c r="E463" s="43"/>
      <c r="F463" s="44"/>
      <c r="G463" s="45"/>
    </row>
    <row r="464" spans="1:7" x14ac:dyDescent="0.2">
      <c r="A464" s="29">
        <v>457</v>
      </c>
      <c r="B464" s="310"/>
      <c r="C464" s="310"/>
      <c r="D464" s="42"/>
      <c r="E464" s="43"/>
      <c r="F464" s="44"/>
      <c r="G464" s="45"/>
    </row>
    <row r="465" spans="1:7" x14ac:dyDescent="0.2">
      <c r="A465" s="29">
        <v>458</v>
      </c>
      <c r="B465" s="310"/>
      <c r="C465" s="310"/>
      <c r="D465" s="42"/>
      <c r="E465" s="43"/>
      <c r="F465" s="44"/>
      <c r="G465" s="45"/>
    </row>
    <row r="466" spans="1:7" x14ac:dyDescent="0.2">
      <c r="A466" s="29">
        <v>459</v>
      </c>
      <c r="B466" s="310"/>
      <c r="C466" s="310"/>
      <c r="D466" s="42"/>
      <c r="E466" s="43"/>
      <c r="F466" s="44"/>
      <c r="G466" s="45"/>
    </row>
    <row r="467" spans="1:7" x14ac:dyDescent="0.2">
      <c r="A467" s="29">
        <v>460</v>
      </c>
      <c r="B467" s="310"/>
      <c r="C467" s="310"/>
      <c r="D467" s="42"/>
      <c r="E467" s="43"/>
      <c r="F467" s="44"/>
      <c r="G467" s="45"/>
    </row>
    <row r="468" spans="1:7" x14ac:dyDescent="0.2">
      <c r="A468" s="29">
        <v>461</v>
      </c>
      <c r="B468" s="310"/>
      <c r="C468" s="310"/>
      <c r="D468" s="42"/>
      <c r="E468" s="43"/>
      <c r="F468" s="44"/>
      <c r="G468" s="45"/>
    </row>
    <row r="469" spans="1:7" x14ac:dyDescent="0.2">
      <c r="A469" s="29">
        <v>462</v>
      </c>
      <c r="B469" s="310"/>
      <c r="C469" s="310"/>
      <c r="D469" s="42"/>
      <c r="E469" s="43"/>
      <c r="F469" s="44"/>
      <c r="G469" s="45"/>
    </row>
    <row r="470" spans="1:7" x14ac:dyDescent="0.2">
      <c r="A470" s="29">
        <v>463</v>
      </c>
      <c r="B470" s="310"/>
      <c r="C470" s="310"/>
      <c r="D470" s="42"/>
      <c r="E470" s="43"/>
      <c r="F470" s="44"/>
      <c r="G470" s="45"/>
    </row>
    <row r="471" spans="1:7" x14ac:dyDescent="0.2">
      <c r="A471" s="29">
        <v>464</v>
      </c>
      <c r="B471" s="310"/>
      <c r="C471" s="310"/>
      <c r="D471" s="42"/>
      <c r="E471" s="43"/>
      <c r="F471" s="44"/>
      <c r="G471" s="45"/>
    </row>
    <row r="472" spans="1:7" x14ac:dyDescent="0.2">
      <c r="A472" s="29">
        <v>465</v>
      </c>
      <c r="B472" s="310"/>
      <c r="C472" s="310"/>
      <c r="D472" s="42"/>
      <c r="E472" s="43"/>
      <c r="F472" s="44"/>
      <c r="G472" s="45"/>
    </row>
    <row r="473" spans="1:7" x14ac:dyDescent="0.2">
      <c r="A473" s="29">
        <v>466</v>
      </c>
      <c r="B473" s="310"/>
      <c r="C473" s="310"/>
      <c r="D473" s="42"/>
      <c r="E473" s="43"/>
      <c r="F473" s="44"/>
      <c r="G473" s="45"/>
    </row>
    <row r="474" spans="1:7" x14ac:dyDescent="0.2">
      <c r="A474" s="29">
        <v>467</v>
      </c>
      <c r="B474" s="310"/>
      <c r="C474" s="310"/>
      <c r="D474" s="42"/>
      <c r="E474" s="43"/>
      <c r="F474" s="44"/>
      <c r="G474" s="45"/>
    </row>
    <row r="475" spans="1:7" x14ac:dyDescent="0.2">
      <c r="A475" s="29">
        <v>468</v>
      </c>
      <c r="B475" s="310"/>
      <c r="C475" s="310"/>
      <c r="D475" s="42"/>
      <c r="E475" s="43"/>
      <c r="F475" s="44"/>
      <c r="G475" s="45"/>
    </row>
    <row r="476" spans="1:7" x14ac:dyDescent="0.2">
      <c r="A476" s="29">
        <v>469</v>
      </c>
      <c r="B476" s="310"/>
      <c r="C476" s="310"/>
      <c r="D476" s="42"/>
      <c r="E476" s="43"/>
      <c r="F476" s="44"/>
      <c r="G476" s="45"/>
    </row>
    <row r="477" spans="1:7" x14ac:dyDescent="0.2">
      <c r="A477" s="29">
        <v>470</v>
      </c>
      <c r="B477" s="310"/>
      <c r="C477" s="310"/>
      <c r="D477" s="42"/>
      <c r="E477" s="43"/>
      <c r="F477" s="44"/>
      <c r="G477" s="45"/>
    </row>
    <row r="478" spans="1:7" x14ac:dyDescent="0.2">
      <c r="A478" s="29">
        <v>471</v>
      </c>
      <c r="B478" s="310"/>
      <c r="C478" s="310"/>
      <c r="D478" s="42"/>
      <c r="E478" s="43"/>
      <c r="F478" s="44"/>
      <c r="G478" s="45"/>
    </row>
    <row r="479" spans="1:7" x14ac:dyDescent="0.2">
      <c r="A479" s="29">
        <v>472</v>
      </c>
      <c r="B479" s="310"/>
      <c r="C479" s="310"/>
      <c r="D479" s="42"/>
      <c r="E479" s="43"/>
      <c r="F479" s="44"/>
      <c r="G479" s="45"/>
    </row>
    <row r="480" spans="1:7" x14ac:dyDescent="0.2">
      <c r="A480" s="29">
        <v>473</v>
      </c>
      <c r="B480" s="310"/>
      <c r="C480" s="310"/>
      <c r="D480" s="42"/>
      <c r="E480" s="43"/>
      <c r="F480" s="44"/>
      <c r="G480" s="45"/>
    </row>
    <row r="481" spans="1:7" x14ac:dyDescent="0.2">
      <c r="A481" s="29">
        <v>474</v>
      </c>
      <c r="B481" s="310"/>
      <c r="C481" s="310"/>
      <c r="D481" s="42"/>
      <c r="E481" s="43"/>
      <c r="F481" s="44"/>
      <c r="G481" s="45"/>
    </row>
    <row r="482" spans="1:7" x14ac:dyDescent="0.2">
      <c r="A482" s="29">
        <v>475</v>
      </c>
      <c r="B482" s="310"/>
      <c r="C482" s="310"/>
      <c r="D482" s="42"/>
      <c r="E482" s="43"/>
      <c r="F482" s="44"/>
      <c r="G482" s="45"/>
    </row>
    <row r="483" spans="1:7" x14ac:dyDescent="0.2">
      <c r="A483" s="29">
        <v>476</v>
      </c>
      <c r="B483" s="310"/>
      <c r="C483" s="310"/>
      <c r="D483" s="42"/>
      <c r="E483" s="43"/>
      <c r="F483" s="44"/>
      <c r="G483" s="45"/>
    </row>
    <row r="484" spans="1:7" x14ac:dyDescent="0.2">
      <c r="A484" s="29">
        <v>477</v>
      </c>
      <c r="B484" s="310"/>
      <c r="C484" s="310"/>
      <c r="D484" s="42"/>
      <c r="E484" s="43"/>
      <c r="F484" s="44"/>
      <c r="G484" s="45"/>
    </row>
    <row r="485" spans="1:7" x14ac:dyDescent="0.2">
      <c r="A485" s="29">
        <v>478</v>
      </c>
      <c r="B485" s="310"/>
      <c r="C485" s="310"/>
      <c r="D485" s="42"/>
      <c r="E485" s="43"/>
      <c r="F485" s="44"/>
      <c r="G485" s="45"/>
    </row>
    <row r="486" spans="1:7" x14ac:dyDescent="0.2">
      <c r="A486" s="29">
        <v>479</v>
      </c>
      <c r="B486" s="310"/>
      <c r="C486" s="310"/>
      <c r="D486" s="42"/>
      <c r="E486" s="43"/>
      <c r="F486" s="44"/>
      <c r="G486" s="45"/>
    </row>
    <row r="487" spans="1:7" x14ac:dyDescent="0.2">
      <c r="A487" s="29">
        <v>480</v>
      </c>
      <c r="B487" s="310"/>
      <c r="C487" s="310"/>
      <c r="D487" s="42"/>
      <c r="E487" s="43"/>
      <c r="F487" s="44"/>
      <c r="G487" s="45"/>
    </row>
    <row r="488" spans="1:7" x14ac:dyDescent="0.2">
      <c r="A488" s="29">
        <v>481</v>
      </c>
      <c r="B488" s="310"/>
      <c r="C488" s="310"/>
      <c r="D488" s="42"/>
      <c r="E488" s="43"/>
      <c r="F488" s="44"/>
      <c r="G488" s="45"/>
    </row>
    <row r="489" spans="1:7" x14ac:dyDescent="0.2">
      <c r="A489" s="29">
        <v>482</v>
      </c>
      <c r="B489" s="310"/>
      <c r="C489" s="310"/>
      <c r="D489" s="42"/>
      <c r="E489" s="43"/>
      <c r="F489" s="44"/>
      <c r="G489" s="45"/>
    </row>
    <row r="490" spans="1:7" x14ac:dyDescent="0.2">
      <c r="A490" s="29">
        <v>483</v>
      </c>
      <c r="B490" s="310"/>
      <c r="C490" s="310"/>
      <c r="D490" s="42"/>
      <c r="E490" s="43"/>
      <c r="F490" s="44"/>
      <c r="G490" s="45"/>
    </row>
    <row r="491" spans="1:7" x14ac:dyDescent="0.2">
      <c r="A491" s="29">
        <v>484</v>
      </c>
      <c r="B491" s="310"/>
      <c r="C491" s="310"/>
      <c r="D491" s="42"/>
      <c r="E491" s="43"/>
      <c r="F491" s="44"/>
      <c r="G491" s="45"/>
    </row>
    <row r="492" spans="1:7" x14ac:dyDescent="0.2">
      <c r="A492" s="29">
        <v>485</v>
      </c>
      <c r="B492" s="310"/>
      <c r="C492" s="310"/>
      <c r="D492" s="42"/>
      <c r="E492" s="43"/>
      <c r="F492" s="44"/>
      <c r="G492" s="45"/>
    </row>
    <row r="493" spans="1:7" x14ac:dyDescent="0.2">
      <c r="A493" s="29">
        <v>486</v>
      </c>
      <c r="B493" s="310"/>
      <c r="C493" s="310"/>
      <c r="D493" s="42"/>
      <c r="E493" s="43"/>
      <c r="F493" s="44"/>
      <c r="G493" s="45"/>
    </row>
    <row r="494" spans="1:7" x14ac:dyDescent="0.2">
      <c r="A494" s="29">
        <v>487</v>
      </c>
      <c r="B494" s="310"/>
      <c r="C494" s="310"/>
      <c r="D494" s="42"/>
      <c r="E494" s="43"/>
      <c r="F494" s="44"/>
      <c r="G494" s="45"/>
    </row>
    <row r="495" spans="1:7" x14ac:dyDescent="0.2">
      <c r="A495" s="29">
        <v>488</v>
      </c>
      <c r="B495" s="310"/>
      <c r="C495" s="310"/>
      <c r="D495" s="42"/>
      <c r="E495" s="43"/>
      <c r="F495" s="44"/>
      <c r="G495" s="45"/>
    </row>
    <row r="496" spans="1:7" x14ac:dyDescent="0.2">
      <c r="A496" s="29">
        <v>489</v>
      </c>
      <c r="B496" s="310"/>
      <c r="C496" s="310"/>
      <c r="D496" s="42"/>
      <c r="E496" s="43"/>
      <c r="F496" s="44"/>
      <c r="G496" s="45"/>
    </row>
    <row r="497" spans="1:7" x14ac:dyDescent="0.2">
      <c r="A497" s="29">
        <v>490</v>
      </c>
      <c r="B497" s="310"/>
      <c r="C497" s="310"/>
      <c r="D497" s="42"/>
      <c r="E497" s="43"/>
      <c r="F497" s="44"/>
      <c r="G497" s="45"/>
    </row>
    <row r="498" spans="1:7" x14ac:dyDescent="0.2">
      <c r="A498" s="29">
        <v>491</v>
      </c>
      <c r="B498" s="310"/>
      <c r="C498" s="310"/>
      <c r="D498" s="42"/>
      <c r="E498" s="43"/>
      <c r="F498" s="44"/>
      <c r="G498" s="45"/>
    </row>
    <row r="499" spans="1:7" x14ac:dyDescent="0.2">
      <c r="A499" s="29">
        <v>492</v>
      </c>
      <c r="B499" s="310"/>
      <c r="C499" s="310"/>
      <c r="D499" s="42"/>
      <c r="E499" s="43"/>
      <c r="F499" s="44"/>
      <c r="G499" s="45"/>
    </row>
    <row r="500" spans="1:7" x14ac:dyDescent="0.2">
      <c r="A500" s="29">
        <v>493</v>
      </c>
      <c r="B500" s="310"/>
      <c r="C500" s="310"/>
      <c r="D500" s="42"/>
      <c r="E500" s="43"/>
      <c r="F500" s="44"/>
      <c r="G500" s="45"/>
    </row>
    <row r="501" spans="1:7" x14ac:dyDescent="0.2">
      <c r="A501" s="29">
        <v>494</v>
      </c>
      <c r="B501" s="310"/>
      <c r="C501" s="310"/>
      <c r="D501" s="42"/>
      <c r="E501" s="43"/>
      <c r="F501" s="44"/>
      <c r="G501" s="45"/>
    </row>
    <row r="502" spans="1:7" x14ac:dyDescent="0.2">
      <c r="A502" s="29">
        <v>495</v>
      </c>
      <c r="B502" s="310"/>
      <c r="C502" s="310"/>
      <c r="D502" s="42"/>
      <c r="E502" s="43"/>
      <c r="F502" s="44"/>
      <c r="G502" s="45"/>
    </row>
    <row r="503" spans="1:7" x14ac:dyDescent="0.2">
      <c r="A503" s="29">
        <v>496</v>
      </c>
      <c r="B503" s="310"/>
      <c r="C503" s="310"/>
      <c r="D503" s="42"/>
      <c r="E503" s="43"/>
      <c r="F503" s="44"/>
      <c r="G503" s="45"/>
    </row>
    <row r="504" spans="1:7" x14ac:dyDescent="0.2">
      <c r="A504" s="29">
        <v>497</v>
      </c>
      <c r="B504" s="310"/>
      <c r="C504" s="310"/>
      <c r="D504" s="42"/>
      <c r="E504" s="43"/>
      <c r="F504" s="44"/>
      <c r="G504" s="45"/>
    </row>
    <row r="505" spans="1:7" x14ac:dyDescent="0.2">
      <c r="A505" s="29">
        <v>498</v>
      </c>
      <c r="B505" s="310"/>
      <c r="C505" s="310"/>
      <c r="D505" s="42"/>
      <c r="E505" s="43"/>
      <c r="F505" s="44"/>
      <c r="G505" s="45"/>
    </row>
    <row r="506" spans="1:7" x14ac:dyDescent="0.2">
      <c r="A506" s="29">
        <v>499</v>
      </c>
      <c r="B506" s="310"/>
      <c r="C506" s="310"/>
      <c r="D506" s="42"/>
      <c r="E506" s="43"/>
      <c r="F506" s="44"/>
      <c r="G506" s="45"/>
    </row>
    <row r="507" spans="1:7" x14ac:dyDescent="0.2">
      <c r="A507" s="29">
        <v>500</v>
      </c>
      <c r="B507" s="310"/>
      <c r="C507" s="310"/>
      <c r="D507" s="42"/>
      <c r="E507" s="43"/>
      <c r="F507" s="44"/>
      <c r="G507" s="45"/>
    </row>
  </sheetData>
  <sheetProtection algorithmName="SHA-512" hashValue="uBep5R3IKTKipacWW7+F7yDCbRngQvvDJkNmNZqoUHf6HwhT3/qqzFD65d7LqnlhSQN2MZnFvSZN1M7QHDIBHQ==" saltValue="1TdyltNMHGTyPZVZb4Yg9w==" spinCount="100000" sheet="1" formatCells="0" formatColumns="0" formatRows="0"/>
  <customSheetViews>
    <customSheetView guid="{1041E6CB-32E2-4271-B20C-13C1365EF52A}" scale="85" showGridLines="0" fitToPage="1" printArea="1">
      <selection activeCell="B22" sqref="B22"/>
      <pageMargins left="0" right="0" top="0" bottom="0" header="0" footer="0"/>
      <printOptions horizontalCentered="1"/>
      <pageSetup scale="64" fitToHeight="100" orientation="landscape" verticalDpi="0"/>
      <headerFooter alignWithMargins="0"/>
    </customSheetView>
    <customSheetView guid="{46C4EEEB-C468-4FDB-8961-DFC585498CD3}" scale="85" showGridLines="0" fitToPage="1" printArea="1">
      <selection activeCell="B22" sqref="B22"/>
      <pageMargins left="0" right="0" top="0" bottom="0" header="0" footer="0"/>
      <printOptions horizontalCentered="1"/>
      <pageSetup scale="64" fitToHeight="100" orientation="landscape" verticalDpi="0"/>
      <headerFooter alignWithMargins="0"/>
    </customSheetView>
  </customSheetViews>
  <mergeCells count="2">
    <mergeCell ref="A4:D4"/>
    <mergeCell ref="A2:G2"/>
  </mergeCells>
  <phoneticPr fontId="15" type="noConversion"/>
  <conditionalFormatting sqref="E5">
    <cfRule type="cellIs" dxfId="66" priority="16" operator="greaterThan">
      <formula>239234449.76</formula>
    </cfRule>
  </conditionalFormatting>
  <conditionalFormatting sqref="F8:G507">
    <cfRule type="expression" dxfId="65" priority="1" stopIfTrue="1">
      <formula>#REF!="No"</formula>
    </cfRule>
  </conditionalFormatting>
  <dataValidations xWindow="858" yWindow="431" count="1">
    <dataValidation allowBlank="1" showInputMessage="1" showErrorMessage="1" prompt="If the Qualified Property will be used to make products other than Qualified Products, enter the average percent of time the property will be used for the qualified purpose during the estimated useful lifespan. Otherwise enter 100%." sqref="G8" xr:uid="{00000000-0002-0000-0200-000000000000}"/>
  </dataValidations>
  <printOptions horizontalCentered="1"/>
  <pageMargins left="0.7" right="0.7" top="0.75" bottom="0.75" header="0.3" footer="0"/>
  <pageSetup scale="59" fitToHeight="9" orientation="landscape"/>
  <headerFooter>
    <oddHeader>&amp;L&amp;20&amp;UQualified Property List</oddHeader>
  </headerFooter>
  <rowBreaks count="1" manualBreakCount="1">
    <brk id="57" max="16383" man="1"/>
  </rowBreaks>
  <colBreaks count="1" manualBreakCount="1">
    <brk id="1" max="1048575"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fitToPage="1"/>
  </sheetPr>
  <dimension ref="A1:K61"/>
  <sheetViews>
    <sheetView showGridLines="0" zoomScaleNormal="100" zoomScalePageLayoutView="85" workbookViewId="0">
      <selection activeCell="F43" sqref="F43"/>
    </sheetView>
  </sheetViews>
  <sheetFormatPr defaultColWidth="9.140625" defaultRowHeight="12.75" x14ac:dyDescent="0.2"/>
  <cols>
    <col min="1" max="1" width="4.5703125" style="29" customWidth="1"/>
    <col min="2" max="2" width="75.42578125" style="30" customWidth="1"/>
    <col min="3" max="3" width="41.42578125" style="30" customWidth="1"/>
    <col min="4" max="4" width="35.42578125" style="30" customWidth="1"/>
    <col min="5" max="5" width="40.42578125" style="35" customWidth="1"/>
    <col min="6" max="6" width="77.42578125" style="30" customWidth="1"/>
    <col min="7" max="7" width="15.42578125" style="30" customWidth="1"/>
    <col min="8" max="8" width="9.140625" style="29"/>
    <col min="9" max="11" width="15.42578125" style="30" customWidth="1"/>
    <col min="12" max="16384" width="9.140625" style="29"/>
  </cols>
  <sheetData>
    <row r="1" spans="1:11" ht="36.75" customHeight="1" x14ac:dyDescent="0.2">
      <c r="B1" s="29"/>
      <c r="C1" s="29"/>
      <c r="D1" s="517" t="s">
        <v>93</v>
      </c>
    </row>
    <row r="2" spans="1:11" ht="26.1" customHeight="1" thickBot="1" x14ac:dyDescent="0.4">
      <c r="A2" s="544" t="str">
        <f>IF(Applicant_Information!B8=D1,"",IF(Applicant_Information!B8="BioFuels",(HYPERLINK("#"&amp;"BioFuels!A1","-&gt; THIS PAGE FOR "&amp; D1 &amp;" APPLICANTS ONLY -&gt; Go to "&amp;Applicant_Information!B8&amp;" Section")),
IF(Applicant_Information!B8="Energy_Efficiency",(HYPERLINK("#"&amp;"Energy_Efficiency!A1","-&gt; THIS PAGE FOR "&amp; D1&amp;" APPLICANTS ONLY -&gt; Go to "&amp;Applicant_Information!B8&amp;" Section")),
IF(Applicant_Information!B8="Alternative_Energy",(HYPERLINK("#"&amp;"Alternative_Energy!A1","-&gt; THIS PAGE FOR "&amp; D1 &amp;" APPLICANTS ONLY -&gt; Go to "&amp;Applicant_Information!B8&amp;" Section")),
IF(Applicant_Information!B8="Advanced_Manufacturing",(HYPERLINK("#"&amp;"Advanced_Manufacturing!A1","-&gt; THIS PAGE FOR "&amp; D1 &amp;" APPLICANTS ONLY -&gt; Go to "&amp;Applicant_Information!B8&amp;" Section")),
IF(Applicant_Information!B8="Recycling",(HYPERLINK("#"&amp;"Recycling!A1","-&gt; THIS PAGE FOR "&amp; D1 &amp;" APPLICANTS ONLY -&gt; Go to "&amp;Applicant_Information!B8&amp;" Section")),
IF(Applicant_Information!B8="SELECT FROM DROPDOWN",(HYPERLINK("#"&amp;"Applicant_Information!A8","-&gt; THIS PAGE FOR "&amp; D1 &amp;" APPLICANTS ONLY -&gt; Go to "&amp;Applicant_Information!B8&amp;" Section")),
(HYPERLINK("#"&amp;"Other_Application_Types!A1","-&gt; THIS PAGE FOR "&amp; D1&amp;" APPLICANTS ONLY -&gt; Go to "&amp;Applicant_Information!B8&amp;" Section")))))))))</f>
        <v>-&gt; THIS PAGE FOR BIOFUELS APPLICANTS ONLY -&gt; Go to SELECT FROM DROPDOWN Section</v>
      </c>
      <c r="B2" s="541"/>
      <c r="C2" s="541"/>
      <c r="D2" s="541"/>
      <c r="F2" s="31"/>
    </row>
    <row r="3" spans="1:11" ht="44.85" customHeight="1" thickBot="1" x14ac:dyDescent="0.25">
      <c r="A3" s="600" t="s">
        <v>94</v>
      </c>
      <c r="B3" s="601"/>
      <c r="C3" s="601"/>
      <c r="D3" s="602"/>
      <c r="F3" s="31"/>
    </row>
    <row r="4" spans="1:11" ht="20.100000000000001" customHeight="1" thickTop="1" thickBot="1" x14ac:dyDescent="0.3">
      <c r="A4" s="540" t="s">
        <v>95</v>
      </c>
      <c r="B4" s="539"/>
      <c r="C4" s="84"/>
      <c r="D4" s="85"/>
      <c r="E4" s="36"/>
      <c r="F4" s="29"/>
      <c r="H4" s="30"/>
      <c r="J4" s="29"/>
      <c r="K4" s="29"/>
    </row>
    <row r="5" spans="1:11" ht="62.25" customHeight="1" thickTop="1" x14ac:dyDescent="0.25">
      <c r="A5" s="86" t="s">
        <v>96</v>
      </c>
      <c r="B5" s="603" t="s">
        <v>2670</v>
      </c>
      <c r="C5" s="604"/>
      <c r="D5" s="152"/>
      <c r="E5" s="36"/>
      <c r="F5" s="29"/>
      <c r="H5" s="30"/>
      <c r="J5" s="29"/>
      <c r="K5" s="29"/>
    </row>
    <row r="6" spans="1:11" ht="53.85" customHeight="1" thickBot="1" x14ac:dyDescent="0.3">
      <c r="A6" s="87"/>
      <c r="B6" s="157" t="s">
        <v>98</v>
      </c>
      <c r="C6" s="605"/>
      <c r="D6" s="606"/>
      <c r="E6" s="36"/>
      <c r="F6" s="29"/>
      <c r="H6" s="30"/>
      <c r="J6" s="29"/>
      <c r="K6" s="29"/>
    </row>
    <row r="7" spans="1:11" ht="87" customHeight="1" x14ac:dyDescent="0.25">
      <c r="A7" s="86" t="s">
        <v>99</v>
      </c>
      <c r="B7" s="607" t="s">
        <v>100</v>
      </c>
      <c r="C7" s="608"/>
      <c r="D7" s="188"/>
      <c r="E7" s="36"/>
      <c r="F7" s="29"/>
      <c r="H7" s="30"/>
      <c r="J7" s="29"/>
      <c r="K7" s="29"/>
    </row>
    <row r="8" spans="1:11" ht="42" customHeight="1" thickBot="1" x14ac:dyDescent="0.3">
      <c r="A8" s="87"/>
      <c r="B8" s="187" t="s">
        <v>101</v>
      </c>
      <c r="C8" s="596"/>
      <c r="D8" s="597"/>
      <c r="E8" s="36"/>
      <c r="F8" s="29"/>
      <c r="H8" s="30"/>
      <c r="J8" s="29"/>
      <c r="K8" s="29"/>
    </row>
    <row r="9" spans="1:11" ht="59.1" customHeight="1" x14ac:dyDescent="0.2">
      <c r="A9" s="615" t="s">
        <v>102</v>
      </c>
      <c r="B9" s="598" t="s">
        <v>103</v>
      </c>
      <c r="C9" s="599"/>
      <c r="D9" s="188"/>
      <c r="E9" s="36"/>
      <c r="F9" s="29"/>
      <c r="H9" s="30"/>
      <c r="J9" s="29"/>
      <c r="K9" s="29"/>
    </row>
    <row r="10" spans="1:11" ht="59.1" customHeight="1" thickBot="1" x14ac:dyDescent="0.25">
      <c r="A10" s="616"/>
      <c r="B10" s="189" t="s">
        <v>104</v>
      </c>
      <c r="C10" s="577"/>
      <c r="D10" s="578"/>
      <c r="E10" s="36"/>
      <c r="F10" s="29"/>
      <c r="H10" s="30"/>
      <c r="J10" s="29"/>
      <c r="K10" s="29"/>
    </row>
    <row r="11" spans="1:11" ht="89.1" customHeight="1" x14ac:dyDescent="0.25">
      <c r="A11" s="86" t="s">
        <v>105</v>
      </c>
      <c r="B11" s="609" t="s">
        <v>106</v>
      </c>
      <c r="C11" s="610"/>
      <c r="D11" s="223"/>
      <c r="E11" s="36"/>
      <c r="F11" s="29"/>
      <c r="H11" s="30"/>
      <c r="J11" s="29"/>
      <c r="K11" s="29"/>
    </row>
    <row r="12" spans="1:11" ht="50.25" customHeight="1" thickBot="1" x14ac:dyDescent="0.3">
      <c r="A12" s="87"/>
      <c r="B12" s="189" t="s">
        <v>107</v>
      </c>
      <c r="C12" s="581"/>
      <c r="D12" s="582"/>
      <c r="E12" s="36"/>
      <c r="F12" s="29"/>
      <c r="H12" s="30"/>
      <c r="J12" s="29"/>
      <c r="K12" s="29"/>
    </row>
    <row r="13" spans="1:11" ht="20.85" customHeight="1" thickTop="1" x14ac:dyDescent="0.25">
      <c r="A13" s="109" t="s">
        <v>108</v>
      </c>
      <c r="B13" s="84"/>
      <c r="C13" s="84"/>
      <c r="D13" s="85"/>
      <c r="E13" s="36"/>
      <c r="F13" s="29"/>
      <c r="H13" s="30"/>
      <c r="J13" s="29"/>
      <c r="K13" s="29"/>
    </row>
    <row r="14" spans="1:11" ht="41.85" customHeight="1" thickBot="1" x14ac:dyDescent="0.25">
      <c r="A14" s="88" t="s">
        <v>109</v>
      </c>
      <c r="B14" s="611" t="s">
        <v>110</v>
      </c>
      <c r="C14" s="612"/>
      <c r="D14" s="153"/>
      <c r="E14" s="36"/>
      <c r="F14" s="29"/>
      <c r="H14" s="30"/>
      <c r="J14" s="29"/>
      <c r="K14" s="29"/>
    </row>
    <row r="15" spans="1:11" ht="41.85" customHeight="1" thickTop="1" thickBot="1" x14ac:dyDescent="0.3">
      <c r="A15" s="88" t="s">
        <v>111</v>
      </c>
      <c r="B15" s="122" t="s">
        <v>112</v>
      </c>
      <c r="C15" s="89"/>
      <c r="D15" s="154"/>
      <c r="E15" s="36"/>
      <c r="F15" s="29"/>
      <c r="H15" s="30"/>
      <c r="J15" s="29"/>
      <c r="K15" s="29"/>
    </row>
    <row r="16" spans="1:11" ht="41.85" customHeight="1" thickBot="1" x14ac:dyDescent="0.3">
      <c r="A16" s="88" t="s">
        <v>113</v>
      </c>
      <c r="B16" s="110" t="s">
        <v>114</v>
      </c>
      <c r="C16" s="89"/>
      <c r="D16" s="155"/>
      <c r="E16" s="36"/>
      <c r="F16" s="29"/>
      <c r="H16" s="30"/>
      <c r="J16" s="29"/>
      <c r="K16" s="29"/>
    </row>
    <row r="17" spans="1:11" s="30" customFormat="1" ht="65.25" customHeight="1" x14ac:dyDescent="0.25">
      <c r="A17" s="146" t="s">
        <v>115</v>
      </c>
      <c r="B17" s="613" t="s">
        <v>116</v>
      </c>
      <c r="C17" s="614"/>
      <c r="D17" s="156"/>
      <c r="E17" s="37"/>
    </row>
    <row r="18" spans="1:11" ht="54" customHeight="1" thickBot="1" x14ac:dyDescent="0.3">
      <c r="A18" s="196"/>
      <c r="B18" s="158" t="s">
        <v>117</v>
      </c>
      <c r="C18" s="579"/>
      <c r="D18" s="580"/>
      <c r="E18" s="37"/>
      <c r="F18" s="29"/>
      <c r="H18" s="30"/>
      <c r="J18" s="29"/>
      <c r="K18" s="29"/>
    </row>
    <row r="19" spans="1:11" ht="39" customHeight="1" x14ac:dyDescent="0.25">
      <c r="A19" s="146" t="s">
        <v>118</v>
      </c>
      <c r="B19" s="573" t="s">
        <v>119</v>
      </c>
      <c r="C19" s="574"/>
      <c r="D19" s="193"/>
      <c r="E19" s="37"/>
      <c r="F19" s="29"/>
      <c r="H19" s="30"/>
      <c r="J19" s="29"/>
      <c r="K19" s="29"/>
    </row>
    <row r="20" spans="1:11" ht="52.5" customHeight="1" thickBot="1" x14ac:dyDescent="0.3">
      <c r="A20" s="146"/>
      <c r="B20" s="158" t="s">
        <v>120</v>
      </c>
      <c r="C20" s="579"/>
      <c r="D20" s="580"/>
      <c r="E20" s="37"/>
      <c r="F20" s="29"/>
      <c r="H20" s="30"/>
      <c r="J20" s="29"/>
      <c r="K20" s="29"/>
    </row>
    <row r="21" spans="1:11" ht="78" customHeight="1" x14ac:dyDescent="0.25">
      <c r="A21" s="192" t="s">
        <v>121</v>
      </c>
      <c r="B21" s="573" t="s">
        <v>122</v>
      </c>
      <c r="C21" s="574"/>
      <c r="D21" s="193"/>
      <c r="E21" s="36"/>
      <c r="F21" s="29"/>
      <c r="H21" s="30"/>
      <c r="J21" s="29"/>
      <c r="K21" s="29"/>
    </row>
    <row r="22" spans="1:11" ht="74.25" customHeight="1" thickBot="1" x14ac:dyDescent="0.3">
      <c r="A22" s="191"/>
      <c r="B22" s="158" t="s">
        <v>123</v>
      </c>
      <c r="C22" s="579"/>
      <c r="D22" s="580"/>
      <c r="E22" s="36"/>
      <c r="F22" s="29"/>
      <c r="H22" s="30"/>
      <c r="J22" s="29"/>
      <c r="K22" s="29"/>
    </row>
    <row r="23" spans="1:11" ht="47.25" customHeight="1" x14ac:dyDescent="0.25">
      <c r="A23" s="146" t="s">
        <v>124</v>
      </c>
      <c r="B23" s="573" t="s">
        <v>125</v>
      </c>
      <c r="C23" s="574"/>
      <c r="D23" s="194"/>
      <c r="E23" s="36"/>
      <c r="F23" s="29"/>
      <c r="H23" s="30"/>
      <c r="J23" s="29"/>
      <c r="K23" s="29"/>
    </row>
    <row r="24" spans="1:11" ht="47.25" customHeight="1" thickBot="1" x14ac:dyDescent="0.3">
      <c r="A24" s="146"/>
      <c r="B24" s="158" t="s">
        <v>126</v>
      </c>
      <c r="C24" s="579"/>
      <c r="D24" s="580"/>
      <c r="E24" s="36"/>
      <c r="F24" s="29"/>
      <c r="H24" s="30"/>
      <c r="J24" s="29"/>
      <c r="K24" s="29"/>
    </row>
    <row r="25" spans="1:11" ht="55.35" customHeight="1" x14ac:dyDescent="0.25">
      <c r="A25" s="192" t="s">
        <v>127</v>
      </c>
      <c r="B25" s="573" t="s">
        <v>128</v>
      </c>
      <c r="C25" s="574"/>
      <c r="D25" s="190"/>
      <c r="E25" s="36"/>
      <c r="F25" s="29"/>
      <c r="H25" s="30"/>
      <c r="J25" s="29"/>
      <c r="K25" s="29"/>
    </row>
    <row r="26" spans="1:11" ht="55.35" customHeight="1" thickBot="1" x14ac:dyDescent="0.3">
      <c r="A26" s="146"/>
      <c r="B26" s="158" t="s">
        <v>129</v>
      </c>
      <c r="C26" s="579"/>
      <c r="D26" s="580"/>
      <c r="E26" s="36"/>
      <c r="F26" s="29"/>
      <c r="H26" s="30"/>
      <c r="J26" s="29"/>
      <c r="K26" s="29"/>
    </row>
    <row r="27" spans="1:11" ht="45" x14ac:dyDescent="0.25">
      <c r="A27" s="192" t="s">
        <v>130</v>
      </c>
      <c r="B27" s="542" t="s">
        <v>131</v>
      </c>
      <c r="C27" s="516"/>
      <c r="D27" s="195"/>
      <c r="E27" s="36"/>
      <c r="F27" s="29"/>
      <c r="H27" s="30"/>
      <c r="J27" s="29"/>
      <c r="K27" s="29"/>
    </row>
    <row r="28" spans="1:11" ht="41.85" customHeight="1" thickBot="1" x14ac:dyDescent="0.3">
      <c r="A28" s="191"/>
      <c r="B28" s="158" t="s">
        <v>132</v>
      </c>
      <c r="C28" s="579"/>
      <c r="D28" s="580"/>
      <c r="E28" s="36"/>
      <c r="F28" s="29"/>
      <c r="H28" s="30"/>
      <c r="J28" s="29"/>
      <c r="K28" s="29"/>
    </row>
    <row r="29" spans="1:11" ht="47.25" customHeight="1" thickBot="1" x14ac:dyDescent="0.25">
      <c r="A29" s="227" t="s">
        <v>133</v>
      </c>
      <c r="B29" s="575" t="s">
        <v>134</v>
      </c>
      <c r="C29" s="576"/>
      <c r="D29" s="282"/>
      <c r="E29" s="36"/>
      <c r="F29" s="29"/>
      <c r="H29" s="30"/>
      <c r="J29" s="29"/>
      <c r="K29" s="29"/>
    </row>
    <row r="30" spans="1:11" ht="41.85" customHeight="1" x14ac:dyDescent="0.2">
      <c r="A30" s="571" t="s">
        <v>135</v>
      </c>
      <c r="B30" s="583" t="s">
        <v>136</v>
      </c>
      <c r="C30" s="584"/>
      <c r="D30" s="283"/>
      <c r="E30" s="36"/>
      <c r="F30" s="29"/>
      <c r="H30" s="30"/>
      <c r="J30" s="29"/>
      <c r="K30" s="29"/>
    </row>
    <row r="31" spans="1:11" ht="41.85" customHeight="1" thickBot="1" x14ac:dyDescent="0.25">
      <c r="A31" s="572"/>
      <c r="B31" s="189" t="s">
        <v>137</v>
      </c>
      <c r="C31" s="585"/>
      <c r="D31" s="586"/>
      <c r="E31" s="36"/>
      <c r="F31" s="29"/>
      <c r="H31" s="30"/>
      <c r="J31" s="29"/>
      <c r="K31" s="29"/>
    </row>
    <row r="32" spans="1:11" ht="21.95" customHeight="1" thickTop="1" thickBot="1" x14ac:dyDescent="0.3">
      <c r="A32" s="109" t="s">
        <v>138</v>
      </c>
      <c r="B32" s="84"/>
      <c r="C32" s="84"/>
      <c r="D32" s="85"/>
      <c r="E32" s="36"/>
      <c r="F32" s="29"/>
      <c r="H32" s="30"/>
      <c r="J32" s="29"/>
      <c r="K32" s="29"/>
    </row>
    <row r="33" spans="1:11" ht="41.85" customHeight="1" x14ac:dyDescent="0.25">
      <c r="A33" s="106" t="s">
        <v>139</v>
      </c>
      <c r="B33" s="591" t="s">
        <v>140</v>
      </c>
      <c r="C33" s="588"/>
      <c r="D33" s="284"/>
      <c r="E33" s="36"/>
      <c r="F33" s="29"/>
      <c r="H33" s="30"/>
      <c r="J33" s="29"/>
      <c r="K33" s="29"/>
    </row>
    <row r="34" spans="1:11" ht="41.85" customHeight="1" thickBot="1" x14ac:dyDescent="0.25">
      <c r="A34" s="105"/>
      <c r="B34" s="93" t="s">
        <v>141</v>
      </c>
      <c r="C34" s="589"/>
      <c r="D34" s="590"/>
      <c r="E34" s="36"/>
      <c r="F34" s="29"/>
      <c r="H34" s="30"/>
      <c r="J34" s="29"/>
      <c r="K34" s="29"/>
    </row>
    <row r="35" spans="1:11" ht="63" customHeight="1" x14ac:dyDescent="0.25">
      <c r="A35" s="106" t="s">
        <v>142</v>
      </c>
      <c r="B35" s="591" t="s">
        <v>143</v>
      </c>
      <c r="C35" s="588"/>
      <c r="D35" s="284"/>
      <c r="E35" s="36"/>
      <c r="F35" s="29"/>
      <c r="H35" s="30"/>
      <c r="J35" s="29"/>
      <c r="K35" s="29"/>
    </row>
    <row r="36" spans="1:11" ht="41.85" customHeight="1" thickBot="1" x14ac:dyDescent="0.25">
      <c r="A36" s="105"/>
      <c r="B36" s="93" t="s">
        <v>144</v>
      </c>
      <c r="C36" s="589"/>
      <c r="D36" s="590"/>
      <c r="E36" s="36"/>
      <c r="F36" s="29"/>
      <c r="H36" s="30"/>
      <c r="J36" s="29"/>
      <c r="K36" s="29"/>
    </row>
    <row r="37" spans="1:11" ht="63" customHeight="1" x14ac:dyDescent="0.25">
      <c r="A37" s="106" t="s">
        <v>145</v>
      </c>
      <c r="B37" s="591" t="s">
        <v>146</v>
      </c>
      <c r="C37" s="588"/>
      <c r="D37" s="284"/>
      <c r="E37" s="36"/>
      <c r="F37" s="29"/>
      <c r="H37" s="30"/>
      <c r="J37" s="29"/>
      <c r="K37" s="29"/>
    </row>
    <row r="38" spans="1:11" ht="41.85" customHeight="1" thickBot="1" x14ac:dyDescent="0.25">
      <c r="A38" s="105"/>
      <c r="B38" s="93" t="s">
        <v>147</v>
      </c>
      <c r="C38" s="589"/>
      <c r="D38" s="590"/>
      <c r="E38" s="36"/>
      <c r="F38" s="29"/>
      <c r="H38" s="30"/>
      <c r="J38" s="29"/>
      <c r="K38" s="29"/>
    </row>
    <row r="39" spans="1:11" ht="41.85" customHeight="1" thickBot="1" x14ac:dyDescent="0.25">
      <c r="A39" s="272" t="s">
        <v>148</v>
      </c>
      <c r="B39" s="592" t="s">
        <v>149</v>
      </c>
      <c r="C39" s="593"/>
      <c r="D39" s="550" t="s">
        <v>6</v>
      </c>
      <c r="E39" s="36"/>
      <c r="F39" s="29"/>
      <c r="H39" s="30"/>
      <c r="J39" s="29"/>
      <c r="K39" s="29"/>
    </row>
    <row r="40" spans="1:11" ht="32.25" customHeight="1" x14ac:dyDescent="0.2">
      <c r="A40" s="224" t="s">
        <v>151</v>
      </c>
      <c r="B40" s="587" t="s">
        <v>152</v>
      </c>
      <c r="C40" s="588"/>
      <c r="D40" s="518">
        <f>COUNTIF(D41:D54,"Yes")</f>
        <v>0</v>
      </c>
      <c r="E40" s="36"/>
      <c r="F40" s="29"/>
      <c r="H40" s="30"/>
      <c r="J40" s="29"/>
      <c r="K40" s="29"/>
    </row>
    <row r="41" spans="1:11" ht="15.6" customHeight="1" x14ac:dyDescent="0.25">
      <c r="A41" s="225"/>
      <c r="B41" s="217"/>
      <c r="C41" s="219" t="s">
        <v>153</v>
      </c>
      <c r="D41" s="285" t="s">
        <v>6</v>
      </c>
      <c r="E41" s="36"/>
      <c r="F41" s="29"/>
      <c r="H41" s="30"/>
      <c r="J41" s="29"/>
      <c r="K41" s="29"/>
    </row>
    <row r="42" spans="1:11" ht="15.6" customHeight="1" x14ac:dyDescent="0.2">
      <c r="A42" s="225"/>
      <c r="B42" s="217"/>
      <c r="C42" s="218" t="s">
        <v>154</v>
      </c>
      <c r="D42" s="285" t="s">
        <v>6</v>
      </c>
      <c r="E42" s="36"/>
      <c r="F42" s="29"/>
      <c r="H42" s="30"/>
      <c r="J42" s="29"/>
      <c r="K42" s="29"/>
    </row>
    <row r="43" spans="1:11" ht="15.6" customHeight="1" x14ac:dyDescent="0.2">
      <c r="A43" s="225"/>
      <c r="B43" s="217"/>
      <c r="C43" s="218" t="s">
        <v>155</v>
      </c>
      <c r="D43" s="285" t="s">
        <v>6</v>
      </c>
      <c r="E43" s="36"/>
      <c r="F43" s="29"/>
      <c r="H43" s="30"/>
      <c r="J43" s="29"/>
      <c r="K43" s="29"/>
    </row>
    <row r="44" spans="1:11" ht="15.6" customHeight="1" x14ac:dyDescent="0.2">
      <c r="A44" s="225"/>
      <c r="B44" s="217"/>
      <c r="C44" s="218" t="s">
        <v>156</v>
      </c>
      <c r="D44" s="285" t="s">
        <v>6</v>
      </c>
      <c r="E44" s="36"/>
      <c r="F44" s="29"/>
      <c r="H44" s="30"/>
      <c r="J44" s="29"/>
      <c r="K44" s="29"/>
    </row>
    <row r="45" spans="1:11" ht="15.6" customHeight="1" x14ac:dyDescent="0.2">
      <c r="A45" s="225"/>
      <c r="B45" s="217"/>
      <c r="C45" s="218" t="s">
        <v>157</v>
      </c>
      <c r="D45" s="285" t="s">
        <v>6</v>
      </c>
      <c r="E45" s="36"/>
      <c r="F45" s="29"/>
      <c r="H45" s="30"/>
      <c r="J45" s="29"/>
      <c r="K45" s="29"/>
    </row>
    <row r="46" spans="1:11" ht="15.6" customHeight="1" x14ac:dyDescent="0.2">
      <c r="A46" s="225"/>
      <c r="B46" s="217"/>
      <c r="C46" s="218" t="s">
        <v>158</v>
      </c>
      <c r="D46" s="285" t="s">
        <v>6</v>
      </c>
      <c r="E46" s="36"/>
      <c r="F46" s="29"/>
      <c r="H46" s="30"/>
      <c r="J46" s="29"/>
      <c r="K46" s="29"/>
    </row>
    <row r="47" spans="1:11" ht="15.6" customHeight="1" x14ac:dyDescent="0.2">
      <c r="A47" s="225"/>
      <c r="B47" s="217"/>
      <c r="C47" s="218" t="s">
        <v>159</v>
      </c>
      <c r="D47" s="285" t="s">
        <v>6</v>
      </c>
      <c r="E47" s="36"/>
      <c r="F47" s="29"/>
      <c r="H47" s="30"/>
      <c r="J47" s="29"/>
      <c r="K47" s="29"/>
    </row>
    <row r="48" spans="1:11" ht="15.6" customHeight="1" x14ac:dyDescent="0.2">
      <c r="A48" s="225"/>
      <c r="B48" s="217"/>
      <c r="C48" s="218" t="s">
        <v>160</v>
      </c>
      <c r="D48" s="285" t="s">
        <v>6</v>
      </c>
      <c r="E48" s="36"/>
      <c r="F48" s="29"/>
      <c r="H48" s="30"/>
      <c r="J48" s="29"/>
      <c r="K48" s="29"/>
    </row>
    <row r="49" spans="1:11" ht="15.6" customHeight="1" x14ac:dyDescent="0.2">
      <c r="A49" s="225"/>
      <c r="B49" s="217"/>
      <c r="C49" s="220" t="s">
        <v>161</v>
      </c>
      <c r="D49" s="285" t="s">
        <v>6</v>
      </c>
      <c r="E49" s="36"/>
      <c r="F49" s="29"/>
      <c r="H49" s="30"/>
      <c r="J49" s="29"/>
      <c r="K49" s="29"/>
    </row>
    <row r="50" spans="1:11" ht="15.6" customHeight="1" x14ac:dyDescent="0.2">
      <c r="A50" s="225"/>
      <c r="B50" s="217"/>
      <c r="C50" s="218" t="s">
        <v>162</v>
      </c>
      <c r="D50" s="285" t="s">
        <v>6</v>
      </c>
      <c r="E50" s="36"/>
      <c r="F50" s="29"/>
      <c r="H50" s="30"/>
      <c r="J50" s="29"/>
      <c r="K50" s="29"/>
    </row>
    <row r="51" spans="1:11" ht="15.6" customHeight="1" x14ac:dyDescent="0.2">
      <c r="A51" s="225"/>
      <c r="B51" s="217"/>
      <c r="C51" s="218" t="s">
        <v>163</v>
      </c>
      <c r="D51" s="285" t="s">
        <v>6</v>
      </c>
      <c r="E51" s="36"/>
      <c r="F51" s="29"/>
      <c r="H51" s="30"/>
      <c r="J51" s="29"/>
      <c r="K51" s="29"/>
    </row>
    <row r="52" spans="1:11" ht="15.6" customHeight="1" x14ac:dyDescent="0.2">
      <c r="A52" s="225"/>
      <c r="B52" s="217"/>
      <c r="C52" s="218" t="s">
        <v>164</v>
      </c>
      <c r="D52" s="285" t="s">
        <v>6</v>
      </c>
      <c r="E52" s="36"/>
      <c r="F52" s="29"/>
      <c r="H52" s="30"/>
      <c r="J52" s="29"/>
      <c r="K52" s="29"/>
    </row>
    <row r="53" spans="1:11" ht="15.6" customHeight="1" x14ac:dyDescent="0.2">
      <c r="A53" s="225"/>
      <c r="B53" s="217"/>
      <c r="C53" s="218" t="s">
        <v>165</v>
      </c>
      <c r="D53" s="285" t="s">
        <v>6</v>
      </c>
      <c r="E53" s="36"/>
      <c r="F53" s="29"/>
      <c r="H53" s="30"/>
      <c r="J53" s="29"/>
      <c r="K53" s="29"/>
    </row>
    <row r="54" spans="1:11" ht="15.6" customHeight="1" thickBot="1" x14ac:dyDescent="0.25">
      <c r="A54" s="226"/>
      <c r="B54" s="221"/>
      <c r="C54" s="222" t="s">
        <v>166</v>
      </c>
      <c r="D54" s="286" t="s">
        <v>6</v>
      </c>
      <c r="E54" s="36"/>
      <c r="F54" s="29"/>
      <c r="H54" s="30"/>
      <c r="J54" s="29"/>
      <c r="K54" s="29"/>
    </row>
    <row r="55" spans="1:11" x14ac:dyDescent="0.2">
      <c r="D55" s="61"/>
    </row>
    <row r="56" spans="1:11" ht="24.6" customHeight="1" x14ac:dyDescent="0.25">
      <c r="A56" s="595" t="s">
        <v>167</v>
      </c>
      <c r="B56" s="595"/>
      <c r="C56" s="595"/>
      <c r="D56" s="595"/>
    </row>
    <row r="57" spans="1:11" ht="24.6" customHeight="1" x14ac:dyDescent="0.25">
      <c r="A57" s="594" t="str">
        <f>HYPERLINK("#"&amp;"Scoring!$C$195","-&gt; Click Here to View Score")</f>
        <v>-&gt; Click Here to View Score</v>
      </c>
      <c r="B57" s="594"/>
      <c r="C57" s="594"/>
      <c r="D57" s="594"/>
    </row>
    <row r="58" spans="1:11" ht="24.6" customHeight="1" x14ac:dyDescent="0.25">
      <c r="A58" s="594" t="str">
        <f>HYPERLINK("#"&amp;"Instructions!$A$1","&lt;-  Click Here to Return to Instructions")</f>
        <v>&lt;-  Click Here to Return to Instructions</v>
      </c>
      <c r="B58" s="594"/>
      <c r="C58" s="594"/>
      <c r="D58" s="594"/>
    </row>
    <row r="59" spans="1:11" ht="24.6" customHeight="1" x14ac:dyDescent="0.25">
      <c r="A59" s="594" t="str">
        <f>HYPERLINK("#"&amp;"Applicant_Information!$A$1","&lt;-  Click Here to Return to Applicant Information")</f>
        <v>&lt;-  Click Here to Return to Applicant Information</v>
      </c>
      <c r="B59" s="594"/>
      <c r="C59" s="594"/>
      <c r="D59" s="594"/>
    </row>
    <row r="60" spans="1:11" ht="24.6" customHeight="1" x14ac:dyDescent="0.25">
      <c r="A60" s="594" t="str">
        <f>HYPERLINK("#"&amp;"Qualified_Property_List!$A$1","&lt;-  Click Here to Return to Qualified Property List")</f>
        <v>&lt;-  Click Here to Return to Qualified Property List</v>
      </c>
      <c r="B60" s="594"/>
      <c r="C60" s="594"/>
      <c r="D60" s="594"/>
    </row>
    <row r="61" spans="1:11" ht="15.75" x14ac:dyDescent="0.25">
      <c r="A61" s="38"/>
      <c r="B61" s="125"/>
      <c r="C61" s="125"/>
      <c r="D61" s="125"/>
    </row>
  </sheetData>
  <sheetProtection algorithmName="SHA-512" hashValue="S+c8egEPNAiENd9LbvovK6notU6ctBXsnkXw5jnKv2HibopMuA0oP142l1hraTgXqqN0GQDvSsDWZvPHE7rYnw==" saltValue="V+7kuIZXHkP39XfiBp3YFQ==" spinCount="100000" sheet="1" formatCells="0" formatColumns="0" formatRows="0"/>
  <customSheetViews>
    <customSheetView guid="{1041E6CB-32E2-4271-B20C-13C1365EF52A}" scale="85" showGridLines="0" printArea="1" hiddenRows="1">
      <pane ySplit="8" topLeftCell="A15" activePane="bottomLeft" state="frozenSplit"/>
      <selection pane="bottomLeft" activeCell="B19" sqref="B19"/>
      <pageMargins left="0" right="0" top="0" bottom="0" header="0" footer="0"/>
      <pageSetup scale="60" fitToHeight="4" orientation="landscape"/>
      <headerFooter alignWithMargins="0"/>
    </customSheetView>
    <customSheetView guid="{46C4EEEB-C468-4FDB-8961-DFC585498CD3}" scale="85" showGridLines="0" printArea="1">
      <pane ySplit="8" topLeftCell="A15" activePane="bottomLeft" state="frozenSplit"/>
      <selection pane="bottomLeft" activeCell="B24" sqref="B24"/>
      <pageMargins left="0" right="0" top="0" bottom="0" header="0" footer="0"/>
      <pageSetup scale="60" fitToHeight="4" orientation="landscape"/>
      <headerFooter alignWithMargins="0"/>
    </customSheetView>
  </customSheetViews>
  <mergeCells count="39">
    <mergeCell ref="C8:D8"/>
    <mergeCell ref="B9:C9"/>
    <mergeCell ref="C26:D26"/>
    <mergeCell ref="C18:D18"/>
    <mergeCell ref="A3:D3"/>
    <mergeCell ref="B5:C5"/>
    <mergeCell ref="C6:D6"/>
    <mergeCell ref="B7:C7"/>
    <mergeCell ref="B11:C11"/>
    <mergeCell ref="B14:C14"/>
    <mergeCell ref="B17:C17"/>
    <mergeCell ref="A9:A10"/>
    <mergeCell ref="A60:D60"/>
    <mergeCell ref="A56:D56"/>
    <mergeCell ref="A57:D57"/>
    <mergeCell ref="A58:D58"/>
    <mergeCell ref="A59:D59"/>
    <mergeCell ref="B40:C40"/>
    <mergeCell ref="C38:D38"/>
    <mergeCell ref="B33:C33"/>
    <mergeCell ref="C34:D34"/>
    <mergeCell ref="B35:C35"/>
    <mergeCell ref="C36:D36"/>
    <mergeCell ref="B37:C37"/>
    <mergeCell ref="B39:C39"/>
    <mergeCell ref="A30:A31"/>
    <mergeCell ref="B23:C23"/>
    <mergeCell ref="B25:C25"/>
    <mergeCell ref="B29:C29"/>
    <mergeCell ref="C10:D10"/>
    <mergeCell ref="C22:D22"/>
    <mergeCell ref="C24:D24"/>
    <mergeCell ref="C28:D28"/>
    <mergeCell ref="C12:D12"/>
    <mergeCell ref="C20:D20"/>
    <mergeCell ref="B30:C30"/>
    <mergeCell ref="C31:D31"/>
    <mergeCell ref="B19:C19"/>
    <mergeCell ref="B21:C21"/>
  </mergeCells>
  <phoneticPr fontId="15" type="noConversion"/>
  <conditionalFormatting sqref="A29:A30">
    <cfRule type="expression" dxfId="62" priority="36">
      <formula>#REF!=0</formula>
    </cfRule>
  </conditionalFormatting>
  <conditionalFormatting sqref="B30:D32">
    <cfRule type="expression" dxfId="55" priority="1">
      <formula>($D$29="No")</formula>
    </cfRule>
  </conditionalFormatting>
  <dataValidations count="8">
    <dataValidation allowBlank="1" showErrorMessage="1" sqref="D11 D19" xr:uid="{00000000-0002-0000-0300-000000000000}"/>
    <dataValidation allowBlank="1" showInputMessage="1" showErrorMessage="1" promptTitle="Multiple Qualified Products" prompt="If your Facility produces multiple Qualified Products (e.g. units of different sizes or capacities), base the calculations on the average value across all relevant products." sqref="D17" xr:uid="{00000000-0002-0000-0300-000001000000}"/>
    <dataValidation type="list" allowBlank="1" showInputMessage="1" showErrorMessage="1" sqref="D15" xr:uid="{00000000-0002-0000-0300-000002000000}">
      <formula1>BioFuel_Types</formula1>
    </dataValidation>
    <dataValidation type="list" allowBlank="1" showInputMessage="1" showErrorMessage="1" sqref="D16" xr:uid="{00000000-0002-0000-0300-000003000000}">
      <formula1>energy_type</formula1>
    </dataValidation>
    <dataValidation allowBlank="1" showInputMessage="1" showErrorMessage="1" promptTitle="Note" prompt="An annual Full-Time Equivalent (FTE) employee equals 1 if there is 1 full time position for 12 months, or 2 half-time positions for 12 months, or 4 full-time positions for 3 months, etc. _x000a_" sqref="D7" xr:uid="{00000000-0002-0000-0300-000004000000}"/>
    <dataValidation type="list" allowBlank="1" showInputMessage="1" showErrorMessage="1" sqref="D41:D54 D35 D37 D33 D29" xr:uid="{00000000-0002-0000-0300-000005000000}">
      <formula1>yes_no</formula1>
    </dataValidation>
    <dataValidation type="decimal" allowBlank="1" showInputMessage="1" showErrorMessage="1" error="Please enter a value between 0% and 100%. " sqref="D30" xr:uid="{00000000-0002-0000-0300-000006000000}">
      <formula1>0</formula1>
      <formula2>1</formula2>
    </dataValidation>
    <dataValidation type="list" allowBlank="1" showInputMessage="1" showErrorMessage="1" sqref="D39" xr:uid="{BD22E1E6-41B4-4DFD-88ED-2E16DCC9428B}">
      <formula1>Emerging_Strategic_Industry</formula1>
    </dataValidation>
  </dataValidations>
  <pageMargins left="0.7" right="0.7" top="0.75" bottom="0.75" header="0.3" footer="0"/>
  <pageSetup scale="47" orientation="portrait" r:id="rId1"/>
  <headerFooter>
    <oddHeader>&amp;L&amp;20&amp;UBioFuels</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18" id="{19C943B0-0187-4A86-BD1D-2752E65B1CCE}">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A7:A9</xm:sqref>
        </x14:conditionalFormatting>
        <x14:conditionalFormatting xmlns:xm="http://schemas.microsoft.com/office/excel/2006/main">
          <x14:cfRule type="expression" priority="21" id="{67FAE39C-36BB-4564-AF44-C4FB4F51ECBE}">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A11:A12</xm:sqref>
        </x14:conditionalFormatting>
        <x14:conditionalFormatting xmlns:xm="http://schemas.microsoft.com/office/excel/2006/main">
          <x14:cfRule type="expression" priority="15" id="{10B9FD10-71FB-4327-B877-047441492C5B}">
            <xm:f>Applicant_Information!$B$8&lt;&gt;"BioFuels"</xm:f>
            <x14:dxf>
              <font>
                <color theme="0" tint="-0.24994659260841701"/>
              </font>
              <fill>
                <patternFill patternType="mediumGray">
                  <fgColor theme="4" tint="0.59996337778862885"/>
                </patternFill>
              </fill>
            </x14:dxf>
          </x14:cfRule>
          <xm:sqref>A40:C40</xm:sqref>
        </x14:conditionalFormatting>
        <x14:conditionalFormatting xmlns:xm="http://schemas.microsoft.com/office/excel/2006/main">
          <x14:cfRule type="expression" priority="37" id="{F83E467B-EC85-437A-80F9-5EA6CD4CCC2F}">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A4:D54</xm:sqref>
        </x14:conditionalFormatting>
        <x14:conditionalFormatting xmlns:xm="http://schemas.microsoft.com/office/excel/2006/main">
          <x14:cfRule type="expression" priority="13" id="{CB6EC145-07E6-41CA-B43C-027812E97847}">
            <xm:f>Applicant_Information!$B$8&lt;&gt;"BioFuels"</xm:f>
            <x14:dxf>
              <font>
                <color theme="0" tint="-0.24994659260841701"/>
              </font>
              <fill>
                <patternFill patternType="mediumGray">
                  <fgColor theme="4" tint="0.59996337778862885"/>
                </patternFill>
              </fill>
            </x14:dxf>
          </x14:cfRule>
          <xm:sqref>A33:D54</xm:sqref>
        </x14:conditionalFormatting>
        <x14:conditionalFormatting xmlns:xm="http://schemas.microsoft.com/office/excel/2006/main">
          <x14:cfRule type="expression" priority="12" id="{F1F13772-A87A-4126-9E33-47D3F93A6785}">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B10:C10</xm:sqref>
        </x14:conditionalFormatting>
        <x14:conditionalFormatting xmlns:xm="http://schemas.microsoft.com/office/excel/2006/main">
          <x14:cfRule type="expression" priority="14" id="{6E1D8A5F-4940-41E9-BC9D-A9484351D2A1}">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B9:D9</xm:sqref>
        </x14:conditionalFormatting>
        <x14:conditionalFormatting xmlns:xm="http://schemas.microsoft.com/office/excel/2006/main">
          <x14:cfRule type="expression" priority="28" id="{859558F1-60BD-448E-AD45-5FC74B4ECAAE}">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B12:D12</xm:sqref>
        </x14:conditionalFormatting>
        <x14:conditionalFormatting xmlns:xm="http://schemas.microsoft.com/office/excel/2006/main">
          <x14:cfRule type="expression" priority="34" id="{A48C4B85-4995-4637-B225-BD849703B9E6}">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C8:D8</xm:sqref>
        </x14:conditionalFormatting>
        <x14:conditionalFormatting xmlns:xm="http://schemas.microsoft.com/office/excel/2006/main">
          <x14:cfRule type="expression" priority="27" id="{D55B1683-0F81-467F-9909-F6236E48130F}">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C20:D20</xm:sqref>
        </x14:conditionalFormatting>
        <x14:conditionalFormatting xmlns:xm="http://schemas.microsoft.com/office/excel/2006/main">
          <x14:cfRule type="expression" priority="26" id="{950E8B0D-9409-4115-A797-6F4AB51326B8}">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C22:D22</xm:sqref>
        </x14:conditionalFormatting>
        <x14:conditionalFormatting xmlns:xm="http://schemas.microsoft.com/office/excel/2006/main">
          <x14:cfRule type="expression" priority="25" id="{EB5FDEC5-EBA7-43A0-B354-9B17227C7587}">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C24:D24</xm:sqref>
        </x14:conditionalFormatting>
        <x14:conditionalFormatting xmlns:xm="http://schemas.microsoft.com/office/excel/2006/main">
          <x14:cfRule type="expression" priority="24" id="{41CE971D-411F-496F-BABC-E4DF42BABBF9}">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C26:D26</xm:sqref>
        </x14:conditionalFormatting>
        <x14:conditionalFormatting xmlns:xm="http://schemas.microsoft.com/office/excel/2006/main">
          <x14:cfRule type="expression" priority="23" id="{2BD33AAD-55BC-4E15-BBF4-AD63B6F32F52}">
            <xm:f>OR(Applicant_Information!$B$8="Alternative_Energy",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C28:D28</xm:sqref>
        </x14:conditionalFormatting>
        <x14:conditionalFormatting xmlns:xm="http://schemas.microsoft.com/office/excel/2006/main">
          <x14:cfRule type="expression" priority="11" id="{D2BBC95A-F88C-4789-A25A-33DF10C9FBC8}">
            <xm:f>OR('https://d.docs.live.net/Users/jms/Library/CloudStorage/GoogleDrive-schwahoney@gmail.com/My Drive/BOX-for-transfer/_CONSULTING/Admin/C:/Sales Tax-Exclusion (SB 71) Program/Applicants/AEMETIS BIOGAS, LLC - 21-SM008/Final Application/[Aemetis Part B 20201109.xlsx]Applicant_Information'!#REF!="Alternative_Energy",'https://d.docs.live.net/Users/jms/Library/CloudStorage/GoogleDrive-schwahoney@gmail.com/My Drive/BOX-for-transfer/_CONSULTING/Admin/C:/Sales Tax-Exclusion (SB 71) Program/Applicants/AEMETIS BIOGAS, LLC - 21-SM008/Final Application/[Aemetis Part B 20201109.xlsx]Applicant_Information'!#REF!="Energy_Efficiency",'https://d.docs.live.net/Users/jms/Library/CloudStorage/GoogleDrive-schwahoney@gmail.com/My Drive/BOX-for-transfer/_CONSULTING/Admin/C:/Sales Tax-Exclusion (SB 71) Program/Applicants/AEMETIS BIOGAS, LLC - 21-SM008/Final Application/[Aemetis Part B 20201109.xlsx]Applicant_Information'!#REF!="Advanced_Transportation",'https://d.docs.live.net/Users/jms/Library/CloudStorage/GoogleDrive-schwahoney@gmail.com/My Drive/BOX-for-transfer/_CONSULTING/Admin/C:/Sales Tax-Exclusion (SB 71) Program/Applicants/AEMETIS BIOGAS, LLC - 21-SM008/Final Application/[Aemetis Part B 20201109.xlsx]Applicant_Information'!#REF!="Advanced_Manufacturing",'https://d.docs.live.net/Users/jms/Library/CloudStorage/GoogleDrive-schwahoney@gmail.com/My Drive/BOX-for-transfer/_CONSULTING/Admin/C:/Sales Tax-Exclusion (SB 71) Program/Applicants/AEMETIS BIOGAS, LLC - 21-SM008/Final Application/[Aemetis Part B 20201109.xlsx]Applicant_Information'!#REF!="Other_Application_Types",'https://d.docs.live.net/Users/jms/Library/CloudStorage/GoogleDrive-schwahoney@gmail.com/My Drive/BOX-for-transfer/_CONSULTING/Admin/C:/Sales Tax-Exclusion (SB 71) Program/Applicants/AEMETIS BIOGAS, LLC - 21-SM008/Final Application/[Aemetis Part B 20201109.xlsx]Applicant_Information'!#REF!="Recycling",'https://d.docs.live.net/Users/jms/Library/CloudStorage/GoogleDrive-schwahoney@gmail.com/My Drive/BOX-for-transfer/_CONSULTING/Admin/C:/Sales Tax-Exclusion (SB 71) Program/Applicants/AEMETIS BIOGAS, LLC - 21-SM008/Final Application/[Aemetis Part B 20201109.xlsx]Applicant_Information'!#REF!="SELECT FROM DROPDOWN")</xm:f>
            <x14:dxf>
              <font>
                <color theme="0" tint="-0.24994659260841701"/>
              </font>
              <fill>
                <patternFill patternType="mediumGray">
                  <fgColor theme="4" tint="0.59996337778862885"/>
                </patternFill>
              </fill>
            </x14:dxf>
          </x14:cfRule>
          <xm:sqref>D17</xm:sqref>
        </x14:conditionalFormatting>
        <x14:conditionalFormatting xmlns:xm="http://schemas.microsoft.com/office/excel/2006/main">
          <x14:cfRule type="expression" priority="10" id="{89B2F144-1079-460A-B23A-B20FFF484903}">
            <xm:f>OR('https://d.docs.live.net/Users/jms/Library/CloudStorage/GoogleDrive-schwahoney@gmail.com/My Drive/BOX-for-transfer/_CONSULTING/Admin/C:/Sales Tax-Exclusion (SB 71) Program/Applicants/AEMETIS BIOGAS, LLC - 21-SM008/Final Application/[Aemetis Part B 20201109.xlsx]Applicant_Information'!#REF!="Alternative_Energy",'https://d.docs.live.net/Users/jms/Library/CloudStorage/GoogleDrive-schwahoney@gmail.com/My Drive/BOX-for-transfer/_CONSULTING/Admin/C:/Sales Tax-Exclusion (SB 71) Program/Applicants/AEMETIS BIOGAS, LLC - 21-SM008/Final Application/[Aemetis Part B 20201109.xlsx]Applicant_Information'!#REF!="Energy_Efficiency",'https://d.docs.live.net/Users/jms/Library/CloudStorage/GoogleDrive-schwahoney@gmail.com/My Drive/BOX-for-transfer/_CONSULTING/Admin/C:/Sales Tax-Exclusion (SB 71) Program/Applicants/AEMETIS BIOGAS, LLC - 21-SM008/Final Application/[Aemetis Part B 20201109.xlsx]Applicant_Information'!#REF!="Advanced_Transportation",'https://d.docs.live.net/Users/jms/Library/CloudStorage/GoogleDrive-schwahoney@gmail.com/My Drive/BOX-for-transfer/_CONSULTING/Admin/C:/Sales Tax-Exclusion (SB 71) Program/Applicants/AEMETIS BIOGAS, LLC - 21-SM008/Final Application/[Aemetis Part B 20201109.xlsx]Applicant_Information'!#REF!="Advanced_Manufacturing",'https://d.docs.live.net/Users/jms/Library/CloudStorage/GoogleDrive-schwahoney@gmail.com/My Drive/BOX-for-transfer/_CONSULTING/Admin/C:/Sales Tax-Exclusion (SB 71) Program/Applicants/AEMETIS BIOGAS, LLC - 21-SM008/Final Application/[Aemetis Part B 20201109.xlsx]Applicant_Information'!#REF!="Other_Application_Types",'https://d.docs.live.net/Users/jms/Library/CloudStorage/GoogleDrive-schwahoney@gmail.com/My Drive/BOX-for-transfer/_CONSULTING/Admin/C:/Sales Tax-Exclusion (SB 71) Program/Applicants/AEMETIS BIOGAS, LLC - 21-SM008/Final Application/[Aemetis Part B 20201109.xlsx]Applicant_Information'!#REF!="Recycling",'https://d.docs.live.net/Users/jms/Library/CloudStorage/GoogleDrive-schwahoney@gmail.com/My Drive/BOX-for-transfer/_CONSULTING/Admin/C:/Sales Tax-Exclusion (SB 71) Program/Applicants/AEMETIS BIOGAS, LLC - 21-SM008/Final Application/[Aemetis Part B 20201109.xlsx]Applicant_Information'!#REF!="SELECT FROM DROPDOWN")</xm:f>
            <x14:dxf>
              <font>
                <color theme="0" tint="-0.24994659260841701"/>
              </font>
              <fill>
                <patternFill patternType="mediumGray">
                  <fgColor theme="4" tint="0.59996337778862885"/>
                </patternFill>
              </fill>
            </x14:dxf>
          </x14:cfRule>
          <xm:sqref>D19</xm:sqref>
        </x14:conditionalFormatting>
        <x14:conditionalFormatting xmlns:xm="http://schemas.microsoft.com/office/excel/2006/main">
          <x14:cfRule type="expression" priority="9" id="{CE716F3F-5694-4B86-8469-CBACEDC4ACBA}">
            <xm:f>OR('https://d.docs.live.net/Users/jms/Library/CloudStorage/GoogleDrive-schwahoney@gmail.com/My Drive/BOX-for-transfer/_CONSULTING/Admin/C:/Sales Tax-Exclusion (SB 71) Program/Applicants/AEMETIS BIOGAS, LLC - 21-SM008/Final Application/[Aemetis Part B 20201109.xlsx]Applicant_Information'!#REF!="Alternative_Energy",'https://d.docs.live.net/Users/jms/Library/CloudStorage/GoogleDrive-schwahoney@gmail.com/My Drive/BOX-for-transfer/_CONSULTING/Admin/C:/Sales Tax-Exclusion (SB 71) Program/Applicants/AEMETIS BIOGAS, LLC - 21-SM008/Final Application/[Aemetis Part B 20201109.xlsx]Applicant_Information'!#REF!="Energy_Efficiency",'https://d.docs.live.net/Users/jms/Library/CloudStorage/GoogleDrive-schwahoney@gmail.com/My Drive/BOX-for-transfer/_CONSULTING/Admin/C:/Sales Tax-Exclusion (SB 71) Program/Applicants/AEMETIS BIOGAS, LLC - 21-SM008/Final Application/[Aemetis Part B 20201109.xlsx]Applicant_Information'!#REF!="Advanced_Transportation",'https://d.docs.live.net/Users/jms/Library/CloudStorage/GoogleDrive-schwahoney@gmail.com/My Drive/BOX-for-transfer/_CONSULTING/Admin/C:/Sales Tax-Exclusion (SB 71) Program/Applicants/AEMETIS BIOGAS, LLC - 21-SM008/Final Application/[Aemetis Part B 20201109.xlsx]Applicant_Information'!#REF!="Advanced_Manufacturing",'https://d.docs.live.net/Users/jms/Library/CloudStorage/GoogleDrive-schwahoney@gmail.com/My Drive/BOX-for-transfer/_CONSULTING/Admin/C:/Sales Tax-Exclusion (SB 71) Program/Applicants/AEMETIS BIOGAS, LLC - 21-SM008/Final Application/[Aemetis Part B 20201109.xlsx]Applicant_Information'!#REF!="Other_Application_Types",'https://d.docs.live.net/Users/jms/Library/CloudStorage/GoogleDrive-schwahoney@gmail.com/My Drive/BOX-for-transfer/_CONSULTING/Admin/C:/Sales Tax-Exclusion (SB 71) Program/Applicants/AEMETIS BIOGAS, LLC - 21-SM008/Final Application/[Aemetis Part B 20201109.xlsx]Applicant_Information'!#REF!="Recycling",'https://d.docs.live.net/Users/jms/Library/CloudStorage/GoogleDrive-schwahoney@gmail.com/My Drive/BOX-for-transfer/_CONSULTING/Admin/C:/Sales Tax-Exclusion (SB 71) Program/Applicants/AEMETIS BIOGAS, LLC - 21-SM008/Final Application/[Aemetis Part B 20201109.xlsx]Applicant_Information'!#REF!="SELECT FROM DROPDOWN")</xm:f>
            <x14:dxf>
              <font>
                <color theme="0" tint="-0.24994659260841701"/>
              </font>
              <fill>
                <patternFill patternType="mediumGray">
                  <fgColor theme="4" tint="0.59996337778862885"/>
                </patternFill>
              </fill>
            </x14:dxf>
          </x14:cfRule>
          <xm:sqref>D21</xm:sqref>
        </x14:conditionalFormatting>
        <x14:conditionalFormatting xmlns:xm="http://schemas.microsoft.com/office/excel/2006/main">
          <x14:cfRule type="expression" priority="8" id="{DD81AF9B-C77F-46F8-8925-DD274B23586C}">
            <xm:f>OR('https://d.docs.live.net/Users/jms/Library/CloudStorage/GoogleDrive-schwahoney@gmail.com/My Drive/BOX-for-transfer/_CONSULTING/Admin/C:/Sales Tax-Exclusion (SB 71) Program/Applicants/AEMETIS BIOGAS, LLC - 21-SM008/Final Application/[Aemetis Part B 20201109.xlsx]Applicant_Information'!#REF!="Alternative_Energy",'https://d.docs.live.net/Users/jms/Library/CloudStorage/GoogleDrive-schwahoney@gmail.com/My Drive/BOX-for-transfer/_CONSULTING/Admin/C:/Sales Tax-Exclusion (SB 71) Program/Applicants/AEMETIS BIOGAS, LLC - 21-SM008/Final Application/[Aemetis Part B 20201109.xlsx]Applicant_Information'!#REF!="Energy_Efficiency",'https://d.docs.live.net/Users/jms/Library/CloudStorage/GoogleDrive-schwahoney@gmail.com/My Drive/BOX-for-transfer/_CONSULTING/Admin/C:/Sales Tax-Exclusion (SB 71) Program/Applicants/AEMETIS BIOGAS, LLC - 21-SM008/Final Application/[Aemetis Part B 20201109.xlsx]Applicant_Information'!#REF!="Advanced_Transportation",'https://d.docs.live.net/Users/jms/Library/CloudStorage/GoogleDrive-schwahoney@gmail.com/My Drive/BOX-for-transfer/_CONSULTING/Admin/C:/Sales Tax-Exclusion (SB 71) Program/Applicants/AEMETIS BIOGAS, LLC - 21-SM008/Final Application/[Aemetis Part B 20201109.xlsx]Applicant_Information'!#REF!="Advanced_Manufacturing",'https://d.docs.live.net/Users/jms/Library/CloudStorage/GoogleDrive-schwahoney@gmail.com/My Drive/BOX-for-transfer/_CONSULTING/Admin/C:/Sales Tax-Exclusion (SB 71) Program/Applicants/AEMETIS BIOGAS, LLC - 21-SM008/Final Application/[Aemetis Part B 20201109.xlsx]Applicant_Information'!#REF!="Other_Application_Types",'https://d.docs.live.net/Users/jms/Library/CloudStorage/GoogleDrive-schwahoney@gmail.com/My Drive/BOX-for-transfer/_CONSULTING/Admin/C:/Sales Tax-Exclusion (SB 71) Program/Applicants/AEMETIS BIOGAS, LLC - 21-SM008/Final Application/[Aemetis Part B 20201109.xlsx]Applicant_Information'!#REF!="Recycling",'https://d.docs.live.net/Users/jms/Library/CloudStorage/GoogleDrive-schwahoney@gmail.com/My Drive/BOX-for-transfer/_CONSULTING/Admin/C:/Sales Tax-Exclusion (SB 71) Program/Applicants/AEMETIS BIOGAS, LLC - 21-SM008/Final Application/[Aemetis Part B 20201109.xlsx]Applicant_Information'!#REF!="SELECT FROM DROPDOWN")</xm:f>
            <x14:dxf>
              <font>
                <color theme="0" tint="-0.24994659260841701"/>
              </font>
              <fill>
                <patternFill patternType="mediumGray">
                  <fgColor theme="4" tint="0.59996337778862885"/>
                </patternFill>
              </fill>
            </x14:dxf>
          </x14:cfRule>
          <xm:sqref>D23</xm:sqref>
        </x14:conditionalFormatting>
        <x14:conditionalFormatting xmlns:xm="http://schemas.microsoft.com/office/excel/2006/main">
          <x14:cfRule type="expression" priority="7" id="{1C4D4B29-1C58-4293-8B8D-52B6E0A0E941}">
            <xm:f>OR('https://d.docs.live.net/Users/jms/Library/CloudStorage/GoogleDrive-schwahoney@gmail.com/My Drive/BOX-for-transfer/_CONSULTING/Admin/C:/Sales Tax-Exclusion (SB 71) Program/Applicants/AEMETIS BIOGAS, LLC - 21-SM008/Final Application/[Aemetis Part B 20201109.xlsx]Applicant_Information'!#REF!="Alternative_Energy",'https://d.docs.live.net/Users/jms/Library/CloudStorage/GoogleDrive-schwahoney@gmail.com/My Drive/BOX-for-transfer/_CONSULTING/Admin/C:/Sales Tax-Exclusion (SB 71) Program/Applicants/AEMETIS BIOGAS, LLC - 21-SM008/Final Application/[Aemetis Part B 20201109.xlsx]Applicant_Information'!#REF!="Energy_Efficiency",'https://d.docs.live.net/Users/jms/Library/CloudStorage/GoogleDrive-schwahoney@gmail.com/My Drive/BOX-for-transfer/_CONSULTING/Admin/C:/Sales Tax-Exclusion (SB 71) Program/Applicants/AEMETIS BIOGAS, LLC - 21-SM008/Final Application/[Aemetis Part B 20201109.xlsx]Applicant_Information'!#REF!="Advanced_Transportation",'https://d.docs.live.net/Users/jms/Library/CloudStorage/GoogleDrive-schwahoney@gmail.com/My Drive/BOX-for-transfer/_CONSULTING/Admin/C:/Sales Tax-Exclusion (SB 71) Program/Applicants/AEMETIS BIOGAS, LLC - 21-SM008/Final Application/[Aemetis Part B 20201109.xlsx]Applicant_Information'!#REF!="Advanced_Manufacturing",'https://d.docs.live.net/Users/jms/Library/CloudStorage/GoogleDrive-schwahoney@gmail.com/My Drive/BOX-for-transfer/_CONSULTING/Admin/C:/Sales Tax-Exclusion (SB 71) Program/Applicants/AEMETIS BIOGAS, LLC - 21-SM008/Final Application/[Aemetis Part B 20201109.xlsx]Applicant_Information'!#REF!="Other_Application_Types",'https://d.docs.live.net/Users/jms/Library/CloudStorage/GoogleDrive-schwahoney@gmail.com/My Drive/BOX-for-transfer/_CONSULTING/Admin/C:/Sales Tax-Exclusion (SB 71) Program/Applicants/AEMETIS BIOGAS, LLC - 21-SM008/Final Application/[Aemetis Part B 20201109.xlsx]Applicant_Information'!#REF!="Recycling",'https://d.docs.live.net/Users/jms/Library/CloudStorage/GoogleDrive-schwahoney@gmail.com/My Drive/BOX-for-transfer/_CONSULTING/Admin/C:/Sales Tax-Exclusion (SB 71) Program/Applicants/AEMETIS BIOGAS, LLC - 21-SM008/Final Application/[Aemetis Part B 20201109.xlsx]Applicant_Information'!#REF!="SELECT FROM DROPDOWN")</xm:f>
            <x14:dxf>
              <font>
                <color theme="0" tint="-0.24994659260841701"/>
              </font>
              <fill>
                <patternFill patternType="mediumGray">
                  <fgColor theme="4" tint="0.59996337778862885"/>
                </patternFill>
              </fill>
            </x14:dxf>
          </x14:cfRule>
          <xm:sqref>D25</xm:sqref>
        </x14:conditionalFormatting>
        <x14:conditionalFormatting xmlns:xm="http://schemas.microsoft.com/office/excel/2006/main">
          <x14:cfRule type="expression" priority="6" id="{3C9AEA3E-2228-4B76-8231-8E9163477015}">
            <xm:f>OR('https://d.docs.live.net/Users/jms/Library/CloudStorage/GoogleDrive-schwahoney@gmail.com/My Drive/BOX-for-transfer/_CONSULTING/Admin/C:/Sales Tax-Exclusion (SB 71) Program/Applicants/AEMETIS BIOGAS, LLC - 21-SM008/Final Application/[Aemetis Part B 20201109.xlsx]Applicant_Information'!#REF!="Alternative_Energy",'https://d.docs.live.net/Users/jms/Library/CloudStorage/GoogleDrive-schwahoney@gmail.com/My Drive/BOX-for-transfer/_CONSULTING/Admin/C:/Sales Tax-Exclusion (SB 71) Program/Applicants/AEMETIS BIOGAS, LLC - 21-SM008/Final Application/[Aemetis Part B 20201109.xlsx]Applicant_Information'!#REF!="Energy_Efficiency",'https://d.docs.live.net/Users/jms/Library/CloudStorage/GoogleDrive-schwahoney@gmail.com/My Drive/BOX-for-transfer/_CONSULTING/Admin/C:/Sales Tax-Exclusion (SB 71) Program/Applicants/AEMETIS BIOGAS, LLC - 21-SM008/Final Application/[Aemetis Part B 20201109.xlsx]Applicant_Information'!#REF!="Advanced_Transportation",'https://d.docs.live.net/Users/jms/Library/CloudStorage/GoogleDrive-schwahoney@gmail.com/My Drive/BOX-for-transfer/_CONSULTING/Admin/C:/Sales Tax-Exclusion (SB 71) Program/Applicants/AEMETIS BIOGAS, LLC - 21-SM008/Final Application/[Aemetis Part B 20201109.xlsx]Applicant_Information'!#REF!="Advanced_Manufacturing",'https://d.docs.live.net/Users/jms/Library/CloudStorage/GoogleDrive-schwahoney@gmail.com/My Drive/BOX-for-transfer/_CONSULTING/Admin/C:/Sales Tax-Exclusion (SB 71) Program/Applicants/AEMETIS BIOGAS, LLC - 21-SM008/Final Application/[Aemetis Part B 20201109.xlsx]Applicant_Information'!#REF!="Other_Application_Types",'https://d.docs.live.net/Users/jms/Library/CloudStorage/GoogleDrive-schwahoney@gmail.com/My Drive/BOX-for-transfer/_CONSULTING/Admin/C:/Sales Tax-Exclusion (SB 71) Program/Applicants/AEMETIS BIOGAS, LLC - 21-SM008/Final Application/[Aemetis Part B 20201109.xlsx]Applicant_Information'!#REF!="Recycling",'https://d.docs.live.net/Users/jms/Library/CloudStorage/GoogleDrive-schwahoney@gmail.com/My Drive/BOX-for-transfer/_CONSULTING/Admin/C:/Sales Tax-Exclusion (SB 71) Program/Applicants/AEMETIS BIOGAS, LLC - 21-SM008/Final Application/[Aemetis Part B 20201109.xlsx]Applicant_Information'!#REF!="SELECT FROM DROPDOWN")</xm:f>
            <x14:dxf>
              <font>
                <color theme="0" tint="-0.24994659260841701"/>
              </font>
              <fill>
                <patternFill patternType="mediumGray">
                  <fgColor theme="4" tint="0.59996337778862885"/>
                </patternFill>
              </fill>
            </x14:dxf>
          </x14:cfRule>
          <xm:sqref>D27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87"/>
  <sheetViews>
    <sheetView showGridLines="0" zoomScaleNormal="100" zoomScalePageLayoutView="75" workbookViewId="0">
      <selection activeCell="D64" sqref="D64"/>
    </sheetView>
  </sheetViews>
  <sheetFormatPr defaultColWidth="9.140625" defaultRowHeight="15" x14ac:dyDescent="0.25"/>
  <cols>
    <col min="1" max="1" width="5.5703125" style="52" bestFit="1" customWidth="1"/>
    <col min="2" max="2" width="75.42578125" style="52" customWidth="1"/>
    <col min="3" max="3" width="42.5703125" style="52" customWidth="1"/>
    <col min="4" max="4" width="30.42578125" style="52" customWidth="1"/>
    <col min="5" max="16384" width="9.140625" style="52"/>
  </cols>
  <sheetData>
    <row r="1" spans="1:11" ht="36.75" customHeight="1" x14ac:dyDescent="0.25">
      <c r="C1" s="46"/>
      <c r="D1" s="520" t="s">
        <v>168</v>
      </c>
    </row>
    <row r="2" spans="1:11" ht="27" customHeight="1" thickBot="1" x14ac:dyDescent="0.4">
      <c r="A2" s="543" t="str">
        <f>IF(Applicant_Information!B8=D1,"",IF(Applicant_Information!B8="BioFuels",(HYPERLINK("#"&amp;"BioFuels!A1","-&gt; THIS PAGE FOR "&amp; D1 &amp;" APPLICANTS ONLY -&gt; Go to "&amp;Applicant_Information!B8&amp;" Section")),
IF(Applicant_Information!B8="Energy_Efficiency",(HYPERLINK("#"&amp;"Energy_Efficiency!A1","-&gt; THIS PAGE FOR "&amp; D1&amp;" APPLICANTS ONLY -&gt; Go to "&amp;Applicant_Information!B8&amp;" Section")),
IF(Applicant_Information!B8="Alternative_Energy",(HYPERLINK("#"&amp;"Alternative_Energy!A1","-&gt; THIS PAGE FOR "&amp; D1 &amp;" APPLICANTS ONLY -&gt; Go to "&amp;Applicant_Information!B8&amp;" Section")),
IF(Applicant_Information!B8="Advanced_Manufacturing",(HYPERLINK("#"&amp;"Advanced_Manufacturing!A1","-&gt; THIS PAGE FOR "&amp; D1 &amp;" APPLICANTS ONLY -&gt; Go to "&amp;Applicant_Information!B8&amp;" Section")),
IF(Applicant_Information!B8="Recycling",(HYPERLINK("#"&amp;"Recycling!A1","-&gt; THIS PAGE FOR "&amp; D1 &amp;" APPLICANTS ONLY -&gt; Go to "&amp;Applicant_Information!B8&amp;" Section")),
IF(Applicant_Information!B8="SELECT FROM DROPDOWN",(HYPERLINK("#"&amp;"Applicant_Information!A8","-&gt; THIS PAGE FOR "&amp; D1 &amp;" APPLICANTS ONLY -&gt; Go to "&amp;Applicant_Information!B8&amp;" Section")),
(HYPERLINK("#"&amp;"Other_Application_Types!A1","-&gt; THIS PAGE FOR "&amp; D1&amp;" APPLICANTS ONLY -&gt; Go to "&amp;Applicant_Information!B8&amp;" Section")))))))))</f>
        <v>-&gt; THIS PAGE FOR ALTERNATIVE_ENERGY APPLICANTS ONLY -&gt; Go to SELECT FROM DROPDOWN Section</v>
      </c>
      <c r="B2" s="543"/>
      <c r="C2" s="543"/>
      <c r="D2" s="543"/>
      <c r="E2" s="55"/>
      <c r="F2" s="55"/>
      <c r="G2" s="55"/>
      <c r="H2" s="55"/>
    </row>
    <row r="3" spans="1:11" ht="56.85" customHeight="1" x14ac:dyDescent="0.25">
      <c r="A3" s="624" t="s">
        <v>169</v>
      </c>
      <c r="B3" s="625"/>
      <c r="C3" s="625"/>
      <c r="D3" s="626"/>
      <c r="E3" s="56"/>
      <c r="F3" s="56"/>
      <c r="G3" s="56"/>
      <c r="H3" s="56"/>
      <c r="I3" s="56"/>
      <c r="J3" s="56"/>
      <c r="K3" s="56"/>
    </row>
    <row r="4" spans="1:11" ht="18.600000000000001" customHeight="1" x14ac:dyDescent="0.25">
      <c r="A4" s="242" t="s">
        <v>95</v>
      </c>
      <c r="B4" s="243"/>
      <c r="C4" s="243"/>
      <c r="D4" s="96"/>
      <c r="E4" s="57"/>
      <c r="F4" s="57"/>
      <c r="G4" s="57"/>
      <c r="H4" s="57"/>
      <c r="I4" s="57"/>
      <c r="J4" s="57"/>
      <c r="K4" s="57"/>
    </row>
    <row r="5" spans="1:11" ht="62.1" customHeight="1" x14ac:dyDescent="0.25">
      <c r="A5" s="244" t="s">
        <v>96</v>
      </c>
      <c r="B5" s="643" t="s">
        <v>97</v>
      </c>
      <c r="C5" s="644"/>
      <c r="D5" s="287"/>
    </row>
    <row r="6" spans="1:11" ht="51" customHeight="1" thickBot="1" x14ac:dyDescent="0.3">
      <c r="A6" s="79"/>
      <c r="B6" s="157" t="s">
        <v>98</v>
      </c>
      <c r="C6" s="645"/>
      <c r="D6" s="646"/>
    </row>
    <row r="7" spans="1:11" ht="87.75" customHeight="1" x14ac:dyDescent="0.25">
      <c r="A7" s="244" t="s">
        <v>99</v>
      </c>
      <c r="B7" s="598" t="s">
        <v>100</v>
      </c>
      <c r="C7" s="599"/>
      <c r="D7" s="288"/>
    </row>
    <row r="8" spans="1:11" ht="54.75" customHeight="1" thickBot="1" x14ac:dyDescent="0.3">
      <c r="A8" s="79"/>
      <c r="B8" s="157" t="s">
        <v>170</v>
      </c>
      <c r="C8" s="631"/>
      <c r="D8" s="632"/>
    </row>
    <row r="9" spans="1:11" ht="60" customHeight="1" x14ac:dyDescent="0.25">
      <c r="A9" s="641" t="s">
        <v>102</v>
      </c>
      <c r="B9" s="633" t="s">
        <v>171</v>
      </c>
      <c r="C9" s="634"/>
      <c r="D9" s="288"/>
    </row>
    <row r="10" spans="1:11" ht="54.75" customHeight="1" thickBot="1" x14ac:dyDescent="0.3">
      <c r="A10" s="642"/>
      <c r="B10" s="157" t="s">
        <v>172</v>
      </c>
      <c r="C10" s="635"/>
      <c r="D10" s="636"/>
    </row>
    <row r="11" spans="1:11" ht="96.75" customHeight="1" x14ac:dyDescent="0.25">
      <c r="A11" s="205" t="s">
        <v>105</v>
      </c>
      <c r="B11" s="609" t="s">
        <v>106</v>
      </c>
      <c r="C11" s="610"/>
      <c r="D11" s="289"/>
    </row>
    <row r="12" spans="1:11" ht="51" customHeight="1" thickBot="1" x14ac:dyDescent="0.3">
      <c r="A12" s="79"/>
      <c r="B12" s="157" t="s">
        <v>173</v>
      </c>
      <c r="C12" s="631"/>
      <c r="D12" s="632"/>
    </row>
    <row r="13" spans="1:11" ht="19.350000000000001" customHeight="1" x14ac:dyDescent="0.25">
      <c r="A13" s="245" t="s">
        <v>174</v>
      </c>
      <c r="B13" s="246"/>
      <c r="C13" s="246"/>
      <c r="D13" s="97"/>
    </row>
    <row r="14" spans="1:11" ht="38.1" customHeight="1" thickBot="1" x14ac:dyDescent="0.3">
      <c r="A14" s="81" t="s">
        <v>109</v>
      </c>
      <c r="B14" s="611" t="s">
        <v>110</v>
      </c>
      <c r="C14" s="612"/>
      <c r="D14" s="290"/>
    </row>
    <row r="15" spans="1:11" ht="90.6" customHeight="1" x14ac:dyDescent="0.25">
      <c r="A15" s="90" t="s">
        <v>115</v>
      </c>
      <c r="B15" s="613" t="s">
        <v>2655</v>
      </c>
      <c r="C15" s="614"/>
      <c r="D15" s="291"/>
    </row>
    <row r="16" spans="1:11" ht="68.25" customHeight="1" thickBot="1" x14ac:dyDescent="0.3">
      <c r="A16" s="79"/>
      <c r="B16" s="158" t="s">
        <v>176</v>
      </c>
      <c r="C16" s="649"/>
      <c r="D16" s="650"/>
    </row>
    <row r="17" spans="1:4" ht="36" customHeight="1" x14ac:dyDescent="0.25">
      <c r="A17" s="90" t="s">
        <v>118</v>
      </c>
      <c r="B17" s="573" t="s">
        <v>119</v>
      </c>
      <c r="C17" s="574"/>
      <c r="D17" s="292"/>
    </row>
    <row r="18" spans="1:4" ht="69" customHeight="1" thickBot="1" x14ac:dyDescent="0.3">
      <c r="A18" s="79"/>
      <c r="B18" s="189" t="s">
        <v>177</v>
      </c>
      <c r="C18" s="585"/>
      <c r="D18" s="586"/>
    </row>
    <row r="19" spans="1:4" ht="81.599999999999994" customHeight="1" x14ac:dyDescent="0.25">
      <c r="A19" s="90" t="s">
        <v>121</v>
      </c>
      <c r="B19" s="573" t="s">
        <v>122</v>
      </c>
      <c r="C19" s="574"/>
      <c r="D19" s="292"/>
    </row>
    <row r="20" spans="1:4" ht="67.5" customHeight="1" thickBot="1" x14ac:dyDescent="0.3">
      <c r="A20" s="79"/>
      <c r="B20" s="189" t="s">
        <v>178</v>
      </c>
      <c r="C20" s="585"/>
      <c r="D20" s="586"/>
    </row>
    <row r="21" spans="1:4" ht="50.1" customHeight="1" x14ac:dyDescent="0.25">
      <c r="A21" s="90" t="s">
        <v>124</v>
      </c>
      <c r="B21" s="573" t="s">
        <v>125</v>
      </c>
      <c r="C21" s="574"/>
      <c r="D21" s="283"/>
    </row>
    <row r="22" spans="1:4" ht="50.1" customHeight="1" thickBot="1" x14ac:dyDescent="0.3">
      <c r="A22" s="79"/>
      <c r="B22" s="189" t="s">
        <v>179</v>
      </c>
      <c r="C22" s="585"/>
      <c r="D22" s="586"/>
    </row>
    <row r="23" spans="1:4" ht="51" customHeight="1" x14ac:dyDescent="0.25">
      <c r="A23" s="90" t="s">
        <v>127</v>
      </c>
      <c r="B23" s="573" t="s">
        <v>128</v>
      </c>
      <c r="C23" s="574"/>
      <c r="D23" s="292"/>
    </row>
    <row r="24" spans="1:4" ht="51" customHeight="1" thickBot="1" x14ac:dyDescent="0.3">
      <c r="A24" s="79"/>
      <c r="B24" s="189" t="s">
        <v>180</v>
      </c>
      <c r="C24" s="585"/>
      <c r="D24" s="586"/>
    </row>
    <row r="25" spans="1:4" ht="49.5" customHeight="1" x14ac:dyDescent="0.25">
      <c r="A25" s="90" t="s">
        <v>130</v>
      </c>
      <c r="B25" s="573" t="s">
        <v>131</v>
      </c>
      <c r="C25" s="574"/>
      <c r="D25" s="283"/>
    </row>
    <row r="26" spans="1:4" ht="51" customHeight="1" thickBot="1" x14ac:dyDescent="0.3">
      <c r="A26" s="79"/>
      <c r="B26" s="189" t="s">
        <v>181</v>
      </c>
      <c r="C26" s="585"/>
      <c r="D26" s="586"/>
    </row>
    <row r="27" spans="1:4" ht="35.1" customHeight="1" thickBot="1" x14ac:dyDescent="0.3">
      <c r="A27" s="80" t="s">
        <v>133</v>
      </c>
      <c r="B27" s="647" t="s">
        <v>182</v>
      </c>
      <c r="C27" s="648"/>
      <c r="D27" s="293"/>
    </row>
    <row r="28" spans="1:4" ht="63" customHeight="1" thickBot="1" x14ac:dyDescent="0.3">
      <c r="A28" s="80" t="s">
        <v>183</v>
      </c>
      <c r="B28" s="647" t="s">
        <v>184</v>
      </c>
      <c r="C28" s="648"/>
      <c r="D28" s="282" t="s">
        <v>6</v>
      </c>
    </row>
    <row r="29" spans="1:4" ht="50.1" customHeight="1" x14ac:dyDescent="0.25">
      <c r="A29" s="90" t="s">
        <v>185</v>
      </c>
      <c r="B29" s="573" t="s">
        <v>186</v>
      </c>
      <c r="C29" s="574"/>
      <c r="D29" s="294"/>
    </row>
    <row r="30" spans="1:4" ht="61.5" customHeight="1" thickBot="1" x14ac:dyDescent="0.3">
      <c r="A30" s="79"/>
      <c r="B30" s="189" t="s">
        <v>187</v>
      </c>
      <c r="C30" s="585"/>
      <c r="D30" s="586"/>
    </row>
    <row r="31" spans="1:4" ht="46.35" customHeight="1" x14ac:dyDescent="0.25">
      <c r="A31" s="90" t="s">
        <v>188</v>
      </c>
      <c r="B31" s="573" t="s">
        <v>189</v>
      </c>
      <c r="C31" s="574"/>
      <c r="D31" s="283"/>
    </row>
    <row r="32" spans="1:4" ht="60.75" customHeight="1" thickBot="1" x14ac:dyDescent="0.3">
      <c r="A32" s="79"/>
      <c r="B32" s="189" t="s">
        <v>190</v>
      </c>
      <c r="C32" s="585"/>
      <c r="D32" s="586"/>
    </row>
    <row r="33" spans="1:4" ht="60.75" customHeight="1" thickBot="1" x14ac:dyDescent="0.3">
      <c r="A33" s="238" t="s">
        <v>191</v>
      </c>
      <c r="B33" s="575" t="s">
        <v>134</v>
      </c>
      <c r="C33" s="576"/>
      <c r="D33" s="282" t="s">
        <v>6</v>
      </c>
    </row>
    <row r="34" spans="1:4" ht="60.75" customHeight="1" x14ac:dyDescent="0.25">
      <c r="A34" s="639" t="s">
        <v>192</v>
      </c>
      <c r="B34" s="583" t="s">
        <v>136</v>
      </c>
      <c r="C34" s="584"/>
      <c r="D34" s="283"/>
    </row>
    <row r="35" spans="1:4" ht="60.75" customHeight="1" thickBot="1" x14ac:dyDescent="0.3">
      <c r="A35" s="640"/>
      <c r="B35" s="189" t="s">
        <v>193</v>
      </c>
      <c r="C35" s="585"/>
      <c r="D35" s="586"/>
    </row>
    <row r="36" spans="1:4" ht="21" customHeight="1" x14ac:dyDescent="0.25">
      <c r="A36" s="247" t="s">
        <v>194</v>
      </c>
      <c r="B36" s="248"/>
      <c r="C36" s="248"/>
      <c r="D36" s="98"/>
    </row>
    <row r="37" spans="1:4" ht="21" customHeight="1" thickBot="1" x14ac:dyDescent="0.3">
      <c r="A37" s="83" t="s">
        <v>195</v>
      </c>
      <c r="B37" s="92" t="s">
        <v>196</v>
      </c>
      <c r="C37" s="82"/>
      <c r="D37" s="295" t="s">
        <v>6</v>
      </c>
    </row>
    <row r="38" spans="1:4" ht="50.85" customHeight="1" x14ac:dyDescent="0.25">
      <c r="A38" s="106" t="s">
        <v>197</v>
      </c>
      <c r="B38" s="637" t="s">
        <v>2657</v>
      </c>
      <c r="C38" s="638"/>
      <c r="D38" s="296"/>
    </row>
    <row r="39" spans="1:4" ht="35.1" customHeight="1" thickBot="1" x14ac:dyDescent="0.3">
      <c r="A39" s="105"/>
      <c r="B39" s="93" t="s">
        <v>198</v>
      </c>
      <c r="C39" s="589"/>
      <c r="D39" s="590"/>
    </row>
    <row r="40" spans="1:4" ht="73.5" customHeight="1" thickBot="1" x14ac:dyDescent="0.3">
      <c r="A40" s="91" t="s">
        <v>199</v>
      </c>
      <c r="B40" s="592" t="s">
        <v>200</v>
      </c>
      <c r="C40" s="630"/>
      <c r="D40" s="282" t="s">
        <v>6</v>
      </c>
    </row>
    <row r="41" spans="1:4" ht="80.849999999999994" customHeight="1" x14ac:dyDescent="0.25">
      <c r="A41" s="106" t="s">
        <v>201</v>
      </c>
      <c r="B41" s="591" t="s">
        <v>202</v>
      </c>
      <c r="C41" s="620"/>
      <c r="D41" s="296"/>
    </row>
    <row r="42" spans="1:4" ht="41.85" customHeight="1" thickBot="1" x14ac:dyDescent="0.3">
      <c r="A42" s="105"/>
      <c r="B42" s="94" t="s">
        <v>203</v>
      </c>
      <c r="C42" s="619"/>
      <c r="D42" s="590"/>
    </row>
    <row r="43" spans="1:4" ht="79.349999999999994" customHeight="1" x14ac:dyDescent="0.25">
      <c r="A43" s="106" t="s">
        <v>204</v>
      </c>
      <c r="B43" s="591" t="s">
        <v>205</v>
      </c>
      <c r="C43" s="620"/>
      <c r="D43" s="296"/>
    </row>
    <row r="44" spans="1:4" ht="46.35" customHeight="1" thickBot="1" x14ac:dyDescent="0.3">
      <c r="A44" s="111"/>
      <c r="B44" s="94" t="s">
        <v>203</v>
      </c>
      <c r="C44" s="619"/>
      <c r="D44" s="590"/>
    </row>
    <row r="45" spans="1:4" ht="78.599999999999994" customHeight="1" x14ac:dyDescent="0.25">
      <c r="A45" s="106" t="s">
        <v>206</v>
      </c>
      <c r="B45" s="591" t="s">
        <v>207</v>
      </c>
      <c r="C45" s="588"/>
      <c r="D45" s="296"/>
    </row>
    <row r="46" spans="1:4" ht="45" customHeight="1" thickBot="1" x14ac:dyDescent="0.3">
      <c r="A46" s="105"/>
      <c r="B46" s="94" t="s">
        <v>203</v>
      </c>
      <c r="C46" s="589"/>
      <c r="D46" s="590"/>
    </row>
    <row r="47" spans="1:4" ht="80.849999999999994" customHeight="1" x14ac:dyDescent="0.25">
      <c r="A47" s="106" t="s">
        <v>208</v>
      </c>
      <c r="B47" s="591" t="s">
        <v>209</v>
      </c>
      <c r="C47" s="588"/>
      <c r="D47" s="296"/>
    </row>
    <row r="48" spans="1:4" ht="41.85" customHeight="1" thickBot="1" x14ac:dyDescent="0.3">
      <c r="A48" s="105"/>
      <c r="B48" s="94" t="s">
        <v>203</v>
      </c>
      <c r="C48" s="589"/>
      <c r="D48" s="590"/>
    </row>
    <row r="49" spans="1:4" ht="45" customHeight="1" x14ac:dyDescent="0.25">
      <c r="A49" s="106" t="s">
        <v>210</v>
      </c>
      <c r="B49" s="591" t="s">
        <v>211</v>
      </c>
      <c r="C49" s="588"/>
      <c r="D49" s="296"/>
    </row>
    <row r="50" spans="1:4" ht="42" customHeight="1" x14ac:dyDescent="0.25">
      <c r="A50" s="112"/>
      <c r="B50" s="99" t="s">
        <v>203</v>
      </c>
      <c r="C50" s="617"/>
      <c r="D50" s="618"/>
    </row>
    <row r="51" spans="1:4" ht="20.100000000000001" customHeight="1" thickBot="1" x14ac:dyDescent="0.3">
      <c r="A51" s="247" t="s">
        <v>138</v>
      </c>
      <c r="B51" s="248"/>
      <c r="C51" s="248"/>
      <c r="D51" s="98"/>
    </row>
    <row r="52" spans="1:4" ht="50.85" customHeight="1" thickBot="1" x14ac:dyDescent="0.3">
      <c r="A52" s="83" t="s">
        <v>212</v>
      </c>
      <c r="B52" s="621" t="s">
        <v>213</v>
      </c>
      <c r="C52" s="622"/>
      <c r="D52" s="284" t="s">
        <v>6</v>
      </c>
    </row>
    <row r="53" spans="1:4" ht="75.75" thickBot="1" x14ac:dyDescent="0.3">
      <c r="A53" s="83" t="s">
        <v>214</v>
      </c>
      <c r="B53" s="93" t="s">
        <v>215</v>
      </c>
      <c r="C53" s="627"/>
      <c r="D53" s="628"/>
    </row>
    <row r="54" spans="1:4" ht="32.25" customHeight="1" x14ac:dyDescent="0.25">
      <c r="A54" s="106" t="s">
        <v>216</v>
      </c>
      <c r="B54" s="629" t="s">
        <v>2658</v>
      </c>
      <c r="C54" s="620"/>
      <c r="D54" s="296"/>
    </row>
    <row r="55" spans="1:4" ht="40.35" customHeight="1" thickBot="1" x14ac:dyDescent="0.3">
      <c r="A55" s="107"/>
      <c r="B55" s="93" t="s">
        <v>217</v>
      </c>
      <c r="C55" s="589"/>
      <c r="D55" s="590"/>
    </row>
    <row r="56" spans="1:4" ht="32.85" customHeight="1" x14ac:dyDescent="0.25">
      <c r="A56" s="106" t="s">
        <v>218</v>
      </c>
      <c r="B56" s="591" t="s">
        <v>2659</v>
      </c>
      <c r="C56" s="620"/>
      <c r="D56" s="296"/>
    </row>
    <row r="57" spans="1:4" ht="40.35" customHeight="1" thickBot="1" x14ac:dyDescent="0.3">
      <c r="A57" s="107"/>
      <c r="B57" s="93" t="s">
        <v>217</v>
      </c>
      <c r="C57" s="589"/>
      <c r="D57" s="590"/>
    </row>
    <row r="58" spans="1:4" ht="45" customHeight="1" x14ac:dyDescent="0.25">
      <c r="A58" s="106" t="s">
        <v>139</v>
      </c>
      <c r="B58" s="591" t="s">
        <v>140</v>
      </c>
      <c r="C58" s="588"/>
      <c r="D58" s="284" t="s">
        <v>6</v>
      </c>
    </row>
    <row r="59" spans="1:4" ht="40.35" customHeight="1" thickBot="1" x14ac:dyDescent="0.3">
      <c r="A59" s="105"/>
      <c r="B59" s="93" t="s">
        <v>141</v>
      </c>
      <c r="C59" s="589"/>
      <c r="D59" s="590"/>
    </row>
    <row r="60" spans="1:4" ht="60.6" customHeight="1" x14ac:dyDescent="0.25">
      <c r="A60" s="106" t="s">
        <v>142</v>
      </c>
      <c r="B60" s="591" t="s">
        <v>143</v>
      </c>
      <c r="C60" s="588"/>
      <c r="D60" s="284" t="s">
        <v>6</v>
      </c>
    </row>
    <row r="61" spans="1:4" ht="40.35" customHeight="1" thickBot="1" x14ac:dyDescent="0.3">
      <c r="A61" s="105"/>
      <c r="B61" s="93" t="s">
        <v>144</v>
      </c>
      <c r="C61" s="589"/>
      <c r="D61" s="590"/>
    </row>
    <row r="62" spans="1:4" ht="61.5" customHeight="1" x14ac:dyDescent="0.25">
      <c r="A62" s="106" t="s">
        <v>145</v>
      </c>
      <c r="B62" s="591" t="s">
        <v>146</v>
      </c>
      <c r="C62" s="588"/>
      <c r="D62" s="284" t="s">
        <v>6</v>
      </c>
    </row>
    <row r="63" spans="1:4" ht="40.35" customHeight="1" thickBot="1" x14ac:dyDescent="0.3">
      <c r="A63" s="105"/>
      <c r="B63" s="93" t="s">
        <v>147</v>
      </c>
      <c r="C63" s="589"/>
      <c r="D63" s="590"/>
    </row>
    <row r="64" spans="1:4" ht="45.6" customHeight="1" thickBot="1" x14ac:dyDescent="0.3">
      <c r="A64" s="272" t="s">
        <v>148</v>
      </c>
      <c r="B64" s="592" t="s">
        <v>149</v>
      </c>
      <c r="C64" s="593"/>
      <c r="D64" s="514" t="s">
        <v>6</v>
      </c>
    </row>
    <row r="65" spans="1:4" ht="14.45" customHeight="1" x14ac:dyDescent="0.25">
      <c r="A65" s="224" t="s">
        <v>151</v>
      </c>
      <c r="B65" s="587" t="s">
        <v>152</v>
      </c>
      <c r="C65" s="588"/>
      <c r="D65" s="519">
        <f>COUNTIF(D66:D79,"Yes")</f>
        <v>0</v>
      </c>
    </row>
    <row r="66" spans="1:4" x14ac:dyDescent="0.25">
      <c r="A66" s="225"/>
      <c r="B66" s="217"/>
      <c r="C66" s="219" t="s">
        <v>153</v>
      </c>
      <c r="D66" s="285" t="s">
        <v>6</v>
      </c>
    </row>
    <row r="67" spans="1:4" x14ac:dyDescent="0.25">
      <c r="A67" s="225"/>
      <c r="B67" s="217"/>
      <c r="C67" s="218" t="s">
        <v>154</v>
      </c>
      <c r="D67" s="285" t="s">
        <v>6</v>
      </c>
    </row>
    <row r="68" spans="1:4" x14ac:dyDescent="0.25">
      <c r="A68" s="225"/>
      <c r="B68" s="217"/>
      <c r="C68" s="218" t="s">
        <v>155</v>
      </c>
      <c r="D68" s="285" t="s">
        <v>6</v>
      </c>
    </row>
    <row r="69" spans="1:4" x14ac:dyDescent="0.25">
      <c r="A69" s="225"/>
      <c r="B69" s="217"/>
      <c r="C69" s="218" t="s">
        <v>156</v>
      </c>
      <c r="D69" s="285" t="s">
        <v>6</v>
      </c>
    </row>
    <row r="70" spans="1:4" x14ac:dyDescent="0.25">
      <c r="A70" s="225"/>
      <c r="B70" s="217"/>
      <c r="C70" s="218" t="s">
        <v>157</v>
      </c>
      <c r="D70" s="285" t="s">
        <v>6</v>
      </c>
    </row>
    <row r="71" spans="1:4" x14ac:dyDescent="0.25">
      <c r="A71" s="225"/>
      <c r="B71" s="217"/>
      <c r="C71" s="218" t="s">
        <v>158</v>
      </c>
      <c r="D71" s="285" t="s">
        <v>6</v>
      </c>
    </row>
    <row r="72" spans="1:4" x14ac:dyDescent="0.25">
      <c r="A72" s="225"/>
      <c r="B72" s="217"/>
      <c r="C72" s="218" t="s">
        <v>159</v>
      </c>
      <c r="D72" s="285" t="s">
        <v>6</v>
      </c>
    </row>
    <row r="73" spans="1:4" x14ac:dyDescent="0.25">
      <c r="A73" s="225"/>
      <c r="B73" s="217"/>
      <c r="C73" s="218" t="s">
        <v>160</v>
      </c>
      <c r="D73" s="285" t="s">
        <v>6</v>
      </c>
    </row>
    <row r="74" spans="1:4" x14ac:dyDescent="0.25">
      <c r="A74" s="225"/>
      <c r="B74" s="217"/>
      <c r="C74" s="220" t="s">
        <v>161</v>
      </c>
      <c r="D74" s="285" t="s">
        <v>6</v>
      </c>
    </row>
    <row r="75" spans="1:4" x14ac:dyDescent="0.25">
      <c r="A75" s="225"/>
      <c r="B75" s="217"/>
      <c r="C75" s="218" t="s">
        <v>162</v>
      </c>
      <c r="D75" s="285" t="s">
        <v>6</v>
      </c>
    </row>
    <row r="76" spans="1:4" x14ac:dyDescent="0.25">
      <c r="A76" s="225"/>
      <c r="B76" s="217"/>
      <c r="C76" s="218" t="s">
        <v>163</v>
      </c>
      <c r="D76" s="285" t="s">
        <v>6</v>
      </c>
    </row>
    <row r="77" spans="1:4" x14ac:dyDescent="0.25">
      <c r="A77" s="225"/>
      <c r="B77" s="217"/>
      <c r="C77" s="218" t="s">
        <v>164</v>
      </c>
      <c r="D77" s="285" t="s">
        <v>6</v>
      </c>
    </row>
    <row r="78" spans="1:4" x14ac:dyDescent="0.25">
      <c r="A78" s="225"/>
      <c r="B78" s="217"/>
      <c r="C78" s="218" t="s">
        <v>165</v>
      </c>
      <c r="D78" s="285" t="s">
        <v>6</v>
      </c>
    </row>
    <row r="79" spans="1:4" ht="15.75" thickBot="1" x14ac:dyDescent="0.3">
      <c r="A79" s="226"/>
      <c r="B79" s="221"/>
      <c r="C79" s="222" t="s">
        <v>166</v>
      </c>
      <c r="D79" s="286" t="s">
        <v>6</v>
      </c>
    </row>
    <row r="83" spans="1:4" ht="21" customHeight="1" x14ac:dyDescent="0.25">
      <c r="A83" s="595" t="s">
        <v>167</v>
      </c>
      <c r="B83" s="595"/>
      <c r="C83" s="595"/>
      <c r="D83" s="595"/>
    </row>
    <row r="84" spans="1:4" ht="21" customHeight="1" x14ac:dyDescent="0.25">
      <c r="A84" s="623" t="str">
        <f>HYPERLINK("#"&amp;"Scoring!$C$195","-&gt; Click Here to View Score")</f>
        <v>-&gt; Click Here to View Score</v>
      </c>
      <c r="B84" s="623"/>
      <c r="C84" s="623"/>
      <c r="D84" s="623"/>
    </row>
    <row r="85" spans="1:4" ht="21" customHeight="1" x14ac:dyDescent="0.25">
      <c r="A85" s="623" t="str">
        <f>HYPERLINK("#"&amp;"Instructions!$A$1","&lt;- Click Here to Return to Instructions")</f>
        <v>&lt;- Click Here to Return to Instructions</v>
      </c>
      <c r="B85" s="623"/>
      <c r="C85" s="623"/>
      <c r="D85" s="623"/>
    </row>
    <row r="86" spans="1:4" ht="21" customHeight="1" x14ac:dyDescent="0.25">
      <c r="A86" s="623" t="str">
        <f>HYPERLINK("#"&amp;"Applicant_Information!$A$1","&lt;-  Click Here to Return to Applicant Information")</f>
        <v>&lt;-  Click Here to Return to Applicant Information</v>
      </c>
      <c r="B86" s="623"/>
      <c r="C86" s="623"/>
      <c r="D86" s="623"/>
    </row>
    <row r="87" spans="1:4" ht="21" customHeight="1" x14ac:dyDescent="0.25">
      <c r="A87" s="623" t="str">
        <f>HYPERLINK("#"&amp;"Qualified_Property_List!$A$1","&lt;- Click Here to Return to Qualified Property List")</f>
        <v>&lt;- Click Here to Return to Qualified Property List</v>
      </c>
      <c r="B87" s="623"/>
      <c r="C87" s="623"/>
      <c r="D87" s="623"/>
    </row>
  </sheetData>
  <sheetProtection algorithmName="SHA-512" hashValue="RIl83wIJqvgHA70THoew/osQJuJN0RqrzkH+qcDAnaQpZQGMuG7LtKOxd7tzaAUtuGUEpAky+dimsVzevwn8qQ==" saltValue="S9ZNWteeRxB7JcQ+gFPIyg==" spinCount="100000" sheet="1" formatCells="0" formatColumns="0" formatRows="0"/>
  <mergeCells count="65">
    <mergeCell ref="B64:C64"/>
    <mergeCell ref="A34:A35"/>
    <mergeCell ref="A9:A10"/>
    <mergeCell ref="B5:C5"/>
    <mergeCell ref="C6:D6"/>
    <mergeCell ref="B27:C27"/>
    <mergeCell ref="B11:C11"/>
    <mergeCell ref="B14:C14"/>
    <mergeCell ref="B15:C15"/>
    <mergeCell ref="C16:D16"/>
    <mergeCell ref="B17:C17"/>
    <mergeCell ref="B19:C19"/>
    <mergeCell ref="B21:C21"/>
    <mergeCell ref="B23:C23"/>
    <mergeCell ref="B25:C25"/>
    <mergeCell ref="B28:C28"/>
    <mergeCell ref="B29:C29"/>
    <mergeCell ref="B31:C31"/>
    <mergeCell ref="B38:C38"/>
    <mergeCell ref="C22:D22"/>
    <mergeCell ref="C24:D24"/>
    <mergeCell ref="C26:D26"/>
    <mergeCell ref="C30:D30"/>
    <mergeCell ref="C32:D32"/>
    <mergeCell ref="B33:C33"/>
    <mergeCell ref="B34:C34"/>
    <mergeCell ref="C35:D35"/>
    <mergeCell ref="C8:D8"/>
    <mergeCell ref="C12:D12"/>
    <mergeCell ref="C18:D18"/>
    <mergeCell ref="C20:D20"/>
    <mergeCell ref="B9:C9"/>
    <mergeCell ref="C10:D10"/>
    <mergeCell ref="A84:D84"/>
    <mergeCell ref="A85:D85"/>
    <mergeCell ref="A86:D86"/>
    <mergeCell ref="A87:D87"/>
    <mergeCell ref="A3:D3"/>
    <mergeCell ref="B56:C56"/>
    <mergeCell ref="C57:D57"/>
    <mergeCell ref="B49:C49"/>
    <mergeCell ref="C53:D53"/>
    <mergeCell ref="B54:C54"/>
    <mergeCell ref="C55:D55"/>
    <mergeCell ref="B45:C45"/>
    <mergeCell ref="B47:C47"/>
    <mergeCell ref="B40:C40"/>
    <mergeCell ref="B41:C41"/>
    <mergeCell ref="B7:C7"/>
    <mergeCell ref="C39:D39"/>
    <mergeCell ref="C46:D46"/>
    <mergeCell ref="C48:D48"/>
    <mergeCell ref="C50:D50"/>
    <mergeCell ref="A83:D83"/>
    <mergeCell ref="C42:D42"/>
    <mergeCell ref="B43:C43"/>
    <mergeCell ref="C44:D44"/>
    <mergeCell ref="B52:C52"/>
    <mergeCell ref="B58:C58"/>
    <mergeCell ref="C59:D59"/>
    <mergeCell ref="B60:C60"/>
    <mergeCell ref="C61:D61"/>
    <mergeCell ref="B62:C62"/>
    <mergeCell ref="C63:D63"/>
    <mergeCell ref="B65:C65"/>
  </mergeCells>
  <conditionalFormatting sqref="A29:D32 A33:A34">
    <cfRule type="expression" dxfId="41" priority="13">
      <formula>($D$28="No")</formula>
    </cfRule>
  </conditionalFormatting>
  <conditionalFormatting sqref="A41:D45 A46:C46 A47:D47 A48:C48 A49:D49 A50:C50">
    <cfRule type="expression" dxfId="40" priority="12">
      <formula>($D$40="No")</formula>
    </cfRule>
  </conditionalFormatting>
  <conditionalFormatting sqref="A53:D57">
    <cfRule type="expression" dxfId="39" priority="10">
      <formula>$D$52&lt;&gt;"Yes"</formula>
    </cfRule>
  </conditionalFormatting>
  <conditionalFormatting sqref="B34:D35">
    <cfRule type="expression" dxfId="36" priority="4">
      <formula>($D$33="No")</formula>
    </cfRule>
  </conditionalFormatting>
  <dataValidations count="6">
    <dataValidation type="list" allowBlank="1" showInputMessage="1" showErrorMessage="1" sqref="D28 D40 D52 D58 D60 D62 D66:D79 D33" xr:uid="{00000000-0002-0000-0400-000000000000}">
      <formula1>yes_no</formula1>
    </dataValidation>
    <dataValidation type="list" allowBlank="1" showInputMessage="1" showErrorMessage="1" sqref="D37" xr:uid="{00000000-0002-0000-0400-000001000000}">
      <formula1>Energy_type_b</formula1>
    </dataValidation>
    <dataValidation allowBlank="1" showInputMessage="1" showErrorMessage="1" promptTitle="Note:" prompt="An annual Full-Time Equivalent (FTE) employee equals 1 if there is 1 full time position for 12 months, or 2 half-time positions for 12 months, or 4 full-time positions for 3 months, etc." sqref="D7:D9" xr:uid="{00000000-0002-0000-0400-000002000000}"/>
    <dataValidation allowBlank="1" showInputMessage="1" showErrorMessage="1" promptTitle="Multiple Qualified Products" prompt="If your Facility produces multiple Qualified Products (e.g. units of different sizes or capacities), base the calculations on the average value across all relevant products." sqref="D15" xr:uid="{00000000-0002-0000-0400-000003000000}"/>
    <dataValidation type="decimal" allowBlank="1" showInputMessage="1" showErrorMessage="1" error="Please enter a value between 0% and 100%. " sqref="D34" xr:uid="{00000000-0002-0000-0400-000004000000}">
      <formula1>0</formula1>
      <formula2>1</formula2>
    </dataValidation>
    <dataValidation type="list" allowBlank="1" showInputMessage="1" showErrorMessage="1" sqref="D64" xr:uid="{ED085DF9-4C19-4ECB-989C-BB02C2666F79}">
      <formula1>Emerging_Strategic_Industry</formula1>
    </dataValidation>
  </dataValidations>
  <pageMargins left="0.7" right="0.7" top="0.75" bottom="0.75" header="0.3" footer="0"/>
  <pageSetup scale="70" fitToHeight="3" orientation="portrait" r:id="rId1"/>
  <headerFooter>
    <oddHeader xml:space="preserve">&amp;L&amp;20&amp;UAlternative Energy Projects&amp;R
</oddHead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8" id="{AE3013DD-1B9A-46D5-8413-DCC7FDD2F088}">
            <xm:f>OR(Applicant_Information!$B$8="BioFuels",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A11:D32 A33:A34 A36:D63 D33:D34 A4:D9 B10:C10 A64:B64 D64 A65:D79</xm:sqref>
        </x14:conditionalFormatting>
        <x14:conditionalFormatting xmlns:xm="http://schemas.microsoft.com/office/excel/2006/main">
          <x14:cfRule type="expression" priority="9" id="{6BC555A0-419A-4158-A2EA-F72CCF85B5F6}">
            <xm:f>Applicant_Information!$B$8&lt;&gt;"Alternative_Energy"</xm:f>
            <x14:dxf>
              <font>
                <color theme="0" tint="-0.24994659260841701"/>
              </font>
              <fill>
                <patternFill patternType="mediumGray">
                  <fgColor theme="4" tint="0.59996337778862885"/>
                </patternFill>
              </fill>
            </x14:dxf>
          </x14:cfRule>
          <xm:sqref>A58:D63 A64:B64 D64</xm:sqref>
        </x14:conditionalFormatting>
        <x14:conditionalFormatting xmlns:xm="http://schemas.microsoft.com/office/excel/2006/main">
          <x14:cfRule type="expression" priority="3" id="{6D8B9102-63E7-4A84-A0D5-F84B57C92751}">
            <xm:f>OR(Applicant_Information!$B$8="BioFuels",Applicant_Information!$B$8="Energy_Efficienc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B33:D35</xm:sqref>
        </x14:conditionalFormatting>
        <x14:conditionalFormatting xmlns:xm="http://schemas.microsoft.com/office/excel/2006/main">
          <x14:cfRule type="expression" priority="1" id="{3168D2A5-9B80-49DB-A371-978CC98E6EE1}">
            <xm:f>Applicant_Information!$B$8&lt;&gt;"Alternative_Energy"</xm:f>
            <x14:dxf>
              <font>
                <color theme="0" tint="-0.24994659260841701"/>
              </font>
              <fill>
                <patternFill patternType="mediumGray">
                  <fgColor theme="4" tint="0.59996337778862885"/>
                </patternFill>
              </fill>
            </x14:dxf>
          </x14:cfRule>
          <xm:sqref>D52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autoPageBreaks="0" fitToPage="1"/>
  </sheetPr>
  <dimension ref="A1:O84"/>
  <sheetViews>
    <sheetView showGridLines="0" zoomScaleNormal="100" zoomScalePageLayoutView="75" workbookViewId="0">
      <selection activeCell="D55" sqref="D55"/>
    </sheetView>
  </sheetViews>
  <sheetFormatPr defaultColWidth="9.140625" defaultRowHeight="12.75" x14ac:dyDescent="0.2"/>
  <cols>
    <col min="1" max="1" width="5.5703125" style="29" bestFit="1" customWidth="1"/>
    <col min="2" max="2" width="75.140625" style="30" customWidth="1"/>
    <col min="3" max="3" width="43.5703125" style="30" customWidth="1"/>
    <col min="4" max="4" width="29.42578125" style="35" customWidth="1"/>
    <col min="5" max="5" width="77.42578125" style="30" customWidth="1"/>
    <col min="6" max="6" width="15.42578125" style="30" customWidth="1"/>
    <col min="7" max="7" width="9.140625" style="29"/>
    <col min="8" max="10" width="15.42578125" style="30" customWidth="1"/>
    <col min="11" max="16384" width="9.140625" style="29"/>
  </cols>
  <sheetData>
    <row r="1" spans="1:10" ht="36.75" customHeight="1" x14ac:dyDescent="0.2">
      <c r="B1" s="29"/>
      <c r="C1" s="46"/>
      <c r="D1" s="521" t="s">
        <v>219</v>
      </c>
    </row>
    <row r="2" spans="1:10" ht="27.6" customHeight="1" thickBot="1" x14ac:dyDescent="0.4">
      <c r="A2" s="543" t="str">
        <f>IF(Applicant_Information!B8=D1,"",IF(Applicant_Information!B8="BioFuels",(HYPERLINK("#"&amp;"BioFuels!A1","-&gt; THIS PAGE FOR "&amp; D1 &amp;" APPLICANTS ONLY -&gt; Go to "&amp;Applicant_Information!B8&amp;" Section")),
IF(Applicant_Information!B8="Energy_Efficiency",(HYPERLINK("#"&amp;"Energy_Efficiency!A1","-&gt; THIS PAGE FOR "&amp; D1&amp;" APPLICANTS ONLY -&gt; Go to "&amp;Applicant_Information!B8&amp;" Section")),
IF(Applicant_Information!B8="Alternative_Energy",(HYPERLINK("#"&amp;"Alternative_Energy!A1","-&gt; THIS PAGE FOR "&amp; D1 &amp;" APPLICANTS ONLY -&gt; Go to "&amp;Applicant_Information!B8&amp;" Section")),
IF(Applicant_Information!B8="Advanced_Manufacturing",(HYPERLINK("#"&amp;"Advanced_Manufacturing!A1","-&gt; THIS PAGE FOR "&amp; D1 &amp;" APPLICANTS ONLY -&gt; Go to "&amp;Applicant_Information!B8&amp;" Section")),
IF(Applicant_Information!B8="Recycling",(HYPERLINK("#"&amp;"Recycling!A1","-&gt; THIS PAGE FOR "&amp; D1 &amp;" APPLICANTS ONLY -&gt; Go to "&amp;Applicant_Information!B8&amp;" Section")),
IF(Applicant_Information!B8="SELECT FROM DROPDOWN",(HYPERLINK("#"&amp;"Applicant_Information!A8","-&gt; THIS PAGE FOR "&amp; D1 &amp;" APPLICANTS ONLY -&gt; Go to "&amp;Applicant_Information!B8&amp;" Section")),
(HYPERLINK("#"&amp;"Other_Application_Types!A1","-&gt; THIS PAGE FOR "&amp; D1&amp;" APPLICANTS ONLY -&gt; Go to "&amp;Applicant_Information!B8&amp;" Section")))))))))</f>
        <v>-&gt; THIS PAGE FOR ENERGY_EFFICIENCY APPLICANTS ONLY -&gt; Go to SELECT FROM DROPDOWN Section</v>
      </c>
      <c r="B2" s="541"/>
      <c r="C2" s="541"/>
      <c r="D2" s="541"/>
      <c r="E2" s="31"/>
    </row>
    <row r="3" spans="1:10" ht="47.85" customHeight="1" x14ac:dyDescent="0.2">
      <c r="A3" s="659" t="s">
        <v>220</v>
      </c>
      <c r="B3" s="660"/>
      <c r="C3" s="660"/>
      <c r="D3" s="661"/>
      <c r="E3" s="31"/>
    </row>
    <row r="4" spans="1:10" ht="19.350000000000001" customHeight="1" thickBot="1" x14ac:dyDescent="0.3">
      <c r="A4" s="242" t="s">
        <v>95</v>
      </c>
      <c r="B4" s="243"/>
      <c r="C4" s="243"/>
      <c r="D4" s="96"/>
      <c r="E4" s="31"/>
    </row>
    <row r="5" spans="1:10" ht="66" customHeight="1" x14ac:dyDescent="0.25">
      <c r="A5" s="90" t="s">
        <v>96</v>
      </c>
      <c r="B5" s="643" t="s">
        <v>97</v>
      </c>
      <c r="C5" s="644"/>
      <c r="D5" s="287"/>
      <c r="E5" s="32"/>
      <c r="F5" s="33"/>
      <c r="H5" s="32"/>
      <c r="I5" s="32"/>
      <c r="J5" s="32"/>
    </row>
    <row r="6" spans="1:10" ht="53.85" customHeight="1" thickBot="1" x14ac:dyDescent="0.25">
      <c r="A6" s="197"/>
      <c r="B6" s="198" t="s">
        <v>98</v>
      </c>
      <c r="C6" s="645"/>
      <c r="D6" s="646"/>
      <c r="E6" s="29"/>
      <c r="G6" s="30"/>
      <c r="I6" s="29"/>
      <c r="J6" s="29"/>
    </row>
    <row r="7" spans="1:10" ht="90.75" customHeight="1" x14ac:dyDescent="0.25">
      <c r="A7" s="90" t="s">
        <v>99</v>
      </c>
      <c r="B7" s="598" t="s">
        <v>100</v>
      </c>
      <c r="C7" s="599"/>
      <c r="D7" s="288"/>
      <c r="E7" s="29"/>
      <c r="G7" s="30"/>
      <c r="I7" s="29"/>
      <c r="J7" s="29"/>
    </row>
    <row r="8" spans="1:10" ht="51" customHeight="1" thickBot="1" x14ac:dyDescent="0.25">
      <c r="A8" s="197"/>
      <c r="B8" s="157" t="s">
        <v>170</v>
      </c>
      <c r="C8" s="631"/>
      <c r="D8" s="632"/>
      <c r="E8" s="29"/>
      <c r="G8" s="30"/>
      <c r="I8" s="29"/>
      <c r="J8" s="29"/>
    </row>
    <row r="9" spans="1:10" ht="59.45" customHeight="1" x14ac:dyDescent="0.2">
      <c r="A9" s="664" t="s">
        <v>102</v>
      </c>
      <c r="B9" s="633" t="s">
        <v>171</v>
      </c>
      <c r="C9" s="634"/>
      <c r="D9" s="288"/>
      <c r="E9" s="29"/>
      <c r="G9" s="30"/>
      <c r="I9" s="29"/>
      <c r="J9" s="29"/>
    </row>
    <row r="10" spans="1:10" ht="59.45" customHeight="1" thickBot="1" x14ac:dyDescent="0.25">
      <c r="A10" s="665"/>
      <c r="B10" s="187" t="s">
        <v>221</v>
      </c>
      <c r="C10" s="635"/>
      <c r="D10" s="636"/>
      <c r="E10" s="29"/>
      <c r="G10" s="30"/>
      <c r="I10" s="29"/>
      <c r="J10" s="29"/>
    </row>
    <row r="11" spans="1:10" ht="92.25" customHeight="1" x14ac:dyDescent="0.25">
      <c r="A11" s="90" t="s">
        <v>105</v>
      </c>
      <c r="B11" s="607" t="s">
        <v>106</v>
      </c>
      <c r="C11" s="608"/>
      <c r="D11" s="297"/>
      <c r="E11" s="29"/>
      <c r="G11" s="30"/>
      <c r="I11" s="29"/>
      <c r="J11" s="29"/>
    </row>
    <row r="12" spans="1:10" ht="60" customHeight="1" thickBot="1" x14ac:dyDescent="0.25">
      <c r="A12" s="79"/>
      <c r="B12" s="199" t="s">
        <v>173</v>
      </c>
      <c r="C12" s="662"/>
      <c r="D12" s="663"/>
      <c r="E12" s="29"/>
      <c r="G12" s="30"/>
      <c r="I12" s="29"/>
      <c r="J12" s="29"/>
    </row>
    <row r="13" spans="1:10" ht="18.600000000000001" customHeight="1" x14ac:dyDescent="0.2">
      <c r="A13" s="245" t="s">
        <v>174</v>
      </c>
      <c r="B13" s="246"/>
      <c r="C13" s="246"/>
      <c r="D13" s="97"/>
      <c r="E13" s="29"/>
      <c r="G13" s="30"/>
      <c r="I13" s="29"/>
      <c r="J13" s="29"/>
    </row>
    <row r="14" spans="1:10" ht="36.6" customHeight="1" thickBot="1" x14ac:dyDescent="0.25">
      <c r="A14" s="81" t="s">
        <v>109</v>
      </c>
      <c r="B14" s="611" t="s">
        <v>110</v>
      </c>
      <c r="C14" s="612"/>
      <c r="D14" s="298"/>
      <c r="E14" s="29"/>
      <c r="G14" s="30"/>
      <c r="I14" s="29"/>
      <c r="J14" s="29"/>
    </row>
    <row r="15" spans="1:10" ht="92.1" customHeight="1" x14ac:dyDescent="0.25">
      <c r="A15" s="90" t="s">
        <v>115</v>
      </c>
      <c r="B15" s="613" t="s">
        <v>175</v>
      </c>
      <c r="C15" s="614"/>
      <c r="D15" s="291"/>
      <c r="E15" s="29"/>
      <c r="G15" s="30"/>
      <c r="I15" s="29"/>
      <c r="J15" s="29"/>
    </row>
    <row r="16" spans="1:10" ht="70.5" customHeight="1" thickBot="1" x14ac:dyDescent="0.25">
      <c r="A16" s="79"/>
      <c r="B16" s="158" t="s">
        <v>222</v>
      </c>
      <c r="C16" s="649"/>
      <c r="D16" s="650"/>
      <c r="E16" s="29"/>
      <c r="G16" s="30"/>
      <c r="I16" s="29"/>
      <c r="J16" s="29"/>
    </row>
    <row r="17" spans="1:10" ht="36" customHeight="1" x14ac:dyDescent="0.25">
      <c r="A17" s="90" t="s">
        <v>118</v>
      </c>
      <c r="B17" s="667" t="s">
        <v>119</v>
      </c>
      <c r="C17" s="668"/>
      <c r="D17" s="299"/>
      <c r="E17" s="29"/>
      <c r="G17" s="30"/>
      <c r="I17" s="29"/>
      <c r="J17" s="29"/>
    </row>
    <row r="18" spans="1:10" ht="54" customHeight="1" thickBot="1" x14ac:dyDescent="0.25">
      <c r="A18" s="79"/>
      <c r="B18" s="199" t="s">
        <v>177</v>
      </c>
      <c r="C18" s="649"/>
      <c r="D18" s="650"/>
      <c r="E18" s="29"/>
      <c r="G18" s="30"/>
      <c r="I18" s="29"/>
      <c r="J18" s="29"/>
    </row>
    <row r="19" spans="1:10" ht="80.099999999999994" customHeight="1" x14ac:dyDescent="0.25">
      <c r="A19" s="90" t="s">
        <v>121</v>
      </c>
      <c r="B19" s="573" t="s">
        <v>122</v>
      </c>
      <c r="C19" s="574"/>
      <c r="D19" s="299"/>
      <c r="E19" s="29"/>
      <c r="G19" s="30"/>
      <c r="I19" s="29"/>
      <c r="J19" s="29"/>
    </row>
    <row r="20" spans="1:10" ht="80.099999999999994" customHeight="1" thickBot="1" x14ac:dyDescent="0.25">
      <c r="A20" s="79"/>
      <c r="B20" s="199" t="s">
        <v>178</v>
      </c>
      <c r="C20" s="649"/>
      <c r="D20" s="650"/>
      <c r="E20" s="29"/>
      <c r="G20" s="30"/>
      <c r="I20" s="29"/>
      <c r="J20" s="29"/>
    </row>
    <row r="21" spans="1:10" ht="51.6" customHeight="1" x14ac:dyDescent="0.25">
      <c r="A21" s="90" t="s">
        <v>124</v>
      </c>
      <c r="B21" s="573" t="s">
        <v>125</v>
      </c>
      <c r="C21" s="574"/>
      <c r="D21" s="283"/>
      <c r="E21" s="29"/>
      <c r="G21" s="30"/>
      <c r="I21" s="29"/>
      <c r="J21" s="29"/>
    </row>
    <row r="22" spans="1:10" ht="51.6" customHeight="1" thickBot="1" x14ac:dyDescent="0.25">
      <c r="A22" s="79"/>
      <c r="B22" s="199" t="s">
        <v>179</v>
      </c>
      <c r="C22" s="649"/>
      <c r="D22" s="650"/>
      <c r="E22" s="29"/>
      <c r="G22" s="30"/>
      <c r="I22" s="29"/>
      <c r="J22" s="29"/>
    </row>
    <row r="23" spans="1:10" s="30" customFormat="1" ht="50.1" customHeight="1" x14ac:dyDescent="0.25">
      <c r="A23" s="90" t="s">
        <v>127</v>
      </c>
      <c r="B23" s="573" t="s">
        <v>128</v>
      </c>
      <c r="C23" s="574"/>
      <c r="D23" s="292"/>
    </row>
    <row r="24" spans="1:10" s="30" customFormat="1" ht="50.1" customHeight="1" thickBot="1" x14ac:dyDescent="0.25">
      <c r="A24" s="79"/>
      <c r="B24" s="199" t="s">
        <v>180</v>
      </c>
      <c r="C24" s="649"/>
      <c r="D24" s="650"/>
    </row>
    <row r="25" spans="1:10" ht="60" customHeight="1" x14ac:dyDescent="0.25">
      <c r="A25" s="90" t="s">
        <v>130</v>
      </c>
      <c r="B25" s="573" t="s">
        <v>131</v>
      </c>
      <c r="C25" s="574"/>
      <c r="D25" s="283"/>
      <c r="E25" s="29"/>
      <c r="G25" s="30"/>
      <c r="I25" s="29"/>
      <c r="J25" s="29"/>
    </row>
    <row r="26" spans="1:10" ht="36.6" customHeight="1" thickBot="1" x14ac:dyDescent="0.25">
      <c r="A26" s="79"/>
      <c r="B26" s="199" t="s">
        <v>181</v>
      </c>
      <c r="C26" s="649"/>
      <c r="D26" s="650"/>
      <c r="E26" s="29"/>
      <c r="G26" s="30"/>
      <c r="I26" s="29"/>
      <c r="J26" s="29"/>
    </row>
    <row r="27" spans="1:10" ht="36.6" customHeight="1" thickBot="1" x14ac:dyDescent="0.25">
      <c r="A27" s="80" t="s">
        <v>133</v>
      </c>
      <c r="B27" s="647" t="s">
        <v>182</v>
      </c>
      <c r="C27" s="648"/>
      <c r="D27" s="293"/>
      <c r="E27" s="29"/>
      <c r="G27" s="30"/>
      <c r="I27" s="29"/>
      <c r="J27" s="29"/>
    </row>
    <row r="28" spans="1:10" ht="60.6" customHeight="1" thickBot="1" x14ac:dyDescent="0.25">
      <c r="A28" s="80" t="s">
        <v>183</v>
      </c>
      <c r="B28" s="647" t="s">
        <v>184</v>
      </c>
      <c r="C28" s="648"/>
      <c r="D28" s="282" t="s">
        <v>6</v>
      </c>
      <c r="E28" s="29"/>
      <c r="G28" s="30"/>
      <c r="I28" s="29"/>
      <c r="J28" s="29"/>
    </row>
    <row r="29" spans="1:10" ht="54.6" customHeight="1" x14ac:dyDescent="0.25">
      <c r="A29" s="90" t="s">
        <v>185</v>
      </c>
      <c r="B29" s="573" t="s">
        <v>186</v>
      </c>
      <c r="C29" s="574"/>
      <c r="D29" s="294"/>
      <c r="E29" s="29"/>
      <c r="G29" s="30"/>
      <c r="I29" s="29"/>
      <c r="J29" s="29"/>
    </row>
    <row r="30" spans="1:10" ht="54.6" customHeight="1" thickBot="1" x14ac:dyDescent="0.25">
      <c r="A30" s="79"/>
      <c r="B30" s="199" t="s">
        <v>187</v>
      </c>
      <c r="C30" s="649"/>
      <c r="D30" s="650"/>
      <c r="E30" s="29"/>
      <c r="G30" s="30"/>
      <c r="I30" s="29"/>
      <c r="J30" s="29"/>
    </row>
    <row r="31" spans="1:10" ht="54.6" customHeight="1" x14ac:dyDescent="0.25">
      <c r="A31" s="90" t="s">
        <v>188</v>
      </c>
      <c r="B31" s="573" t="s">
        <v>189</v>
      </c>
      <c r="C31" s="574"/>
      <c r="D31" s="283"/>
      <c r="E31" s="29"/>
      <c r="G31" s="30"/>
      <c r="I31" s="29"/>
      <c r="J31" s="29"/>
    </row>
    <row r="32" spans="1:10" ht="54.6" customHeight="1" thickBot="1" x14ac:dyDescent="0.25">
      <c r="A32" s="79"/>
      <c r="B32" s="199" t="s">
        <v>190</v>
      </c>
      <c r="C32" s="649"/>
      <c r="D32" s="650"/>
      <c r="E32" s="29"/>
      <c r="G32" s="30"/>
      <c r="I32" s="29"/>
      <c r="J32" s="29"/>
    </row>
    <row r="33" spans="1:15" ht="54.6" customHeight="1" thickBot="1" x14ac:dyDescent="0.3">
      <c r="A33" s="90" t="s">
        <v>191</v>
      </c>
      <c r="B33" s="575" t="s">
        <v>134</v>
      </c>
      <c r="C33" s="576"/>
      <c r="D33" s="282" t="s">
        <v>6</v>
      </c>
      <c r="E33" s="29"/>
      <c r="G33" s="30"/>
      <c r="I33" s="29"/>
      <c r="J33" s="29"/>
    </row>
    <row r="34" spans="1:15" ht="54.6" customHeight="1" x14ac:dyDescent="0.2">
      <c r="A34" s="666" t="s">
        <v>192</v>
      </c>
      <c r="B34" s="583" t="s">
        <v>136</v>
      </c>
      <c r="C34" s="584"/>
      <c r="D34" s="300"/>
      <c r="E34" s="29"/>
      <c r="G34" s="30"/>
      <c r="I34" s="29"/>
      <c r="J34" s="29"/>
    </row>
    <row r="35" spans="1:15" ht="54.6" customHeight="1" thickBot="1" x14ac:dyDescent="0.25">
      <c r="A35" s="640"/>
      <c r="B35" s="199" t="s">
        <v>193</v>
      </c>
      <c r="C35" s="649"/>
      <c r="D35" s="650"/>
      <c r="E35" s="29"/>
      <c r="G35" s="30"/>
      <c r="I35" s="29"/>
      <c r="J35" s="29"/>
    </row>
    <row r="36" spans="1:15" ht="15" x14ac:dyDescent="0.25">
      <c r="A36" s="249" t="s">
        <v>194</v>
      </c>
      <c r="B36" s="248"/>
      <c r="C36" s="248"/>
      <c r="D36" s="98"/>
      <c r="E36" s="29"/>
      <c r="G36" s="30"/>
      <c r="I36" s="29"/>
      <c r="J36" s="29"/>
    </row>
    <row r="37" spans="1:15" ht="36" customHeight="1" thickBot="1" x14ac:dyDescent="0.3">
      <c r="A37" s="83" t="s">
        <v>223</v>
      </c>
      <c r="B37" s="651" t="s">
        <v>224</v>
      </c>
      <c r="C37" s="652"/>
      <c r="D37" s="295" t="s">
        <v>6</v>
      </c>
      <c r="E37" s="29"/>
      <c r="G37" s="30"/>
      <c r="I37" s="29"/>
      <c r="J37" s="29"/>
    </row>
    <row r="38" spans="1:15" ht="77.099999999999994" customHeight="1" x14ac:dyDescent="0.25">
      <c r="A38" s="90" t="s">
        <v>225</v>
      </c>
      <c r="B38" s="643" t="s">
        <v>2660</v>
      </c>
      <c r="C38" s="644"/>
      <c r="D38" s="301"/>
      <c r="E38" s="29"/>
      <c r="G38" s="30"/>
      <c r="I38" s="29"/>
      <c r="J38" s="29"/>
    </row>
    <row r="39" spans="1:15" ht="41.85" customHeight="1" thickBot="1" x14ac:dyDescent="0.25">
      <c r="A39" s="79"/>
      <c r="B39" s="228" t="s">
        <v>226</v>
      </c>
      <c r="C39" s="654"/>
      <c r="D39" s="655"/>
      <c r="E39" s="29"/>
      <c r="F39" s="34"/>
      <c r="G39" s="34"/>
      <c r="H39" s="34"/>
      <c r="I39" s="29"/>
      <c r="J39" s="29"/>
    </row>
    <row r="40" spans="1:15" ht="41.85" customHeight="1" x14ac:dyDescent="0.25">
      <c r="A40" s="90" t="s">
        <v>227</v>
      </c>
      <c r="B40" s="656" t="s">
        <v>228</v>
      </c>
      <c r="C40" s="644"/>
      <c r="D40" s="301"/>
      <c r="E40" s="29"/>
      <c r="F40" s="34"/>
      <c r="G40" s="34"/>
      <c r="H40" s="34"/>
      <c r="I40" s="29"/>
      <c r="J40" s="29"/>
    </row>
    <row r="41" spans="1:15" ht="35.85" customHeight="1" x14ac:dyDescent="0.2">
      <c r="A41" s="100"/>
      <c r="B41" s="101" t="s">
        <v>229</v>
      </c>
      <c r="C41" s="657"/>
      <c r="D41" s="658"/>
      <c r="E41" s="29"/>
    </row>
    <row r="42" spans="1:15" ht="20.85" customHeight="1" thickBot="1" x14ac:dyDescent="0.3">
      <c r="A42" s="247" t="s">
        <v>138</v>
      </c>
      <c r="B42" s="248"/>
      <c r="C42" s="248"/>
      <c r="D42" s="98"/>
    </row>
    <row r="43" spans="1:15" ht="38.1" customHeight="1" thickBot="1" x14ac:dyDescent="0.25">
      <c r="A43" s="83" t="s">
        <v>212</v>
      </c>
      <c r="B43" s="621" t="s">
        <v>213</v>
      </c>
      <c r="C43" s="622"/>
      <c r="D43" s="284" t="s">
        <v>6</v>
      </c>
    </row>
    <row r="44" spans="1:15" ht="75.75" thickBot="1" x14ac:dyDescent="0.25">
      <c r="A44" s="83" t="s">
        <v>214</v>
      </c>
      <c r="B44" s="93" t="s">
        <v>230</v>
      </c>
      <c r="C44" s="627"/>
      <c r="D44" s="628"/>
    </row>
    <row r="45" spans="1:15" ht="35.85" customHeight="1" x14ac:dyDescent="0.25">
      <c r="A45" s="106" t="s">
        <v>216</v>
      </c>
      <c r="B45" s="629" t="s">
        <v>231</v>
      </c>
      <c r="C45" s="620"/>
      <c r="D45" s="214"/>
    </row>
    <row r="46" spans="1:15" ht="37.35" customHeight="1" thickBot="1" x14ac:dyDescent="0.3">
      <c r="A46" s="107"/>
      <c r="B46" s="93" t="s">
        <v>217</v>
      </c>
      <c r="C46" s="589"/>
      <c r="D46" s="590"/>
    </row>
    <row r="47" spans="1:15" s="35" customFormat="1" ht="37.35" customHeight="1" x14ac:dyDescent="0.25">
      <c r="A47" s="106" t="s">
        <v>218</v>
      </c>
      <c r="B47" s="278" t="s">
        <v>232</v>
      </c>
      <c r="C47" s="141"/>
      <c r="D47" s="215"/>
      <c r="E47" s="30"/>
      <c r="F47" s="30"/>
      <c r="G47" s="29"/>
      <c r="H47" s="30"/>
      <c r="I47" s="30"/>
      <c r="J47" s="30"/>
      <c r="K47" s="29"/>
      <c r="L47" s="29"/>
      <c r="M47" s="29"/>
      <c r="N47" s="29"/>
      <c r="O47" s="29"/>
    </row>
    <row r="48" spans="1:15" s="35" customFormat="1" ht="32.1" customHeight="1" thickBot="1" x14ac:dyDescent="0.3">
      <c r="A48" s="107"/>
      <c r="B48" s="93" t="s">
        <v>217</v>
      </c>
      <c r="C48" s="589"/>
      <c r="D48" s="590"/>
      <c r="E48" s="30"/>
      <c r="F48" s="30"/>
      <c r="G48" s="29"/>
      <c r="H48" s="30"/>
      <c r="I48" s="30"/>
      <c r="J48" s="30"/>
      <c r="K48" s="29"/>
      <c r="L48" s="29"/>
      <c r="M48" s="29"/>
      <c r="N48" s="29"/>
      <c r="O48" s="29"/>
    </row>
    <row r="49" spans="1:15" s="35" customFormat="1" ht="45" customHeight="1" x14ac:dyDescent="0.25">
      <c r="A49" s="106" t="s">
        <v>139</v>
      </c>
      <c r="B49" s="591" t="s">
        <v>140</v>
      </c>
      <c r="C49" s="588"/>
      <c r="D49" s="284" t="s">
        <v>6</v>
      </c>
      <c r="E49" s="30"/>
      <c r="F49" s="30"/>
      <c r="G49" s="29"/>
      <c r="H49" s="30"/>
      <c r="I49" s="30"/>
      <c r="J49" s="30"/>
      <c r="K49" s="29"/>
      <c r="L49" s="29"/>
      <c r="M49" s="29"/>
      <c r="N49" s="29"/>
      <c r="O49" s="29"/>
    </row>
    <row r="50" spans="1:15" s="35" customFormat="1" ht="32.1" customHeight="1" thickBot="1" x14ac:dyDescent="0.25">
      <c r="A50" s="105"/>
      <c r="B50" s="93" t="s">
        <v>141</v>
      </c>
      <c r="C50" s="589"/>
      <c r="D50" s="590"/>
      <c r="E50" s="30"/>
      <c r="F50" s="30"/>
      <c r="G50" s="29"/>
      <c r="H50" s="30"/>
      <c r="I50" s="30"/>
      <c r="J50" s="30"/>
      <c r="K50" s="29"/>
      <c r="L50" s="29"/>
      <c r="M50" s="29"/>
      <c r="N50" s="29"/>
      <c r="O50" s="29"/>
    </row>
    <row r="51" spans="1:15" s="35" customFormat="1" ht="59.45" customHeight="1" x14ac:dyDescent="0.25">
      <c r="A51" s="106" t="s">
        <v>142</v>
      </c>
      <c r="B51" s="591" t="s">
        <v>143</v>
      </c>
      <c r="C51" s="588"/>
      <c r="D51" s="284" t="s">
        <v>6</v>
      </c>
      <c r="E51" s="30"/>
      <c r="F51" s="30"/>
      <c r="G51" s="29"/>
      <c r="H51" s="30"/>
      <c r="I51" s="30"/>
      <c r="J51" s="30"/>
      <c r="K51" s="29"/>
      <c r="L51" s="29"/>
      <c r="M51" s="29"/>
      <c r="N51" s="29"/>
      <c r="O51" s="29"/>
    </row>
    <row r="52" spans="1:15" s="35" customFormat="1" ht="32.1" customHeight="1" thickBot="1" x14ac:dyDescent="0.25">
      <c r="A52" s="105"/>
      <c r="B52" s="93" t="s">
        <v>144</v>
      </c>
      <c r="C52" s="589"/>
      <c r="D52" s="590"/>
      <c r="E52" s="30"/>
      <c r="F52" s="30"/>
      <c r="G52" s="29"/>
      <c r="H52" s="30"/>
      <c r="I52" s="30"/>
      <c r="J52" s="30"/>
      <c r="K52" s="29"/>
      <c r="L52" s="29"/>
      <c r="M52" s="29"/>
      <c r="N52" s="29"/>
      <c r="O52" s="29"/>
    </row>
    <row r="53" spans="1:15" s="35" customFormat="1" ht="65.849999999999994" customHeight="1" x14ac:dyDescent="0.25">
      <c r="A53" s="106" t="s">
        <v>145</v>
      </c>
      <c r="B53" s="591" t="s">
        <v>146</v>
      </c>
      <c r="C53" s="588"/>
      <c r="D53" s="284" t="s">
        <v>6</v>
      </c>
      <c r="E53" s="30"/>
      <c r="F53" s="30"/>
      <c r="G53" s="29"/>
      <c r="H53" s="30"/>
      <c r="I53" s="30"/>
      <c r="J53" s="30"/>
      <c r="K53" s="29"/>
      <c r="L53" s="29"/>
      <c r="M53" s="29"/>
      <c r="N53" s="29"/>
      <c r="O53" s="29"/>
    </row>
    <row r="54" spans="1:15" s="35" customFormat="1" ht="32.1" customHeight="1" thickBot="1" x14ac:dyDescent="0.25">
      <c r="A54" s="105"/>
      <c r="B54" s="93" t="s">
        <v>147</v>
      </c>
      <c r="C54" s="589"/>
      <c r="D54" s="590"/>
      <c r="E54" s="30"/>
      <c r="F54" s="30"/>
      <c r="G54" s="29"/>
      <c r="H54" s="30"/>
      <c r="I54" s="30"/>
      <c r="J54" s="30"/>
      <c r="K54" s="29"/>
      <c r="L54" s="29"/>
      <c r="M54" s="29"/>
      <c r="N54" s="29"/>
      <c r="O54" s="29"/>
    </row>
    <row r="55" spans="1:15" s="35" customFormat="1" ht="46.5" customHeight="1" thickBot="1" x14ac:dyDescent="0.25">
      <c r="A55" s="273" t="s">
        <v>148</v>
      </c>
      <c r="B55" s="592" t="s">
        <v>233</v>
      </c>
      <c r="C55" s="653"/>
      <c r="D55" s="514" t="s">
        <v>6</v>
      </c>
      <c r="E55" s="30"/>
      <c r="F55" s="30"/>
      <c r="G55" s="29"/>
      <c r="H55" s="30"/>
      <c r="I55" s="30"/>
      <c r="J55" s="30"/>
      <c r="K55" s="29"/>
      <c r="L55" s="29"/>
      <c r="M55" s="29"/>
      <c r="N55" s="29"/>
      <c r="O55" s="29"/>
    </row>
    <row r="56" spans="1:15" s="35" customFormat="1" ht="15" x14ac:dyDescent="0.2">
      <c r="A56" s="224" t="s">
        <v>151</v>
      </c>
      <c r="B56" s="587" t="s">
        <v>152</v>
      </c>
      <c r="C56" s="588"/>
      <c r="D56" s="522">
        <f>COUNTIF(D57:D70,"Yes")</f>
        <v>0</v>
      </c>
      <c r="E56" s="30"/>
      <c r="F56" s="30"/>
      <c r="G56" s="29"/>
      <c r="H56" s="30"/>
      <c r="I56" s="30"/>
      <c r="J56" s="30"/>
      <c r="K56" s="29"/>
      <c r="L56" s="29"/>
      <c r="M56" s="29"/>
      <c r="N56" s="29"/>
      <c r="O56" s="29"/>
    </row>
    <row r="57" spans="1:15" s="35" customFormat="1" ht="15" x14ac:dyDescent="0.25">
      <c r="A57" s="225"/>
      <c r="B57" s="217"/>
      <c r="C57" s="219" t="s">
        <v>153</v>
      </c>
      <c r="D57" s="285" t="s">
        <v>6</v>
      </c>
      <c r="E57" s="30"/>
      <c r="F57" s="30"/>
      <c r="G57" s="29"/>
      <c r="H57" s="30"/>
      <c r="I57" s="30"/>
      <c r="J57" s="30"/>
      <c r="K57" s="29"/>
      <c r="L57" s="29"/>
      <c r="M57" s="29"/>
      <c r="N57" s="29"/>
      <c r="O57" s="29"/>
    </row>
    <row r="58" spans="1:15" s="35" customFormat="1" ht="15" x14ac:dyDescent="0.2">
      <c r="A58" s="225"/>
      <c r="B58" s="217"/>
      <c r="C58" s="218" t="s">
        <v>154</v>
      </c>
      <c r="D58" s="285" t="s">
        <v>6</v>
      </c>
      <c r="E58" s="30"/>
      <c r="F58" s="30"/>
      <c r="G58" s="29"/>
      <c r="H58" s="30"/>
      <c r="I58" s="30"/>
      <c r="J58" s="30"/>
      <c r="K58" s="29"/>
      <c r="L58" s="29"/>
      <c r="M58" s="29"/>
      <c r="N58" s="29"/>
      <c r="O58" s="29"/>
    </row>
    <row r="59" spans="1:15" s="35" customFormat="1" ht="15" x14ac:dyDescent="0.2">
      <c r="A59" s="225"/>
      <c r="B59" s="217"/>
      <c r="C59" s="218" t="s">
        <v>155</v>
      </c>
      <c r="D59" s="285" t="s">
        <v>6</v>
      </c>
      <c r="E59" s="30"/>
      <c r="F59" s="30"/>
      <c r="G59" s="29"/>
      <c r="H59" s="30"/>
      <c r="I59" s="30"/>
      <c r="J59" s="30"/>
      <c r="K59" s="29"/>
      <c r="L59" s="29"/>
      <c r="M59" s="29"/>
      <c r="N59" s="29"/>
      <c r="O59" s="29"/>
    </row>
    <row r="60" spans="1:15" s="35" customFormat="1" ht="15" x14ac:dyDescent="0.2">
      <c r="A60" s="225"/>
      <c r="B60" s="217"/>
      <c r="C60" s="218" t="s">
        <v>156</v>
      </c>
      <c r="D60" s="285" t="s">
        <v>6</v>
      </c>
      <c r="E60" s="30"/>
      <c r="F60" s="30"/>
      <c r="G60" s="29"/>
      <c r="H60" s="30"/>
      <c r="I60" s="30"/>
      <c r="J60" s="30"/>
      <c r="K60" s="29"/>
      <c r="L60" s="29"/>
      <c r="M60" s="29"/>
      <c r="N60" s="29"/>
      <c r="O60" s="29"/>
    </row>
    <row r="61" spans="1:15" s="35" customFormat="1" ht="15" x14ac:dyDescent="0.2">
      <c r="A61" s="225"/>
      <c r="B61" s="217"/>
      <c r="C61" s="218" t="s">
        <v>157</v>
      </c>
      <c r="D61" s="285" t="s">
        <v>6</v>
      </c>
      <c r="E61" s="30"/>
      <c r="F61" s="30"/>
      <c r="G61" s="29"/>
      <c r="H61" s="30"/>
      <c r="I61" s="30"/>
      <c r="J61" s="30"/>
      <c r="K61" s="29"/>
      <c r="L61" s="29"/>
      <c r="M61" s="29"/>
      <c r="N61" s="29"/>
      <c r="O61" s="29"/>
    </row>
    <row r="62" spans="1:15" s="35" customFormat="1" ht="15" x14ac:dyDescent="0.2">
      <c r="A62" s="225"/>
      <c r="B62" s="217"/>
      <c r="C62" s="218" t="s">
        <v>158</v>
      </c>
      <c r="D62" s="285" t="s">
        <v>6</v>
      </c>
      <c r="E62" s="30"/>
      <c r="F62" s="30"/>
      <c r="G62" s="29"/>
      <c r="H62" s="30"/>
      <c r="I62" s="30"/>
      <c r="J62" s="30"/>
      <c r="K62" s="29"/>
      <c r="L62" s="29"/>
      <c r="M62" s="29"/>
      <c r="N62" s="29"/>
      <c r="O62" s="29"/>
    </row>
    <row r="63" spans="1:15" s="35" customFormat="1" ht="15" x14ac:dyDescent="0.2">
      <c r="A63" s="225"/>
      <c r="B63" s="217"/>
      <c r="C63" s="218" t="s">
        <v>159</v>
      </c>
      <c r="D63" s="285" t="s">
        <v>6</v>
      </c>
      <c r="E63" s="30"/>
      <c r="F63" s="30"/>
      <c r="G63" s="29"/>
      <c r="H63" s="30"/>
      <c r="I63" s="30"/>
      <c r="J63" s="30"/>
      <c r="K63" s="29"/>
      <c r="L63" s="29"/>
      <c r="M63" s="29"/>
      <c r="N63" s="29"/>
      <c r="O63" s="29"/>
    </row>
    <row r="64" spans="1:15" s="35" customFormat="1" ht="15" x14ac:dyDescent="0.2">
      <c r="A64" s="225"/>
      <c r="B64" s="217"/>
      <c r="C64" s="218" t="s">
        <v>160</v>
      </c>
      <c r="D64" s="285" t="s">
        <v>6</v>
      </c>
      <c r="E64" s="30"/>
      <c r="F64" s="30"/>
      <c r="G64" s="29"/>
      <c r="H64" s="30"/>
      <c r="I64" s="30"/>
      <c r="J64" s="30"/>
      <c r="K64" s="29"/>
      <c r="L64" s="29"/>
      <c r="M64" s="29"/>
      <c r="N64" s="29"/>
      <c r="O64" s="29"/>
    </row>
    <row r="65" spans="1:15" s="35" customFormat="1" ht="15" x14ac:dyDescent="0.2">
      <c r="A65" s="225"/>
      <c r="B65" s="217"/>
      <c r="C65" s="220" t="s">
        <v>161</v>
      </c>
      <c r="D65" s="285" t="s">
        <v>6</v>
      </c>
      <c r="E65" s="30"/>
      <c r="F65" s="30"/>
      <c r="G65" s="29"/>
      <c r="H65" s="30"/>
      <c r="I65" s="30"/>
      <c r="J65" s="30"/>
      <c r="K65" s="29"/>
      <c r="L65" s="29"/>
      <c r="M65" s="29"/>
      <c r="N65" s="29"/>
      <c r="O65" s="29"/>
    </row>
    <row r="66" spans="1:15" s="35" customFormat="1" ht="15" x14ac:dyDescent="0.2">
      <c r="A66" s="225"/>
      <c r="B66" s="217"/>
      <c r="C66" s="218" t="s">
        <v>162</v>
      </c>
      <c r="D66" s="285" t="s">
        <v>6</v>
      </c>
      <c r="E66" s="30"/>
      <c r="F66" s="30"/>
      <c r="G66" s="29"/>
      <c r="H66" s="30"/>
      <c r="I66" s="30"/>
      <c r="J66" s="30"/>
      <c r="K66" s="29"/>
      <c r="L66" s="29"/>
      <c r="M66" s="29"/>
      <c r="N66" s="29"/>
      <c r="O66" s="29"/>
    </row>
    <row r="67" spans="1:15" s="35" customFormat="1" ht="15" x14ac:dyDescent="0.2">
      <c r="A67" s="225"/>
      <c r="B67" s="217"/>
      <c r="C67" s="218" t="s">
        <v>163</v>
      </c>
      <c r="D67" s="285" t="s">
        <v>6</v>
      </c>
      <c r="E67" s="30"/>
      <c r="F67" s="30"/>
      <c r="G67" s="29"/>
      <c r="H67" s="30"/>
      <c r="I67" s="30"/>
      <c r="J67" s="30"/>
      <c r="K67" s="29"/>
      <c r="L67" s="29"/>
      <c r="M67" s="29"/>
      <c r="N67" s="29"/>
      <c r="O67" s="29"/>
    </row>
    <row r="68" spans="1:15" s="35" customFormat="1" ht="15" x14ac:dyDescent="0.2">
      <c r="A68" s="225"/>
      <c r="B68" s="217"/>
      <c r="C68" s="218" t="s">
        <v>164</v>
      </c>
      <c r="D68" s="285" t="s">
        <v>6</v>
      </c>
      <c r="E68" s="30"/>
      <c r="F68" s="30"/>
      <c r="G68" s="29"/>
      <c r="H68" s="30"/>
      <c r="I68" s="30"/>
      <c r="J68" s="30"/>
      <c r="K68" s="29"/>
      <c r="L68" s="29"/>
      <c r="M68" s="29"/>
      <c r="N68" s="29"/>
      <c r="O68" s="29"/>
    </row>
    <row r="69" spans="1:15" s="35" customFormat="1" ht="15" x14ac:dyDescent="0.2">
      <c r="A69" s="225"/>
      <c r="B69" s="217"/>
      <c r="C69" s="218" t="s">
        <v>165</v>
      </c>
      <c r="D69" s="285" t="s">
        <v>6</v>
      </c>
      <c r="E69" s="30"/>
      <c r="F69" s="30"/>
      <c r="G69" s="29"/>
      <c r="H69" s="30"/>
      <c r="I69" s="30"/>
      <c r="J69" s="30"/>
      <c r="K69" s="29"/>
      <c r="L69" s="29"/>
      <c r="M69" s="29"/>
      <c r="N69" s="29"/>
      <c r="O69" s="29"/>
    </row>
    <row r="70" spans="1:15" s="35" customFormat="1" ht="15.75" thickBot="1" x14ac:dyDescent="0.25">
      <c r="A70" s="226"/>
      <c r="B70" s="221"/>
      <c r="C70" s="222" t="s">
        <v>166</v>
      </c>
      <c r="D70" s="286" t="s">
        <v>6</v>
      </c>
      <c r="E70" s="30"/>
      <c r="F70" s="30"/>
      <c r="G70" s="29"/>
      <c r="H70" s="30"/>
      <c r="I70" s="30"/>
      <c r="J70" s="30"/>
      <c r="K70" s="29"/>
      <c r="L70" s="29"/>
      <c r="M70" s="29"/>
      <c r="N70" s="29"/>
      <c r="O70" s="29"/>
    </row>
    <row r="71" spans="1:15" s="35" customFormat="1" x14ac:dyDescent="0.2">
      <c r="A71" s="29"/>
      <c r="B71" s="30"/>
      <c r="C71" s="30"/>
      <c r="E71" s="30"/>
      <c r="F71" s="30"/>
      <c r="G71" s="29"/>
      <c r="H71" s="30"/>
      <c r="I71" s="30"/>
      <c r="J71" s="30"/>
      <c r="K71" s="29"/>
      <c r="L71" s="29"/>
      <c r="M71" s="29"/>
      <c r="N71" s="29"/>
      <c r="O71" s="29"/>
    </row>
    <row r="72" spans="1:15" s="35" customFormat="1" ht="20.85" customHeight="1" x14ac:dyDescent="0.25">
      <c r="A72" s="595" t="s">
        <v>167</v>
      </c>
      <c r="B72" s="595"/>
      <c r="C72" s="595"/>
      <c r="D72" s="595"/>
      <c r="E72" s="30"/>
      <c r="F72" s="30"/>
      <c r="G72" s="29"/>
      <c r="H72" s="30"/>
      <c r="I72" s="30"/>
      <c r="J72" s="30"/>
      <c r="K72" s="29"/>
      <c r="L72" s="29"/>
      <c r="M72" s="29"/>
      <c r="N72" s="29"/>
      <c r="O72" s="29"/>
    </row>
    <row r="73" spans="1:15" s="35" customFormat="1" ht="20.85" customHeight="1" x14ac:dyDescent="0.25">
      <c r="A73" s="623" t="str">
        <f>HYPERLINK("#"&amp;"Scoring!$C$195","-&gt; Click Here to View Score")</f>
        <v>-&gt; Click Here to View Score</v>
      </c>
      <c r="B73" s="623"/>
      <c r="C73" s="623"/>
      <c r="D73" s="623"/>
      <c r="E73" s="30"/>
      <c r="F73" s="30"/>
      <c r="G73" s="29"/>
      <c r="H73" s="30"/>
      <c r="I73" s="30"/>
      <c r="J73" s="30"/>
      <c r="K73" s="29"/>
      <c r="L73" s="29"/>
      <c r="M73" s="29"/>
      <c r="N73" s="29"/>
      <c r="O73" s="29"/>
    </row>
    <row r="74" spans="1:15" s="35" customFormat="1" ht="20.85" customHeight="1" x14ac:dyDescent="0.25">
      <c r="A74" s="623" t="str">
        <f>HYPERLINK("#"&amp;"Instructions!$A$1","&lt;- Click Here to Return to Instructions")</f>
        <v>&lt;- Click Here to Return to Instructions</v>
      </c>
      <c r="B74" s="623"/>
      <c r="C74" s="623"/>
      <c r="D74" s="623"/>
      <c r="E74" s="30"/>
      <c r="F74" s="30"/>
      <c r="G74" s="29"/>
      <c r="H74" s="30"/>
      <c r="I74" s="30"/>
      <c r="J74" s="30"/>
      <c r="K74" s="29"/>
      <c r="L74" s="29"/>
      <c r="M74" s="29"/>
      <c r="N74" s="29"/>
      <c r="O74" s="29"/>
    </row>
    <row r="75" spans="1:15" s="35" customFormat="1" ht="20.85" customHeight="1" x14ac:dyDescent="0.25">
      <c r="A75" s="623" t="str">
        <f>HYPERLINK("#"&amp;"Applicant_Information!$A$1","&lt;- Click Here to Return to Applicant Information")</f>
        <v>&lt;- Click Here to Return to Applicant Information</v>
      </c>
      <c r="B75" s="623"/>
      <c r="C75" s="623"/>
      <c r="D75" s="623"/>
      <c r="E75" s="30"/>
      <c r="F75" s="30"/>
      <c r="G75" s="29"/>
      <c r="H75" s="30"/>
      <c r="I75" s="30"/>
      <c r="J75" s="30"/>
      <c r="K75" s="29"/>
      <c r="L75" s="29"/>
      <c r="M75" s="29"/>
      <c r="N75" s="29"/>
      <c r="O75" s="29"/>
    </row>
    <row r="76" spans="1:15" s="35" customFormat="1" ht="20.85" customHeight="1" x14ac:dyDescent="0.25">
      <c r="A76" s="623" t="str">
        <f>HYPERLINK("#"&amp;"Qualified_Property_List!$A$1","&lt;- Click Here to Return to Qualified Property List")</f>
        <v>&lt;- Click Here to Return to Qualified Property List</v>
      </c>
      <c r="B76" s="623"/>
      <c r="C76" s="623"/>
      <c r="D76" s="623"/>
      <c r="E76" s="30"/>
      <c r="F76" s="30"/>
      <c r="G76" s="29"/>
      <c r="H76" s="30"/>
      <c r="I76" s="30"/>
      <c r="J76" s="30"/>
      <c r="K76" s="29"/>
      <c r="L76" s="29"/>
      <c r="M76" s="29"/>
      <c r="N76" s="29"/>
      <c r="O76" s="29"/>
    </row>
    <row r="80" spans="1:15" ht="21" customHeight="1" x14ac:dyDescent="0.2"/>
    <row r="81" ht="21" customHeight="1" x14ac:dyDescent="0.2"/>
    <row r="82" ht="21" customHeight="1" x14ac:dyDescent="0.2"/>
    <row r="83" ht="21" customHeight="1" x14ac:dyDescent="0.2"/>
    <row r="84" ht="21" customHeight="1" x14ac:dyDescent="0.2"/>
  </sheetData>
  <sheetProtection algorithmName="SHA-512" hashValue="ioIA6Y+L+PY2dWHusSPfXX/ArQOqJXomKjALTGUaJSygZdEacNn1qLL9sUwlaVzdTcAQEAy+gJfP3/Ayzhv+cA==" saltValue="RT9hwYZBiwhRI7/ftw+1vg==" spinCount="100000" sheet="1" formatCells="0" formatColumns="0" formatRows="0"/>
  <mergeCells count="56">
    <mergeCell ref="A34:A35"/>
    <mergeCell ref="B15:C15"/>
    <mergeCell ref="C16:D16"/>
    <mergeCell ref="B17:C17"/>
    <mergeCell ref="B19:C19"/>
    <mergeCell ref="B21:C21"/>
    <mergeCell ref="C18:D18"/>
    <mergeCell ref="C20:D20"/>
    <mergeCell ref="B25:C25"/>
    <mergeCell ref="B27:C27"/>
    <mergeCell ref="B28:C28"/>
    <mergeCell ref="B29:C29"/>
    <mergeCell ref="B31:C31"/>
    <mergeCell ref="A3:D3"/>
    <mergeCell ref="B5:C5"/>
    <mergeCell ref="B7:C7"/>
    <mergeCell ref="B11:C11"/>
    <mergeCell ref="B14:C14"/>
    <mergeCell ref="C6:D6"/>
    <mergeCell ref="C8:D8"/>
    <mergeCell ref="C12:D12"/>
    <mergeCell ref="B9:C9"/>
    <mergeCell ref="C10:D10"/>
    <mergeCell ref="A9:A10"/>
    <mergeCell ref="B37:C37"/>
    <mergeCell ref="B23:C23"/>
    <mergeCell ref="A72:D72"/>
    <mergeCell ref="A73:D73"/>
    <mergeCell ref="A74:D74"/>
    <mergeCell ref="C52:D52"/>
    <mergeCell ref="B53:C53"/>
    <mergeCell ref="B55:C55"/>
    <mergeCell ref="B45:C45"/>
    <mergeCell ref="C46:D46"/>
    <mergeCell ref="C48:D48"/>
    <mergeCell ref="B38:C38"/>
    <mergeCell ref="C39:D39"/>
    <mergeCell ref="B40:C40"/>
    <mergeCell ref="C41:D41"/>
    <mergeCell ref="C44:D44"/>
    <mergeCell ref="A75:D75"/>
    <mergeCell ref="A76:D76"/>
    <mergeCell ref="B43:C43"/>
    <mergeCell ref="C22:D22"/>
    <mergeCell ref="C24:D24"/>
    <mergeCell ref="C26:D26"/>
    <mergeCell ref="C30:D30"/>
    <mergeCell ref="C32:D32"/>
    <mergeCell ref="B33:C33"/>
    <mergeCell ref="B34:C34"/>
    <mergeCell ref="C35:D35"/>
    <mergeCell ref="B56:C56"/>
    <mergeCell ref="C54:D54"/>
    <mergeCell ref="B49:C49"/>
    <mergeCell ref="C50:D50"/>
    <mergeCell ref="B51:C51"/>
  </mergeCells>
  <conditionalFormatting sqref="A33:A34">
    <cfRule type="expression" dxfId="33" priority="7">
      <formula>($D$28="No")</formula>
    </cfRule>
  </conditionalFormatting>
  <conditionalFormatting sqref="A29:D32">
    <cfRule type="expression" dxfId="31" priority="29">
      <formula>($D$28="No")</formula>
    </cfRule>
  </conditionalFormatting>
  <conditionalFormatting sqref="A44:D48">
    <cfRule type="expression" dxfId="30" priority="15">
      <formula>$D$43&lt;&gt;"yes"</formula>
    </cfRule>
  </conditionalFormatting>
  <conditionalFormatting sqref="B34:D35">
    <cfRule type="expression" dxfId="19" priority="9">
      <formula>($D$33="No")</formula>
    </cfRule>
  </conditionalFormatting>
  <dataValidations count="6">
    <dataValidation type="list" allowBlank="1" showInputMessage="1" showErrorMessage="1" sqref="C38 D28 D43 D49 D51 D53 D57:D70 D33" xr:uid="{00000000-0002-0000-0500-000000000000}">
      <formula1>yes_no</formula1>
    </dataValidation>
    <dataValidation type="list" allowBlank="1" showInputMessage="1" showErrorMessage="1" sqref="D37" xr:uid="{00000000-0002-0000-0500-000001000000}">
      <formula1>Energy_type_b</formula1>
    </dataValidation>
    <dataValidation allowBlank="1" showInputMessage="1" showErrorMessage="1" promptTitle="Note:" prompt="An annual Full-Time Equivalent (FTE) employee equals 1 if there is 1 full time position for 12 months, or 2 half-time positions for 12 months, or 4 full-time positions for 3 months, etc." sqref="D7:D9" xr:uid="{00000000-0002-0000-0500-000002000000}"/>
    <dataValidation allowBlank="1" showInputMessage="1" showErrorMessage="1" promptTitle="Multiple Qualified Products" prompt="If your Facility produces multiple Qualified Products (e.g. units of different sizes or capacities), base the calculations on the average value across all relevant products." sqref="D15" xr:uid="{00000000-0002-0000-0500-000003000000}"/>
    <dataValidation type="decimal" allowBlank="1" showInputMessage="1" showErrorMessage="1" error="Please enter a value between 0% and 100%. " sqref="D34" xr:uid="{00000000-0002-0000-0500-000004000000}">
      <formula1>0</formula1>
      <formula2>1</formula2>
    </dataValidation>
    <dataValidation type="list" allowBlank="1" showInputMessage="1" showErrorMessage="1" sqref="D55" xr:uid="{04C528C3-2DB4-4FDA-8D2D-29DB8B04C56C}">
      <formula1>Emerging_Strategic_Industry</formula1>
    </dataValidation>
  </dataValidations>
  <pageMargins left="0.7" right="0.7" top="0.75" bottom="0.75" header="0.3" footer="0"/>
  <pageSetup fitToHeight="2" orientation="portrait"/>
  <headerFooter alignWithMargins="0">
    <oddHeader>&amp;L&amp;20&amp;UEnergy Efficiency</oddHeader>
  </headerFooter>
  <drawing r:id="rId1"/>
  <extLst>
    <ext xmlns:x14="http://schemas.microsoft.com/office/spreadsheetml/2009/9/main" uri="{78C0D931-6437-407d-A8EE-F0AAD7539E65}">
      <x14:conditionalFormattings>
        <x14:conditionalFormatting xmlns:xm="http://schemas.microsoft.com/office/excel/2006/main">
          <x14:cfRule type="expression" priority="8" id="{366002B2-5851-4A7C-AE91-B05666C44AC6}">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A5:A34</xm:sqref>
        </x14:conditionalFormatting>
        <x14:conditionalFormatting xmlns:xm="http://schemas.microsoft.com/office/excel/2006/main">
          <x14:cfRule type="expression" priority="30" id="{0984ADD5-BA04-44C6-8DDF-C7E23426F50B}">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A4:D34 B35:D35 A36:D54 A55:B55 D55 A56:D70</xm:sqref>
        </x14:conditionalFormatting>
        <x14:conditionalFormatting xmlns:xm="http://schemas.microsoft.com/office/excel/2006/main">
          <x14:cfRule type="expression" priority="14" id="{9942D736-3CC0-49B7-9F03-DFA41ADCF629}">
            <xm:f>Applicant_Information!$B$8&lt;&gt;"Energy_Efficiency"</xm:f>
            <x14:dxf>
              <font>
                <color theme="0" tint="-0.24994659260841701"/>
              </font>
              <fill>
                <patternFill patternType="mediumGray">
                  <fgColor theme="4" tint="0.59996337778862885"/>
                </patternFill>
              </fill>
            </x14:dxf>
          </x14:cfRule>
          <xm:sqref>A49:D54 A55:B55 D55</xm:sqref>
        </x14:conditionalFormatting>
        <x14:conditionalFormatting xmlns:xm="http://schemas.microsoft.com/office/excel/2006/main">
          <x14:cfRule type="expression" priority="23" id="{3B902CFF-161A-4B35-B025-E1D387454CEE}">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B18</xm:sqref>
        </x14:conditionalFormatting>
        <x14:conditionalFormatting xmlns:xm="http://schemas.microsoft.com/office/excel/2006/main">
          <x14:cfRule type="expression" priority="22" id="{7F338460-1900-458D-A3CB-D96C17943364}">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B20</xm:sqref>
        </x14:conditionalFormatting>
        <x14:conditionalFormatting xmlns:xm="http://schemas.microsoft.com/office/excel/2006/main">
          <x14:cfRule type="expression" priority="21" id="{9D3B59EF-76DA-42F7-995E-F792BE03AEFF}">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B22</xm:sqref>
        </x14:conditionalFormatting>
        <x14:conditionalFormatting xmlns:xm="http://schemas.microsoft.com/office/excel/2006/main">
          <x14:cfRule type="expression" priority="20" id="{08FA1A1D-09AD-4D7F-A3EC-5BD2654A49CE}">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B24</xm:sqref>
        </x14:conditionalFormatting>
        <x14:conditionalFormatting xmlns:xm="http://schemas.microsoft.com/office/excel/2006/main">
          <x14:cfRule type="expression" priority="19" id="{F03321A5-F440-47C1-9AFB-8D5CD5B13FC2}">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B26</xm:sqref>
        </x14:conditionalFormatting>
        <x14:conditionalFormatting xmlns:xm="http://schemas.microsoft.com/office/excel/2006/main">
          <x14:cfRule type="expression" priority="18" id="{7BDFDC68-B238-4ADA-9556-D185C0F91B04}">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B30</xm:sqref>
        </x14:conditionalFormatting>
        <x14:conditionalFormatting xmlns:xm="http://schemas.microsoft.com/office/excel/2006/main">
          <x14:cfRule type="expression" priority="17" id="{43F8F382-76A6-4FE9-BBE4-9D9115A06B98}">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B32</xm:sqref>
        </x14:conditionalFormatting>
        <x14:conditionalFormatting xmlns:xm="http://schemas.microsoft.com/office/excel/2006/main">
          <x14:cfRule type="expression" priority="28" id="{3FD8472B-FDDB-4F92-B1C6-85F0F3069FBC}">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B8:C8</xm:sqref>
        </x14:conditionalFormatting>
        <x14:conditionalFormatting xmlns:xm="http://schemas.microsoft.com/office/excel/2006/main">
          <x14:cfRule type="expression" priority="24" id="{6419DB20-3B54-4E01-98ED-CF3FE266B242}">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B12:C12</xm:sqref>
        </x14:conditionalFormatting>
        <x14:conditionalFormatting xmlns:xm="http://schemas.microsoft.com/office/excel/2006/main">
          <x14:cfRule type="expression" priority="6" id="{845FB847-BC2B-49C8-B64E-70D2235BF0F7}">
            <xm:f>OR(Applicant_Information!$B$8="BioFuels",Applicant_Information!$B$8="Alternative_Energy",Applicant_Information!$B$8="Advanced_Transportation",Applicant_Information!$B$8="Advanced_Manufacturing",Applicant_Information!$B$8="Other_Application_Types",Applicant_Information!$B$8="Recycling",Applicant_Information!$B$8="SELECT FROM DROPDOWN")</xm:f>
            <x14:dxf>
              <font>
                <color theme="0" tint="-0.24994659260841701"/>
              </font>
              <fill>
                <patternFill patternType="mediumGray">
                  <fgColor theme="4" tint="0.59996337778862885"/>
                </patternFill>
              </fill>
            </x14:dxf>
          </x14:cfRule>
          <xm:sqref>D33</xm:sqref>
        </x14:conditionalFormatting>
        <x14:conditionalFormatting xmlns:xm="http://schemas.microsoft.com/office/excel/2006/main">
          <x14:cfRule type="expression" priority="1" id="{AEB15727-831C-42C7-B50B-860C7ACB07C6}">
            <xm:f>Applicant_Information!$B$8&lt;&gt;"Energy_Efficiency"</xm:f>
            <x14:dxf>
              <font>
                <color theme="0" tint="-0.24994659260841701"/>
              </font>
              <fill>
                <patternFill patternType="mediumGray">
                  <fgColor theme="4" tint="0.59996337778862885"/>
                </patternFill>
              </fill>
            </x14:dxf>
          </x14:cfRule>
          <xm:sqref>D43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autoPageBreaks="0" fitToPage="1"/>
  </sheetPr>
  <dimension ref="A1:O82"/>
  <sheetViews>
    <sheetView showGridLines="0" zoomScaleNormal="100" zoomScalePageLayoutView="75" workbookViewId="0">
      <selection activeCell="D56" sqref="D56"/>
    </sheetView>
  </sheetViews>
  <sheetFormatPr defaultColWidth="9.140625" defaultRowHeight="12.75" x14ac:dyDescent="0.2"/>
  <cols>
    <col min="1" max="1" width="5.140625" style="29" customWidth="1"/>
    <col min="2" max="2" width="76.42578125" style="30" customWidth="1"/>
    <col min="3" max="3" width="42.5703125" style="30" customWidth="1"/>
    <col min="4" max="4" width="36.140625" style="35" customWidth="1"/>
    <col min="5" max="5" width="77.42578125" style="30" customWidth="1"/>
    <col min="6" max="6" width="15.42578125" style="30" customWidth="1"/>
    <col min="7" max="7" width="9.140625" style="29"/>
    <col min="8" max="10" width="15.42578125" style="30" customWidth="1"/>
    <col min="11" max="16384" width="9.140625" style="29"/>
  </cols>
  <sheetData>
    <row r="1" spans="1:10" ht="36.75" customHeight="1" x14ac:dyDescent="0.2">
      <c r="B1" s="29"/>
      <c r="C1" s="46"/>
      <c r="D1" s="521" t="s">
        <v>234</v>
      </c>
    </row>
    <row r="2" spans="1:10" ht="27" customHeight="1" thickBot="1" x14ac:dyDescent="0.4">
      <c r="A2" s="549" t="str">
        <f>IF(Applicant_Information!B8=D1,"",IF(Applicant_Information!B8="BioFuels",(HYPERLINK("#"&amp;"BioFuels!A1","-&gt; THIS PAGE FOR "&amp; D1 &amp;" APPLICANTS ONLY -&gt; Go to "&amp;Applicant_Information!B8&amp;" Section")),
IF(Applicant_Information!B8="Energy_Efficiency",(HYPERLINK("#"&amp;"Energy_Efficiency!A1","-&gt; THIS PAGE FOR "&amp; D1&amp;" APPLICANTS ONLY -&gt; Go to "&amp;Applicant_Information!B8&amp;" Section")),
IF(Applicant_Information!B8="Alternative_Energy",(HYPERLINK("#"&amp;"Alternative_Energy!A1","-&gt; THIS PAGE FOR "&amp; D1 &amp;" APPLICANTS ONLY -&gt; Go to "&amp;Applicant_Information!B8&amp;" Section")),
IF(Applicant_Information!B8="Advanced_Manufacturing",(HYPERLINK("#"&amp;"Advanced_Manufacturing!A1","-&gt; THIS PAGE FOR "&amp; D1 &amp;" APPLICANTS ONLY -&gt; Go to "&amp;Applicant_Information!B8&amp;" Section")),
IF(Applicant_Information!B8="Recycling",(HYPERLINK("#"&amp;"Recycling!A1","-&gt; THIS PAGE FOR "&amp; D1 &amp;" APPLICANTS ONLY -&gt; Go to "&amp;Applicant_Information!B8&amp;" Section")),
IF(Applicant_Information!B8="SELECT FROM DROPDOWN",(HYPERLINK("#"&amp;"Applicant_Information!A8","-&gt; THIS PAGE FOR "&amp; D1 &amp;" APPLICANTS ONLY -&gt; Go to "&amp;Applicant_Information!B8&amp;" Section")),
(HYPERLINK("#"&amp;"Other_Application_Types!A1","-&gt; THIS PAGE FOR "&amp; D1&amp;" APPLICANTS ONLY -&gt; Go to "&amp;Applicant_Information!B8&amp;" Section")))))))))</f>
        <v>-&gt; THIS PAGE FOR ADVANCED_TRANSPORTATION APPLICANTS ONLY -&gt; Go to SELECT FROM DROPDOWN Section</v>
      </c>
      <c r="B2" s="549"/>
      <c r="C2" s="549"/>
      <c r="D2" s="549"/>
      <c r="E2" s="31"/>
    </row>
    <row r="3" spans="1:10" ht="43.35" customHeight="1" x14ac:dyDescent="0.2">
      <c r="A3" s="659" t="s">
        <v>220</v>
      </c>
      <c r="B3" s="660"/>
      <c r="C3" s="660"/>
      <c r="D3" s="661"/>
      <c r="E3" s="31"/>
    </row>
    <row r="4" spans="1:10" ht="20.85" customHeight="1" x14ac:dyDescent="0.25">
      <c r="A4" s="242" t="s">
        <v>95</v>
      </c>
      <c r="B4" s="243"/>
      <c r="C4" s="243"/>
      <c r="D4" s="96"/>
      <c r="E4" s="31"/>
    </row>
    <row r="5" spans="1:10" ht="62.85" customHeight="1" x14ac:dyDescent="0.25">
      <c r="A5" s="244" t="s">
        <v>96</v>
      </c>
      <c r="B5" s="643" t="s">
        <v>97</v>
      </c>
      <c r="C5" s="644"/>
      <c r="D5" s="287"/>
      <c r="E5" s="32"/>
      <c r="F5" s="33"/>
      <c r="H5" s="32"/>
      <c r="I5" s="32"/>
      <c r="J5" s="32"/>
    </row>
    <row r="6" spans="1:10" ht="51" customHeight="1" thickBot="1" x14ac:dyDescent="0.25">
      <c r="A6" s="200"/>
      <c r="B6" s="198" t="s">
        <v>98</v>
      </c>
      <c r="C6" s="645"/>
      <c r="D6" s="646"/>
      <c r="E6" s="29"/>
      <c r="F6" s="29"/>
      <c r="H6" s="29"/>
      <c r="I6" s="29"/>
      <c r="J6" s="29"/>
    </row>
    <row r="7" spans="1:10" ht="77.849999999999994" customHeight="1" x14ac:dyDescent="0.25">
      <c r="A7" s="244" t="s">
        <v>99</v>
      </c>
      <c r="B7" s="598" t="s">
        <v>100</v>
      </c>
      <c r="C7" s="599"/>
      <c r="D7" s="288"/>
      <c r="E7" s="29"/>
      <c r="F7" s="29"/>
      <c r="H7" s="29"/>
      <c r="I7" s="29"/>
      <c r="J7" s="29"/>
    </row>
    <row r="8" spans="1:10" ht="77.849999999999994" customHeight="1" thickBot="1" x14ac:dyDescent="0.25">
      <c r="A8" s="200"/>
      <c r="B8" s="201" t="s">
        <v>170</v>
      </c>
      <c r="C8" s="677"/>
      <c r="D8" s="678"/>
      <c r="E8" s="29"/>
      <c r="F8" s="29"/>
      <c r="H8" s="29"/>
      <c r="I8" s="29"/>
      <c r="J8" s="29"/>
    </row>
    <row r="9" spans="1:10" ht="77.849999999999994" customHeight="1" x14ac:dyDescent="0.2">
      <c r="A9" s="675" t="s">
        <v>102</v>
      </c>
      <c r="B9" s="633" t="s">
        <v>171</v>
      </c>
      <c r="C9" s="674"/>
      <c r="D9" s="297"/>
      <c r="E9" s="29"/>
      <c r="F9" s="29"/>
      <c r="H9" s="29"/>
      <c r="I9" s="29"/>
      <c r="J9" s="29"/>
    </row>
    <row r="10" spans="1:10" ht="77.849999999999994" customHeight="1" thickBot="1" x14ac:dyDescent="0.25">
      <c r="A10" s="676"/>
      <c r="B10" s="201" t="s">
        <v>172</v>
      </c>
      <c r="C10" s="681"/>
      <c r="D10" s="682"/>
      <c r="E10" s="29"/>
      <c r="F10" s="29"/>
      <c r="H10" s="29"/>
      <c r="I10" s="29"/>
      <c r="J10" s="29"/>
    </row>
    <row r="11" spans="1:10" ht="81" customHeight="1" thickBot="1" x14ac:dyDescent="0.3">
      <c r="A11" s="231" t="s">
        <v>105</v>
      </c>
      <c r="B11" s="672" t="s">
        <v>106</v>
      </c>
      <c r="C11" s="673"/>
      <c r="D11" s="289"/>
      <c r="E11" s="29"/>
      <c r="F11" s="29"/>
      <c r="H11" s="29"/>
      <c r="I11" s="29"/>
      <c r="J11" s="29"/>
    </row>
    <row r="12" spans="1:10" ht="81" customHeight="1" thickBot="1" x14ac:dyDescent="0.25">
      <c r="A12" s="200"/>
      <c r="B12" s="201" t="s">
        <v>173</v>
      </c>
      <c r="C12" s="677"/>
      <c r="D12" s="678"/>
      <c r="E12" s="29"/>
      <c r="F12" s="29"/>
      <c r="H12" s="29"/>
      <c r="I12" s="29"/>
      <c r="J12" s="29"/>
    </row>
    <row r="13" spans="1:10" ht="19.350000000000001" customHeight="1" x14ac:dyDescent="0.2">
      <c r="A13" s="245" t="s">
        <v>174</v>
      </c>
      <c r="B13" s="246"/>
      <c r="C13" s="246"/>
      <c r="D13" s="97"/>
      <c r="E13" s="29"/>
      <c r="F13" s="29"/>
      <c r="H13" s="29"/>
      <c r="I13" s="29"/>
      <c r="J13" s="29"/>
    </row>
    <row r="14" spans="1:10" ht="39" customHeight="1" thickBot="1" x14ac:dyDescent="0.25">
      <c r="A14" s="81" t="s">
        <v>109</v>
      </c>
      <c r="B14" s="611" t="s">
        <v>110</v>
      </c>
      <c r="C14" s="612"/>
      <c r="D14" s="298"/>
      <c r="E14" s="29"/>
      <c r="F14" s="29"/>
      <c r="H14" s="29"/>
      <c r="I14" s="29"/>
      <c r="J14" s="29"/>
    </row>
    <row r="15" spans="1:10" ht="87.6" customHeight="1" x14ac:dyDescent="0.25">
      <c r="A15" s="90" t="s">
        <v>115</v>
      </c>
      <c r="B15" s="613" t="s">
        <v>175</v>
      </c>
      <c r="C15" s="614"/>
      <c r="D15" s="291"/>
      <c r="E15" s="29"/>
      <c r="F15" s="29"/>
      <c r="H15" s="29"/>
      <c r="I15" s="29"/>
      <c r="J15" s="29"/>
    </row>
    <row r="16" spans="1:10" ht="69.75" customHeight="1" thickBot="1" x14ac:dyDescent="0.25">
      <c r="A16" s="79"/>
      <c r="B16" s="158" t="s">
        <v>235</v>
      </c>
      <c r="C16" s="683"/>
      <c r="D16" s="684"/>
      <c r="E16" s="29"/>
      <c r="F16" s="29"/>
      <c r="H16" s="29"/>
      <c r="I16" s="29"/>
      <c r="J16" s="29"/>
    </row>
    <row r="17" spans="1:10" ht="41.85" customHeight="1" x14ac:dyDescent="0.25">
      <c r="A17" s="244" t="s">
        <v>118</v>
      </c>
      <c r="B17" s="667" t="s">
        <v>119</v>
      </c>
      <c r="C17" s="668"/>
      <c r="D17" s="299"/>
      <c r="E17" s="29"/>
      <c r="F17" s="29"/>
      <c r="H17" s="29"/>
      <c r="I17" s="29"/>
      <c r="J17" s="29"/>
    </row>
    <row r="18" spans="1:10" ht="56.25" customHeight="1" thickBot="1" x14ac:dyDescent="0.25">
      <c r="A18" s="200"/>
      <c r="B18" s="202" t="s">
        <v>177</v>
      </c>
      <c r="C18" s="679"/>
      <c r="D18" s="680"/>
      <c r="E18" s="29"/>
      <c r="F18" s="29"/>
      <c r="H18" s="29"/>
      <c r="I18" s="29"/>
      <c r="J18" s="29"/>
    </row>
    <row r="19" spans="1:10" ht="74.099999999999994" customHeight="1" x14ac:dyDescent="0.25">
      <c r="A19" s="244" t="s">
        <v>121</v>
      </c>
      <c r="B19" s="573" t="s">
        <v>122</v>
      </c>
      <c r="C19" s="574"/>
      <c r="D19" s="299"/>
      <c r="E19" s="29"/>
      <c r="F19" s="29"/>
      <c r="H19" s="29"/>
      <c r="I19" s="29"/>
      <c r="J19" s="29"/>
    </row>
    <row r="20" spans="1:10" ht="64.5" customHeight="1" thickBot="1" x14ac:dyDescent="0.25">
      <c r="A20" s="200"/>
      <c r="B20" s="201" t="s">
        <v>178</v>
      </c>
      <c r="C20" s="679"/>
      <c r="D20" s="680"/>
      <c r="E20" s="29"/>
      <c r="F20" s="29"/>
      <c r="H20" s="29"/>
      <c r="I20" s="29"/>
      <c r="J20" s="29"/>
    </row>
    <row r="21" spans="1:10" ht="41.1" customHeight="1" x14ac:dyDescent="0.25">
      <c r="A21" s="244" t="s">
        <v>124</v>
      </c>
      <c r="B21" s="667" t="s">
        <v>125</v>
      </c>
      <c r="C21" s="668"/>
      <c r="D21" s="302"/>
      <c r="E21" s="29"/>
      <c r="F21" s="29"/>
      <c r="H21" s="29"/>
      <c r="I21" s="29"/>
      <c r="J21" s="29"/>
    </row>
    <row r="22" spans="1:10" ht="45.75" customHeight="1" thickBot="1" x14ac:dyDescent="0.25">
      <c r="A22" s="200"/>
      <c r="B22" s="202" t="s">
        <v>179</v>
      </c>
      <c r="C22" s="679"/>
      <c r="D22" s="680"/>
      <c r="E22" s="29"/>
      <c r="F22" s="29"/>
      <c r="H22" s="29"/>
      <c r="I22" s="29"/>
      <c r="J22" s="29"/>
    </row>
    <row r="23" spans="1:10" s="30" customFormat="1" ht="50.1" customHeight="1" x14ac:dyDescent="0.25">
      <c r="A23" s="244" t="s">
        <v>127</v>
      </c>
      <c r="B23" s="573" t="s">
        <v>128</v>
      </c>
      <c r="C23" s="668"/>
      <c r="D23" s="299"/>
    </row>
    <row r="24" spans="1:10" s="30" customFormat="1" ht="50.1" customHeight="1" thickBot="1" x14ac:dyDescent="0.25">
      <c r="A24" s="200"/>
      <c r="B24" s="201" t="s">
        <v>180</v>
      </c>
      <c r="C24" s="679"/>
      <c r="D24" s="680"/>
    </row>
    <row r="25" spans="1:10" ht="39" customHeight="1" x14ac:dyDescent="0.25">
      <c r="A25" s="244" t="s">
        <v>130</v>
      </c>
      <c r="B25" s="573" t="s">
        <v>131</v>
      </c>
      <c r="C25" s="574"/>
      <c r="D25" s="302"/>
      <c r="E25" s="29"/>
      <c r="F25" s="29"/>
      <c r="H25" s="29"/>
      <c r="I25" s="29"/>
      <c r="J25" s="29"/>
    </row>
    <row r="26" spans="1:10" ht="45" customHeight="1" thickBot="1" x14ac:dyDescent="0.25">
      <c r="A26" s="200"/>
      <c r="B26" s="201" t="s">
        <v>181</v>
      </c>
      <c r="C26" s="585"/>
      <c r="D26" s="680"/>
      <c r="E26" s="29"/>
      <c r="F26" s="29"/>
      <c r="H26" s="29"/>
      <c r="I26" s="29"/>
      <c r="J26" s="29"/>
    </row>
    <row r="27" spans="1:10" ht="39.6" customHeight="1" thickBot="1" x14ac:dyDescent="0.25">
      <c r="A27" s="80" t="s">
        <v>133</v>
      </c>
      <c r="B27" s="647" t="s">
        <v>182</v>
      </c>
      <c r="C27" s="648"/>
      <c r="D27" s="293"/>
      <c r="E27" s="29"/>
      <c r="F27" s="29"/>
      <c r="H27" s="29"/>
      <c r="I27" s="29"/>
      <c r="J27" s="29"/>
    </row>
    <row r="28" spans="1:10" ht="58.35" customHeight="1" thickBot="1" x14ac:dyDescent="0.25">
      <c r="A28" s="80" t="s">
        <v>183</v>
      </c>
      <c r="B28" s="647" t="s">
        <v>184</v>
      </c>
      <c r="C28" s="648"/>
      <c r="D28" s="282" t="s">
        <v>6</v>
      </c>
      <c r="E28" s="29"/>
      <c r="F28" s="29"/>
      <c r="H28" s="29"/>
      <c r="I28" s="29"/>
      <c r="J28" s="29"/>
    </row>
    <row r="29" spans="1:10" ht="53.85" customHeight="1" x14ac:dyDescent="0.25">
      <c r="A29" s="244" t="s">
        <v>185</v>
      </c>
      <c r="B29" s="667" t="s">
        <v>186</v>
      </c>
      <c r="C29" s="668"/>
      <c r="D29" s="303"/>
      <c r="E29" s="29"/>
      <c r="F29" s="29"/>
      <c r="H29" s="29"/>
      <c r="I29" s="29"/>
      <c r="J29" s="29"/>
    </row>
    <row r="30" spans="1:10" ht="53.85" customHeight="1" thickBot="1" x14ac:dyDescent="0.25">
      <c r="A30" s="200"/>
      <c r="B30" s="202" t="s">
        <v>187</v>
      </c>
      <c r="C30" s="679"/>
      <c r="D30" s="680"/>
      <c r="E30" s="29"/>
      <c r="F30" s="29"/>
      <c r="H30" s="29"/>
      <c r="I30" s="29"/>
      <c r="J30" s="29"/>
    </row>
    <row r="31" spans="1:10" ht="43.35" customHeight="1" x14ac:dyDescent="0.25">
      <c r="A31" s="244" t="s">
        <v>188</v>
      </c>
      <c r="B31" s="686" t="s">
        <v>189</v>
      </c>
      <c r="C31" s="668"/>
      <c r="D31" s="302"/>
      <c r="E31" s="29"/>
      <c r="F31" s="29"/>
      <c r="H31" s="29"/>
      <c r="I31" s="29"/>
      <c r="J31" s="29"/>
    </row>
    <row r="32" spans="1:10" ht="43.35" customHeight="1" thickBot="1" x14ac:dyDescent="0.25">
      <c r="A32" s="200"/>
      <c r="B32" s="202" t="s">
        <v>190</v>
      </c>
      <c r="C32" s="679"/>
      <c r="D32" s="680"/>
      <c r="E32" s="29"/>
      <c r="F32" s="29"/>
      <c r="H32" s="29"/>
      <c r="I32" s="29"/>
      <c r="J32" s="29"/>
    </row>
    <row r="33" spans="1:15" ht="43.35" customHeight="1" thickBot="1" x14ac:dyDescent="0.3">
      <c r="A33" s="244" t="s">
        <v>191</v>
      </c>
      <c r="B33" s="575" t="s">
        <v>134</v>
      </c>
      <c r="C33" s="576"/>
      <c r="D33" s="282" t="s">
        <v>6</v>
      </c>
      <c r="E33" s="29"/>
      <c r="F33" s="29"/>
      <c r="H33" s="29"/>
      <c r="I33" s="29"/>
      <c r="J33" s="29"/>
    </row>
    <row r="34" spans="1:15" ht="43.35" customHeight="1" x14ac:dyDescent="0.2">
      <c r="A34" s="685" t="s">
        <v>192</v>
      </c>
      <c r="B34" s="583" t="s">
        <v>236</v>
      </c>
      <c r="C34" s="584"/>
      <c r="D34" s="304"/>
      <c r="E34" s="29"/>
      <c r="F34" s="29"/>
      <c r="H34" s="29"/>
      <c r="I34" s="29"/>
      <c r="J34" s="29"/>
    </row>
    <row r="35" spans="1:15" ht="43.35" customHeight="1" thickBot="1" x14ac:dyDescent="0.25">
      <c r="A35" s="640"/>
      <c r="B35" s="202" t="s">
        <v>193</v>
      </c>
      <c r="C35" s="679"/>
      <c r="D35" s="680"/>
      <c r="E35" s="29"/>
      <c r="F35" s="29"/>
      <c r="H35" s="29"/>
      <c r="I35" s="29"/>
      <c r="J35" s="29"/>
    </row>
    <row r="36" spans="1:15" ht="20.100000000000001" customHeight="1" x14ac:dyDescent="0.25">
      <c r="A36" s="108" t="s">
        <v>194</v>
      </c>
      <c r="B36" s="102"/>
      <c r="C36" s="102"/>
      <c r="D36" s="103"/>
      <c r="E36" s="29"/>
      <c r="F36" s="29"/>
      <c r="H36" s="29"/>
      <c r="I36" s="29"/>
      <c r="J36" s="29"/>
    </row>
    <row r="37" spans="1:15" ht="83.85" customHeight="1" x14ac:dyDescent="0.25">
      <c r="A37" s="244" t="s">
        <v>237</v>
      </c>
      <c r="B37" s="669" t="s">
        <v>238</v>
      </c>
      <c r="C37" s="670"/>
      <c r="D37" s="301"/>
      <c r="E37" s="29"/>
      <c r="F37" s="29"/>
      <c r="H37" s="29"/>
      <c r="I37" s="29"/>
      <c r="J37" s="29"/>
    </row>
    <row r="38" spans="1:15" ht="42" customHeight="1" thickBot="1" x14ac:dyDescent="0.25">
      <c r="A38" s="79"/>
      <c r="B38" s="232" t="s">
        <v>239</v>
      </c>
      <c r="C38" s="671"/>
      <c r="D38" s="655"/>
      <c r="E38" s="29"/>
      <c r="F38" s="29"/>
      <c r="H38" s="29"/>
      <c r="I38" s="29"/>
      <c r="J38" s="29"/>
    </row>
    <row r="39" spans="1:15" ht="54" customHeight="1" x14ac:dyDescent="0.25">
      <c r="A39" s="244" t="s">
        <v>240</v>
      </c>
      <c r="B39" s="656" t="s">
        <v>241</v>
      </c>
      <c r="C39" s="644"/>
      <c r="D39" s="301"/>
      <c r="E39" s="29"/>
      <c r="F39" s="29"/>
      <c r="H39" s="29"/>
      <c r="I39" s="29"/>
      <c r="J39" s="29"/>
    </row>
    <row r="40" spans="1:15" ht="39.6" customHeight="1" thickBot="1" x14ac:dyDescent="0.25">
      <c r="A40" s="79"/>
      <c r="B40" s="228" t="s">
        <v>239</v>
      </c>
      <c r="C40" s="654"/>
      <c r="D40" s="655"/>
      <c r="E40" s="29"/>
      <c r="F40" s="29"/>
      <c r="H40" s="29"/>
      <c r="I40" s="29"/>
      <c r="J40" s="29"/>
    </row>
    <row r="41" spans="1:15" ht="51.6" customHeight="1" x14ac:dyDescent="0.25">
      <c r="A41" s="244" t="s">
        <v>242</v>
      </c>
      <c r="B41" s="656" t="s">
        <v>243</v>
      </c>
      <c r="C41" s="644"/>
      <c r="D41" s="513" t="s">
        <v>2663</v>
      </c>
      <c r="E41" s="29"/>
      <c r="F41" s="29"/>
      <c r="H41" s="29"/>
      <c r="I41" s="29"/>
      <c r="J41" s="29"/>
    </row>
    <row r="42" spans="1:15" ht="36" customHeight="1" thickBot="1" x14ac:dyDescent="0.25">
      <c r="A42" s="79"/>
      <c r="B42" s="95" t="s">
        <v>239</v>
      </c>
      <c r="C42" s="654"/>
      <c r="D42" s="655"/>
      <c r="E42" s="29"/>
    </row>
    <row r="43" spans="1:15" s="35" customFormat="1" ht="15.75" thickBot="1" x14ac:dyDescent="0.3">
      <c r="A43" s="249" t="s">
        <v>138</v>
      </c>
      <c r="B43" s="248"/>
      <c r="C43" s="248"/>
      <c r="D43" s="98"/>
      <c r="E43" s="30"/>
      <c r="F43" s="30"/>
      <c r="G43" s="29"/>
      <c r="H43" s="30"/>
      <c r="I43" s="30"/>
      <c r="J43" s="30"/>
      <c r="K43" s="29"/>
      <c r="L43" s="29"/>
      <c r="M43" s="29"/>
      <c r="N43" s="29"/>
      <c r="O43" s="29"/>
    </row>
    <row r="44" spans="1:15" s="35" customFormat="1" ht="33" customHeight="1" thickBot="1" x14ac:dyDescent="0.25">
      <c r="A44" s="83" t="s">
        <v>212</v>
      </c>
      <c r="B44" s="621" t="s">
        <v>213</v>
      </c>
      <c r="C44" s="622"/>
      <c r="D44" s="284" t="s">
        <v>6</v>
      </c>
      <c r="E44" s="30"/>
      <c r="F44" s="30"/>
      <c r="G44" s="29"/>
      <c r="H44" s="30"/>
      <c r="I44" s="30"/>
      <c r="J44" s="30"/>
      <c r="K44" s="29"/>
      <c r="L44" s="29"/>
      <c r="M44" s="29"/>
      <c r="N44" s="29"/>
      <c r="O44" s="29"/>
    </row>
    <row r="45" spans="1:15" s="35" customFormat="1" ht="80.849999999999994" customHeight="1" thickBot="1" x14ac:dyDescent="0.25">
      <c r="A45" s="83" t="s">
        <v>214</v>
      </c>
      <c r="B45" s="93" t="s">
        <v>215</v>
      </c>
      <c r="C45" s="627"/>
      <c r="D45" s="628"/>
      <c r="E45" s="30"/>
      <c r="F45" s="30"/>
      <c r="G45" s="29"/>
      <c r="H45" s="30"/>
      <c r="I45" s="30"/>
      <c r="J45" s="30"/>
      <c r="K45" s="29"/>
      <c r="L45" s="29"/>
      <c r="M45" s="29"/>
      <c r="N45" s="29"/>
      <c r="O45" s="29"/>
    </row>
    <row r="46" spans="1:15" s="35" customFormat="1" ht="36" customHeight="1" x14ac:dyDescent="0.25">
      <c r="A46" s="106" t="s">
        <v>216</v>
      </c>
      <c r="B46" s="629" t="s">
        <v>2658</v>
      </c>
      <c r="C46" s="620"/>
      <c r="D46" s="215"/>
      <c r="E46" s="30"/>
      <c r="F46" s="30"/>
      <c r="G46" s="29"/>
      <c r="H46" s="30"/>
      <c r="I46" s="30"/>
      <c r="J46" s="30"/>
      <c r="K46" s="29"/>
      <c r="L46" s="29"/>
      <c r="M46" s="29"/>
      <c r="N46" s="29"/>
      <c r="O46" s="29"/>
    </row>
    <row r="47" spans="1:15" s="35" customFormat="1" ht="36" customHeight="1" thickBot="1" x14ac:dyDescent="0.25">
      <c r="A47" s="105"/>
      <c r="B47" s="93" t="s">
        <v>217</v>
      </c>
      <c r="C47" s="589"/>
      <c r="D47" s="590"/>
      <c r="E47" s="30"/>
      <c r="F47" s="30"/>
      <c r="G47" s="29"/>
      <c r="H47" s="30"/>
      <c r="I47" s="30"/>
      <c r="J47" s="30"/>
      <c r="K47" s="29"/>
      <c r="L47" s="29"/>
      <c r="M47" s="29"/>
      <c r="N47" s="29"/>
      <c r="O47" s="29"/>
    </row>
    <row r="48" spans="1:15" s="35" customFormat="1" ht="35.85" customHeight="1" x14ac:dyDescent="0.25">
      <c r="A48" s="106" t="s">
        <v>218</v>
      </c>
      <c r="B48" s="591" t="s">
        <v>2659</v>
      </c>
      <c r="C48" s="620"/>
      <c r="D48" s="215"/>
      <c r="E48" s="30"/>
      <c r="F48" s="30"/>
      <c r="G48" s="29"/>
      <c r="H48" s="30"/>
      <c r="I48" s="30"/>
      <c r="J48" s="30"/>
      <c r="K48" s="29"/>
      <c r="L48" s="29"/>
      <c r="M48" s="29"/>
      <c r="N48" s="29"/>
      <c r="O48" s="29"/>
    </row>
    <row r="49" spans="1:15" s="35" customFormat="1" ht="35.1" customHeight="1" thickBot="1" x14ac:dyDescent="0.25">
      <c r="A49" s="105"/>
      <c r="B49" s="93" t="s">
        <v>217</v>
      </c>
      <c r="C49" s="589"/>
      <c r="D49" s="590"/>
      <c r="E49" s="30"/>
      <c r="F49" s="30"/>
      <c r="G49" s="29"/>
      <c r="H49" s="30"/>
      <c r="I49" s="30"/>
      <c r="J49" s="30"/>
      <c r="K49" s="29"/>
      <c r="L49" s="29"/>
      <c r="M49" s="29"/>
      <c r="N49" s="29"/>
      <c r="O49" s="29"/>
    </row>
    <row r="50" spans="1:15" s="35" customFormat="1" ht="48" customHeight="1" x14ac:dyDescent="0.25">
      <c r="A50" s="106" t="s">
        <v>139</v>
      </c>
      <c r="B50" s="591" t="s">
        <v>140</v>
      </c>
      <c r="C50" s="588"/>
      <c r="D50" s="284" t="s">
        <v>6</v>
      </c>
      <c r="E50" s="30"/>
      <c r="F50" s="30"/>
      <c r="G50" s="29"/>
      <c r="H50" s="30"/>
      <c r="I50" s="30"/>
      <c r="J50" s="30"/>
      <c r="K50" s="29"/>
      <c r="L50" s="29"/>
      <c r="M50" s="29"/>
      <c r="N50" s="29"/>
      <c r="O50" s="29"/>
    </row>
    <row r="51" spans="1:15" s="35" customFormat="1" ht="35.1" customHeight="1" thickBot="1" x14ac:dyDescent="0.25">
      <c r="A51" s="105"/>
      <c r="B51" s="93" t="s">
        <v>141</v>
      </c>
      <c r="C51" s="589"/>
      <c r="D51" s="590"/>
      <c r="E51" s="30"/>
      <c r="F51" s="30"/>
      <c r="G51" s="29"/>
      <c r="H51" s="30"/>
      <c r="I51" s="30"/>
      <c r="J51" s="30"/>
      <c r="K51" s="29"/>
      <c r="L51" s="29"/>
      <c r="M51" s="29"/>
      <c r="N51" s="29"/>
      <c r="O51" s="29"/>
    </row>
    <row r="52" spans="1:15" s="35" customFormat="1" ht="62.1" customHeight="1" x14ac:dyDescent="0.25">
      <c r="A52" s="106" t="s">
        <v>142</v>
      </c>
      <c r="B52" s="591" t="s">
        <v>143</v>
      </c>
      <c r="C52" s="588"/>
      <c r="D52" s="284" t="s">
        <v>6</v>
      </c>
      <c r="E52" s="30"/>
      <c r="F52" s="30"/>
      <c r="G52" s="29"/>
      <c r="H52" s="30"/>
      <c r="I52" s="30"/>
      <c r="J52" s="30"/>
      <c r="K52" s="29"/>
      <c r="L52" s="29"/>
      <c r="M52" s="29"/>
      <c r="N52" s="29"/>
      <c r="O52" s="29"/>
    </row>
    <row r="53" spans="1:15" s="35" customFormat="1" ht="35.1" customHeight="1" thickBot="1" x14ac:dyDescent="0.25">
      <c r="A53" s="105"/>
      <c r="B53" s="93" t="s">
        <v>144</v>
      </c>
      <c r="C53" s="589"/>
      <c r="D53" s="590"/>
      <c r="E53" s="30"/>
      <c r="F53" s="30"/>
      <c r="G53" s="29"/>
      <c r="H53" s="30"/>
      <c r="I53" s="30"/>
      <c r="J53" s="30"/>
      <c r="K53" s="29"/>
      <c r="L53" s="29"/>
      <c r="M53" s="29"/>
      <c r="N53" s="29"/>
      <c r="O53" s="29"/>
    </row>
    <row r="54" spans="1:15" s="35" customFormat="1" ht="64.5" customHeight="1" x14ac:dyDescent="0.25">
      <c r="A54" s="106" t="s">
        <v>145</v>
      </c>
      <c r="B54" s="591" t="s">
        <v>146</v>
      </c>
      <c r="C54" s="588"/>
      <c r="D54" s="284" t="s">
        <v>6</v>
      </c>
      <c r="E54" s="30"/>
      <c r="F54" s="30"/>
      <c r="G54" s="29"/>
      <c r="H54" s="30"/>
      <c r="I54" s="30"/>
      <c r="J54" s="30"/>
      <c r="K54" s="29"/>
      <c r="L54" s="29"/>
      <c r="M54" s="29"/>
      <c r="N54" s="29"/>
      <c r="O54" s="29"/>
    </row>
    <row r="55" spans="1:15" s="35" customFormat="1" ht="35.1" customHeight="1" thickBot="1" x14ac:dyDescent="0.25">
      <c r="A55" s="105"/>
      <c r="B55" s="93" t="s">
        <v>147</v>
      </c>
      <c r="C55" s="589"/>
      <c r="D55" s="590"/>
      <c r="E55" s="30"/>
      <c r="F55" s="30"/>
      <c r="G55" s="29"/>
      <c r="H55" s="30"/>
      <c r="I55" s="30"/>
      <c r="J55" s="30"/>
      <c r="K55" s="29"/>
      <c r="L55" s="29"/>
      <c r="M55" s="29"/>
      <c r="N55" s="29"/>
      <c r="O55" s="29"/>
    </row>
    <row r="56" spans="1:15" s="35" customFormat="1" ht="35.1" customHeight="1" thickBot="1" x14ac:dyDescent="0.25">
      <c r="A56" s="274" t="s">
        <v>148</v>
      </c>
      <c r="B56" s="592" t="s">
        <v>149</v>
      </c>
      <c r="C56" s="653"/>
      <c r="D56" s="514" t="s">
        <v>6</v>
      </c>
      <c r="E56" s="30"/>
      <c r="F56" s="30"/>
      <c r="G56" s="29"/>
      <c r="H56" s="30"/>
      <c r="I56" s="30"/>
      <c r="J56" s="30"/>
      <c r="K56" s="29"/>
      <c r="L56" s="29"/>
      <c r="M56" s="29"/>
      <c r="N56" s="29"/>
      <c r="O56" s="29"/>
    </row>
    <row r="57" spans="1:15" s="35" customFormat="1" ht="15" x14ac:dyDescent="0.2">
      <c r="A57" s="229" t="s">
        <v>151</v>
      </c>
      <c r="B57" s="591" t="s">
        <v>152</v>
      </c>
      <c r="C57" s="588"/>
      <c r="D57" s="522">
        <f>COUNTIF(D58:D71,"Yes")</f>
        <v>0</v>
      </c>
      <c r="E57" s="30"/>
      <c r="F57" s="30"/>
      <c r="G57" s="29"/>
      <c r="H57" s="30"/>
      <c r="I57" s="30"/>
      <c r="J57" s="30"/>
      <c r="K57" s="29"/>
      <c r="L57" s="29"/>
      <c r="M57" s="29"/>
      <c r="N57" s="29"/>
      <c r="O57" s="29"/>
    </row>
    <row r="58" spans="1:15" s="35" customFormat="1" ht="15" x14ac:dyDescent="0.25">
      <c r="A58" s="225"/>
      <c r="B58" s="230"/>
      <c r="C58" s="219" t="s">
        <v>153</v>
      </c>
      <c r="D58" s="285" t="s">
        <v>6</v>
      </c>
      <c r="E58" s="30"/>
      <c r="F58" s="30"/>
      <c r="G58" s="29"/>
      <c r="H58" s="30"/>
      <c r="I58" s="30"/>
      <c r="J58" s="30"/>
      <c r="K58" s="29"/>
      <c r="L58" s="29"/>
      <c r="M58" s="29"/>
      <c r="N58" s="29"/>
      <c r="O58" s="29"/>
    </row>
    <row r="59" spans="1:15" s="35" customFormat="1" ht="15" x14ac:dyDescent="0.2">
      <c r="A59" s="225"/>
      <c r="B59" s="217"/>
      <c r="C59" s="218" t="s">
        <v>154</v>
      </c>
      <c r="D59" s="285" t="s">
        <v>6</v>
      </c>
      <c r="E59" s="30"/>
      <c r="F59" s="30"/>
      <c r="G59" s="29"/>
      <c r="H59" s="30"/>
      <c r="I59" s="30"/>
      <c r="J59" s="30"/>
      <c r="K59" s="29"/>
      <c r="L59" s="29"/>
      <c r="M59" s="29"/>
      <c r="N59" s="29"/>
      <c r="O59" s="29"/>
    </row>
    <row r="60" spans="1:15" s="35" customFormat="1" ht="15" x14ac:dyDescent="0.2">
      <c r="A60" s="225"/>
      <c r="B60" s="217"/>
      <c r="C60" s="218" t="s">
        <v>155</v>
      </c>
      <c r="D60" s="285" t="s">
        <v>6</v>
      </c>
      <c r="E60" s="30"/>
      <c r="F60" s="30"/>
      <c r="G60" s="29"/>
      <c r="H60" s="30"/>
      <c r="I60" s="30"/>
      <c r="J60" s="30"/>
      <c r="K60" s="29"/>
      <c r="L60" s="29"/>
      <c r="M60" s="29"/>
      <c r="N60" s="29"/>
      <c r="O60" s="29"/>
    </row>
    <row r="61" spans="1:15" s="35" customFormat="1" ht="15" x14ac:dyDescent="0.2">
      <c r="A61" s="225"/>
      <c r="B61" s="217"/>
      <c r="C61" s="218" t="s">
        <v>156</v>
      </c>
      <c r="D61" s="285" t="s">
        <v>6</v>
      </c>
      <c r="E61" s="30"/>
      <c r="F61" s="30"/>
      <c r="G61" s="29"/>
      <c r="H61" s="30"/>
      <c r="I61" s="30"/>
      <c r="J61" s="30"/>
      <c r="K61" s="29"/>
      <c r="L61" s="29"/>
      <c r="M61" s="29"/>
      <c r="N61" s="29"/>
      <c r="O61" s="29"/>
    </row>
    <row r="62" spans="1:15" s="35" customFormat="1" ht="15" x14ac:dyDescent="0.2">
      <c r="A62" s="225"/>
      <c r="B62" s="217"/>
      <c r="C62" s="218" t="s">
        <v>157</v>
      </c>
      <c r="D62" s="285" t="s">
        <v>6</v>
      </c>
      <c r="E62" s="30"/>
      <c r="F62" s="30"/>
      <c r="G62" s="29"/>
      <c r="H62" s="30"/>
      <c r="I62" s="30"/>
      <c r="J62" s="30"/>
      <c r="K62" s="29"/>
      <c r="L62" s="29"/>
      <c r="M62" s="29"/>
      <c r="N62" s="29"/>
      <c r="O62" s="29"/>
    </row>
    <row r="63" spans="1:15" s="35" customFormat="1" ht="15" x14ac:dyDescent="0.2">
      <c r="A63" s="225"/>
      <c r="B63" s="217"/>
      <c r="C63" s="218" t="s">
        <v>158</v>
      </c>
      <c r="D63" s="285" t="s">
        <v>6</v>
      </c>
      <c r="E63" s="30"/>
      <c r="F63" s="30"/>
      <c r="G63" s="29"/>
      <c r="H63" s="30"/>
      <c r="I63" s="30"/>
      <c r="J63" s="30"/>
      <c r="K63" s="29"/>
      <c r="L63" s="29"/>
      <c r="M63" s="29"/>
      <c r="N63" s="29"/>
      <c r="O63" s="29"/>
    </row>
    <row r="64" spans="1:15" s="35" customFormat="1" ht="15" x14ac:dyDescent="0.2">
      <c r="A64" s="225"/>
      <c r="B64" s="217"/>
      <c r="C64" s="218" t="s">
        <v>159</v>
      </c>
      <c r="D64" s="285" t="s">
        <v>6</v>
      </c>
      <c r="E64" s="30"/>
      <c r="F64" s="30"/>
      <c r="G64" s="29"/>
      <c r="H64" s="30"/>
      <c r="I64" s="30"/>
      <c r="J64" s="30"/>
      <c r="K64" s="29"/>
      <c r="L64" s="29"/>
      <c r="M64" s="29"/>
      <c r="N64" s="29"/>
      <c r="O64" s="29"/>
    </row>
    <row r="65" spans="1:15" s="35" customFormat="1" ht="15" x14ac:dyDescent="0.2">
      <c r="A65" s="225"/>
      <c r="B65" s="217"/>
      <c r="C65" s="218" t="s">
        <v>160</v>
      </c>
      <c r="D65" s="285" t="s">
        <v>6</v>
      </c>
      <c r="E65" s="30"/>
      <c r="F65" s="30"/>
      <c r="G65" s="29"/>
      <c r="H65" s="30"/>
      <c r="I65" s="30"/>
      <c r="J65" s="30"/>
      <c r="K65" s="29"/>
      <c r="L65" s="29"/>
      <c r="M65" s="29"/>
      <c r="N65" s="29"/>
      <c r="O65" s="29"/>
    </row>
    <row r="66" spans="1:15" s="35" customFormat="1" ht="15" x14ac:dyDescent="0.2">
      <c r="A66" s="225"/>
      <c r="B66" s="217"/>
      <c r="C66" s="220" t="s">
        <v>161</v>
      </c>
      <c r="D66" s="285" t="s">
        <v>6</v>
      </c>
      <c r="E66" s="30"/>
      <c r="F66" s="30"/>
      <c r="G66" s="29"/>
      <c r="H66" s="30"/>
      <c r="I66" s="30"/>
      <c r="J66" s="30"/>
      <c r="K66" s="29"/>
      <c r="L66" s="29"/>
      <c r="M66" s="29"/>
      <c r="N66" s="29"/>
      <c r="O66" s="29"/>
    </row>
    <row r="67" spans="1:15" s="35" customFormat="1" ht="15" x14ac:dyDescent="0.2">
      <c r="A67" s="225"/>
      <c r="B67" s="217"/>
      <c r="C67" s="218" t="s">
        <v>162</v>
      </c>
      <c r="D67" s="285" t="s">
        <v>6</v>
      </c>
      <c r="E67" s="30"/>
      <c r="F67" s="30"/>
      <c r="G67" s="29"/>
      <c r="H67" s="30"/>
      <c r="I67" s="30"/>
      <c r="J67" s="30"/>
      <c r="K67" s="29"/>
      <c r="L67" s="29"/>
      <c r="M67" s="29"/>
      <c r="N67" s="29"/>
      <c r="O67" s="29"/>
    </row>
    <row r="68" spans="1:15" s="35" customFormat="1" ht="15" x14ac:dyDescent="0.2">
      <c r="A68" s="225"/>
      <c r="B68" s="217"/>
      <c r="C68" s="218" t="s">
        <v>163</v>
      </c>
      <c r="D68" s="285" t="s">
        <v>6</v>
      </c>
      <c r="E68" s="30"/>
      <c r="F68" s="30"/>
      <c r="G68" s="29"/>
      <c r="H68" s="30"/>
      <c r="I68" s="30"/>
      <c r="J68" s="30"/>
      <c r="K68" s="29"/>
      <c r="L68" s="29"/>
      <c r="M68" s="29"/>
      <c r="N68" s="29"/>
      <c r="O68" s="29"/>
    </row>
    <row r="69" spans="1:15" s="35" customFormat="1" ht="15" x14ac:dyDescent="0.2">
      <c r="A69" s="225"/>
      <c r="B69" s="217"/>
      <c r="C69" s="218" t="s">
        <v>164</v>
      </c>
      <c r="D69" s="285" t="s">
        <v>6</v>
      </c>
      <c r="E69" s="30"/>
      <c r="F69" s="30"/>
      <c r="G69" s="29"/>
      <c r="H69" s="30"/>
      <c r="I69" s="30"/>
      <c r="J69" s="30"/>
      <c r="K69" s="29"/>
      <c r="L69" s="29"/>
      <c r="M69" s="29"/>
      <c r="N69" s="29"/>
      <c r="O69" s="29"/>
    </row>
    <row r="70" spans="1:15" s="35" customFormat="1" ht="15" x14ac:dyDescent="0.2">
      <c r="A70" s="225"/>
      <c r="B70" s="217"/>
      <c r="C70" s="218" t="s">
        <v>165</v>
      </c>
      <c r="D70" s="285" t="s">
        <v>6</v>
      </c>
      <c r="E70" s="30"/>
      <c r="F70" s="30"/>
      <c r="G70" s="29"/>
      <c r="H70" s="30"/>
      <c r="I70" s="30"/>
      <c r="J70" s="30"/>
      <c r="K70" s="29"/>
      <c r="L70" s="29"/>
      <c r="M70" s="29"/>
      <c r="N70" s="29"/>
      <c r="O70" s="29"/>
    </row>
    <row r="71" spans="1:15" s="35" customFormat="1" ht="15.75" thickBot="1" x14ac:dyDescent="0.25">
      <c r="A71" s="226"/>
      <c r="B71" s="221"/>
      <c r="C71" s="222" t="s">
        <v>166</v>
      </c>
      <c r="D71" s="286" t="s">
        <v>6</v>
      </c>
      <c r="E71" s="30"/>
      <c r="F71" s="30"/>
      <c r="G71" s="29"/>
      <c r="H71" s="30"/>
      <c r="I71" s="30"/>
      <c r="J71" s="30"/>
      <c r="K71" s="29"/>
      <c r="L71" s="29"/>
      <c r="M71" s="29"/>
      <c r="N71" s="29"/>
      <c r="O71" s="29"/>
    </row>
    <row r="72" spans="1:15" s="35" customFormat="1" x14ac:dyDescent="0.2">
      <c r="A72" s="29"/>
      <c r="B72" s="30"/>
      <c r="C72" s="30"/>
      <c r="E72" s="30"/>
      <c r="F72" s="30"/>
      <c r="G72" s="29"/>
      <c r="H72" s="30"/>
      <c r="I72" s="30"/>
      <c r="J72" s="30"/>
      <c r="K72" s="29"/>
      <c r="L72" s="29"/>
      <c r="M72" s="29"/>
      <c r="N72" s="29"/>
      <c r="O72" s="29"/>
    </row>
    <row r="73" spans="1:15" s="35" customFormat="1" ht="23.85" customHeight="1" x14ac:dyDescent="0.25">
      <c r="A73" s="595" t="s">
        <v>167</v>
      </c>
      <c r="B73" s="595"/>
      <c r="C73" s="595"/>
      <c r="D73" s="595"/>
      <c r="E73" s="30"/>
      <c r="F73" s="30"/>
      <c r="G73" s="29"/>
      <c r="H73" s="30"/>
      <c r="I73" s="30"/>
      <c r="J73" s="30"/>
      <c r="K73" s="29"/>
      <c r="L73" s="29"/>
      <c r="M73" s="29"/>
      <c r="N73" s="29"/>
      <c r="O73" s="29"/>
    </row>
    <row r="74" spans="1:15" s="35" customFormat="1" ht="23.85" customHeight="1" x14ac:dyDescent="0.25">
      <c r="A74" s="623" t="str">
        <f>HYPERLINK("#"&amp;"Scoring!$C$195","-&gt; Click Here to View Score")</f>
        <v>-&gt; Click Here to View Score</v>
      </c>
      <c r="B74" s="623"/>
      <c r="C74" s="623"/>
      <c r="D74" s="623"/>
      <c r="E74" s="30"/>
      <c r="F74" s="30"/>
      <c r="G74" s="29"/>
      <c r="H74" s="30"/>
      <c r="I74" s="30"/>
      <c r="J74" s="30"/>
      <c r="K74" s="29"/>
      <c r="L74" s="29"/>
      <c r="M74" s="29"/>
      <c r="N74" s="29"/>
      <c r="O74" s="29"/>
    </row>
    <row r="75" spans="1:15" ht="23.85" customHeight="1" x14ac:dyDescent="0.25">
      <c r="A75" s="623" t="str">
        <f>HYPERLINK("#"&amp;"Instructions!$A$1","&lt;- Click Here to Return to Instructions")</f>
        <v>&lt;- Click Here to Return to Instructions</v>
      </c>
      <c r="B75" s="623"/>
      <c r="C75" s="623"/>
      <c r="D75" s="623"/>
    </row>
    <row r="76" spans="1:15" ht="23.85" customHeight="1" x14ac:dyDescent="0.25">
      <c r="A76" s="623" t="str">
        <f>HYPERLINK("#"&amp;"Applicant_Information!$A$1","&lt;- Click Here to Return to Applicant Information")</f>
        <v>&lt;- Click Here to Return to Applicant Information</v>
      </c>
      <c r="B76" s="623"/>
      <c r="C76" s="623"/>
      <c r="D76" s="623"/>
    </row>
    <row r="77" spans="1:15" ht="23.85" customHeight="1" x14ac:dyDescent="0.25">
      <c r="A77" s="623" t="str">
        <f>HYPERLINK("#"&amp;"Qualified_Property_List!$A$1","&lt;- Click Here to Return to Qualified Property List")</f>
        <v>&lt;- Click Here to Return to Qualified Property List</v>
      </c>
      <c r="B77" s="623"/>
      <c r="C77" s="623"/>
      <c r="D77" s="623"/>
    </row>
    <row r="78" spans="1:15" ht="21" customHeight="1" x14ac:dyDescent="0.2"/>
    <row r="79" spans="1:15" ht="21" customHeight="1" x14ac:dyDescent="0.2"/>
    <row r="80" spans="1:15" ht="21" customHeight="1" x14ac:dyDescent="0.2"/>
    <row r="81" ht="21" customHeight="1" x14ac:dyDescent="0.2"/>
    <row r="82" ht="21" customHeight="1" x14ac:dyDescent="0.2"/>
  </sheetData>
  <sheetProtection algorithmName="SHA-512" hashValue="CYgGp2R6HT20kRmWtxsA8H7n5hBaovN4d53qooKeCanq8Rc+yrINynub+f3vdFM98ZgkG3fdrljJ1a/mqHVzVg==" saltValue="9S+FJ+j1BIsGqIHmRJ0GBw==" spinCount="100000" sheet="1" formatCells="0" formatColumns="0" formatRows="0"/>
  <mergeCells count="58">
    <mergeCell ref="B34:C34"/>
    <mergeCell ref="C35:D35"/>
    <mergeCell ref="A34:A35"/>
    <mergeCell ref="C24:D24"/>
    <mergeCell ref="C26:D26"/>
    <mergeCell ref="C30:D30"/>
    <mergeCell ref="C32:D32"/>
    <mergeCell ref="B25:C25"/>
    <mergeCell ref="B27:C27"/>
    <mergeCell ref="B28:C28"/>
    <mergeCell ref="B29:C29"/>
    <mergeCell ref="B31:C31"/>
    <mergeCell ref="C18:D18"/>
    <mergeCell ref="C20:D20"/>
    <mergeCell ref="C22:D22"/>
    <mergeCell ref="C10:D10"/>
    <mergeCell ref="B33:C33"/>
    <mergeCell ref="B17:C17"/>
    <mergeCell ref="B19:C19"/>
    <mergeCell ref="B21:C21"/>
    <mergeCell ref="B23:C23"/>
    <mergeCell ref="B15:C15"/>
    <mergeCell ref="C16:D16"/>
    <mergeCell ref="A3:D3"/>
    <mergeCell ref="B5:C5"/>
    <mergeCell ref="B7:C7"/>
    <mergeCell ref="B11:C11"/>
    <mergeCell ref="B14:C14"/>
    <mergeCell ref="C6:D6"/>
    <mergeCell ref="B9:C9"/>
    <mergeCell ref="A9:A10"/>
    <mergeCell ref="C8:D8"/>
    <mergeCell ref="C12:D12"/>
    <mergeCell ref="C49:D49"/>
    <mergeCell ref="B37:C37"/>
    <mergeCell ref="C38:D38"/>
    <mergeCell ref="B39:C39"/>
    <mergeCell ref="C40:D40"/>
    <mergeCell ref="B41:C41"/>
    <mergeCell ref="C42:D42"/>
    <mergeCell ref="C45:D45"/>
    <mergeCell ref="B46:C46"/>
    <mergeCell ref="C47:D47"/>
    <mergeCell ref="B48:C48"/>
    <mergeCell ref="B44:C44"/>
    <mergeCell ref="A73:D73"/>
    <mergeCell ref="A74:D74"/>
    <mergeCell ref="A75:D75"/>
    <mergeCell ref="A76:D76"/>
    <mergeCell ref="A77:D77"/>
    <mergeCell ref="B57:C57"/>
    <mergeCell ref="C55:D55"/>
    <mergeCell ref="B50:C50"/>
    <mergeCell ref="C51:D51"/>
    <mergeCell ref="B52:C52"/>
    <mergeCell ref="C53:D53"/>
    <mergeCell ref="B54:C54"/>
    <mergeCell ref="B56:C56"/>
  </mergeCells>
  <conditionalFormatting sqref="A45:D49">
    <cfRule type="expression" dxfId="14" priority="15">
      <formula>$D$44&lt;&gt;"Yes"</formula>
    </cfRule>
  </conditionalFormatting>
  <conditionalFormatting sqref="B29:D32">
    <cfRule type="expression" dxfId="12" priority="2">
      <formula>$D$28="No"</formula>
    </cfRule>
  </conditionalFormatting>
  <conditionalFormatting sqref="B34:D35">
    <cfRule type="expression" dxfId="11" priority="10">
      <formula>($D$33="No")</formula>
    </cfRule>
  </conditionalFormatting>
  <dataValidations count="5">
    <dataValidation type="list" allowBlank="1" showInputMessage="1" showErrorMessage="1" sqref="D28 D44 D50 D52 D54 D58:D71 D33" xr:uid="{00000000-0002-0000-0600-000000000000}">
      <formula1>yes_no</formula1>
    </dataValidation>
    <dataValidation allowBlank="1" showInputMessage="1" showErrorMessage="1" promptTitle="Note:" prompt="An annual Full-Time Equivalent (FTE) employee equals 1 if there is 1 full time position for 12 months, or 2 half-time positions for 12 months, or 4 full-time positions for 3 months, etc." sqref="D7:D9" xr:uid="{00000000-0002-0000-0600-000001000000}"/>
    <dataValidation allowBlank="1" showInputMessage="1" showErrorMessage="1" promptTitle="Multiple Qualified Products" prompt="If your Facility produces multiple Qualified Products (e.g. units of different sizes or capacities), base the calculations on the average value across all relevant products." sqref="D15" xr:uid="{00000000-0002-0000-0600-000002000000}"/>
    <dataValidation type="decimal" allowBlank="1" showInputMessage="1" showErrorMessage="1" error="Please enter a value between 0% and 100%. " sqref="D34" xr:uid="{00000000-0002-0000-0600-000003000000}">
      <formula1>0</formula1>
      <formula2>1</formula2>
    </dataValidation>
    <dataValidation type="list" allowBlank="1" showInputMessage="1" showErrorMessage="1" sqref="D56" xr:uid="{0EFA2AA8-14F8-4EC1-88B1-092020C8B56B}">
      <formula1>Emerging_Strategic_Industry</formula1>
    </dataValidation>
  </dataValidations>
  <pageMargins left="0.7" right="0.7" top="0.75" bottom="0.75" header="0.3" footer="0"/>
  <pageSetup orientation="portrait" r:id="rId1"/>
  <headerFooter alignWithMargins="0">
    <oddHeader>&amp;L&amp;20&amp;UAdvanced Transportation</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4" id="{7A857866-7459-4A1C-A37A-23481CD53BFB}">
            <xm:f>Applicant_Information!$B$8&lt;&gt;"Advanced_Transportation"</xm:f>
            <x14:dxf>
              <font>
                <color theme="0" tint="-0.24994659260841701"/>
              </font>
              <fill>
                <patternFill patternType="mediumGray">
                  <fgColor theme="4" tint="0.59996337778862885"/>
                  <bgColor theme="0" tint="-0.14993743705557422"/>
                </patternFill>
              </fill>
            </x14:dxf>
          </x14:cfRule>
          <xm:sqref>A33:A34</xm:sqref>
        </x14:conditionalFormatting>
        <x14:conditionalFormatting xmlns:xm="http://schemas.microsoft.com/office/excel/2006/main">
          <x14:cfRule type="expression" priority="14" id="{02DE016D-26EB-47F7-9E5A-72F72F9DE239}">
            <xm:f>Applicant_Information!$B$8&lt;&gt;"Advanced_Transportation"</xm:f>
            <x14:dxf>
              <font>
                <color theme="0" tint="-0.24994659260841701"/>
              </font>
              <fill>
                <patternFill patternType="mediumGray">
                  <fgColor theme="4" tint="0.59996337778862885"/>
                  <bgColor theme="0" tint="-0.14993743705557422"/>
                </patternFill>
              </fill>
            </x14:dxf>
          </x14:cfRule>
          <xm:sqref>A5:D34 B35:D35 A36:D55 A56:B56 D56 A57:D71</xm:sqref>
        </x14:conditionalFormatting>
        <x14:conditionalFormatting xmlns:xm="http://schemas.microsoft.com/office/excel/2006/main">
          <x14:cfRule type="expression" priority="13" id="{B9588345-BF82-486F-8380-2036F0866000}">
            <xm:f>Applicant_Information!$B$8&lt;&gt;"Advanced_Transportation"</xm:f>
            <x14:dxf>
              <font>
                <color theme="0" tint="-0.24994659260841701"/>
              </font>
              <fill>
                <patternFill patternType="mediumGray">
                  <fgColor theme="4" tint="0.59996337778862885"/>
                </patternFill>
              </fill>
            </x14:dxf>
          </x14:cfRule>
          <xm:sqref>A50:D55 A56:B56 D56</xm:sqref>
        </x14:conditionalFormatting>
        <x14:conditionalFormatting xmlns:xm="http://schemas.microsoft.com/office/excel/2006/main">
          <x14:cfRule type="expression" priority="1" id="{BD0975E4-EE38-48B2-B403-1F249E7991AA}">
            <xm:f>Applicant_Information!$B$8&lt;&gt;"Advanced_Transportation"</xm:f>
            <x14:dxf>
              <font>
                <color theme="0" tint="-0.24994659260841701"/>
              </font>
              <fill>
                <patternFill patternType="mediumGray">
                  <fgColor theme="4" tint="0.59996337778862885"/>
                </patternFill>
              </fill>
            </x14:dxf>
          </x14:cfRule>
          <xm:sqref>D44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O96"/>
  <sheetViews>
    <sheetView showGridLines="0" topLeftCell="A13" zoomScaleNormal="100" zoomScalePageLayoutView="75" workbookViewId="0">
      <selection activeCell="D56" sqref="D56"/>
    </sheetView>
  </sheetViews>
  <sheetFormatPr defaultColWidth="9.140625" defaultRowHeight="12.75" x14ac:dyDescent="0.2"/>
  <cols>
    <col min="1" max="1" width="5.42578125" style="29" customWidth="1"/>
    <col min="2" max="2" width="75.42578125" style="30" customWidth="1"/>
    <col min="3" max="3" width="42.42578125" style="51" customWidth="1"/>
    <col min="4" max="4" width="31.5703125" style="35" customWidth="1"/>
    <col min="5" max="5" width="77.42578125" style="30" customWidth="1"/>
    <col min="6" max="6" width="15.42578125" style="30" customWidth="1"/>
    <col min="7" max="7" width="9.140625" style="29"/>
    <col min="8" max="10" width="15.42578125" style="30" customWidth="1"/>
    <col min="11" max="16384" width="9.140625" style="29"/>
  </cols>
  <sheetData>
    <row r="1" spans="1:10" ht="36.75" customHeight="1" x14ac:dyDescent="0.2">
      <c r="B1" s="29"/>
      <c r="C1" s="50"/>
      <c r="D1" s="521" t="s">
        <v>244</v>
      </c>
    </row>
    <row r="2" spans="1:10" ht="27.6" customHeight="1" thickBot="1" x14ac:dyDescent="0.4">
      <c r="A2" s="543" t="str">
        <f>IF(Applicant_Information!B8=D1,"",IF(Applicant_Information!B8="BioFuels",(HYPERLINK("#"&amp;"BioFuels!A1","-&gt; THIS PAGE FOR "&amp; D1 &amp;" APPLICANTS ONLY -&gt; Go to "&amp;Applicant_Information!B8&amp;" Section")),
IF(Applicant_Information!B8="Energy_Efficiency",(HYPERLINK("#"&amp;"Energy_Efficiency!A1","-&gt; THIS PAGE FOR "&amp; D1&amp;" APPLICANTS ONLY -&gt; Go to "&amp;Applicant_Information!B8&amp;" Section")),
IF(Applicant_Information!B8="Alternative_Energy",(HYPERLINK("#"&amp;"Alternative_Energy!A1","-&gt; THIS PAGE FOR "&amp; D1 &amp;" APPLICANTS ONLY -&gt; Go to "&amp;Applicant_Information!B8&amp;" Section")),
IF(Applicant_Information!B8="Advanced_Manufacturing",(HYPERLINK("#"&amp;"Advanced_Manufacturing!A1","-&gt; THIS PAGE FOR "&amp; D1 &amp;" APPLICANTS ONLY -&gt; Go to "&amp;Applicant_Information!B8&amp;" Section")),
IF(Applicant_Information!B8="Recycling",(HYPERLINK("#"&amp;"Recycling!A1","-&gt; THIS PAGE FOR "&amp; D1 &amp;" APPLICANTS ONLY -&gt; Go to "&amp;Applicant_Information!B8&amp;" Section")),
IF(Applicant_Information!B8="SELECT FROM DROPDOWN",(HYPERLINK("#"&amp;"Applicant_Information!A8","-&gt; THIS PAGE FOR "&amp; D1 &amp;" APPLICANTS ONLY -&gt; Go to "&amp;Applicant_Information!B8&amp;" Section")),
(HYPERLINK("#"&amp;"Other_Application_Types!A1","-&gt; THIS PAGE FOR "&amp; D1&amp;" APPLICANTS ONLY -&gt; Go to "&amp;Applicant_Information!B8&amp;" Section")))))))))</f>
        <v>-&gt; THIS PAGE FOR ADVANCED_MANUFACTURING APPLICANTS ONLY -&gt; Go to SELECT FROM DROPDOWN Section</v>
      </c>
      <c r="B2" s="543"/>
      <c r="C2" s="543"/>
      <c r="D2" s="543"/>
      <c r="E2" s="31"/>
    </row>
    <row r="3" spans="1:10" ht="41.85" customHeight="1" x14ac:dyDescent="0.2">
      <c r="A3" s="659" t="s">
        <v>220</v>
      </c>
      <c r="B3" s="660"/>
      <c r="C3" s="660"/>
      <c r="D3" s="661"/>
      <c r="E3" s="31"/>
    </row>
    <row r="4" spans="1:10" ht="19.350000000000001" customHeight="1" x14ac:dyDescent="0.25">
      <c r="A4" s="242" t="s">
        <v>95</v>
      </c>
      <c r="B4" s="243"/>
      <c r="C4" s="243"/>
      <c r="D4" s="96"/>
      <c r="E4" s="31"/>
    </row>
    <row r="5" spans="1:10" ht="62.1" customHeight="1" x14ac:dyDescent="0.25">
      <c r="A5" s="244" t="s">
        <v>96</v>
      </c>
      <c r="B5" s="643" t="s">
        <v>97</v>
      </c>
      <c r="C5" s="644"/>
      <c r="D5" s="287"/>
      <c r="E5" s="32"/>
      <c r="F5" s="33"/>
      <c r="H5" s="32"/>
      <c r="I5" s="32"/>
      <c r="J5" s="32"/>
    </row>
    <row r="6" spans="1:10" ht="51.6" customHeight="1" thickBot="1" x14ac:dyDescent="0.25">
      <c r="A6" s="207"/>
      <c r="B6" s="198" t="s">
        <v>98</v>
      </c>
      <c r="C6" s="645"/>
      <c r="D6" s="646"/>
      <c r="E6" s="29"/>
      <c r="G6" s="30"/>
      <c r="I6" s="29"/>
      <c r="J6" s="29"/>
    </row>
    <row r="7" spans="1:10" ht="80.849999999999994" customHeight="1" x14ac:dyDescent="0.25">
      <c r="A7" s="205" t="s">
        <v>99</v>
      </c>
      <c r="B7" s="607" t="s">
        <v>100</v>
      </c>
      <c r="C7" s="608"/>
      <c r="D7" s="297"/>
      <c r="E7" s="29"/>
      <c r="G7" s="30"/>
      <c r="I7" s="29"/>
      <c r="J7" s="29"/>
    </row>
    <row r="8" spans="1:10" ht="62.25" customHeight="1" thickBot="1" x14ac:dyDescent="0.25">
      <c r="A8" s="206"/>
      <c r="B8" s="202" t="s">
        <v>170</v>
      </c>
      <c r="C8" s="693"/>
      <c r="D8" s="694"/>
      <c r="E8" s="29"/>
      <c r="G8" s="30"/>
      <c r="I8" s="29"/>
      <c r="J8" s="29"/>
    </row>
    <row r="9" spans="1:10" ht="62.25" customHeight="1" x14ac:dyDescent="0.2">
      <c r="A9" s="250" t="s">
        <v>102</v>
      </c>
      <c r="B9" s="695" t="s">
        <v>171</v>
      </c>
      <c r="C9" s="674"/>
      <c r="D9" s="297"/>
      <c r="E9" s="29"/>
      <c r="G9" s="30"/>
      <c r="I9" s="29"/>
      <c r="J9" s="29"/>
    </row>
    <row r="10" spans="1:10" ht="62.25" customHeight="1" thickBot="1" x14ac:dyDescent="0.25">
      <c r="A10" s="81"/>
      <c r="B10" s="202" t="s">
        <v>172</v>
      </c>
      <c r="C10" s="681"/>
      <c r="D10" s="682"/>
      <c r="E10" s="29"/>
      <c r="G10" s="30"/>
      <c r="I10" s="29"/>
      <c r="J10" s="29"/>
    </row>
    <row r="11" spans="1:10" ht="93" customHeight="1" x14ac:dyDescent="0.25">
      <c r="A11" s="205" t="s">
        <v>105</v>
      </c>
      <c r="B11" s="598" t="s">
        <v>106</v>
      </c>
      <c r="C11" s="608"/>
      <c r="D11" s="297"/>
      <c r="E11" s="29"/>
      <c r="G11" s="30"/>
      <c r="I11" s="29"/>
      <c r="J11" s="29"/>
    </row>
    <row r="12" spans="1:10" ht="60" customHeight="1" thickBot="1" x14ac:dyDescent="0.25">
      <c r="A12" s="203"/>
      <c r="B12" s="201" t="s">
        <v>173</v>
      </c>
      <c r="C12" s="693"/>
      <c r="D12" s="694"/>
      <c r="E12" s="29"/>
      <c r="G12" s="30"/>
      <c r="I12" s="29"/>
      <c r="J12" s="29"/>
    </row>
    <row r="13" spans="1:10" ht="20.100000000000001" customHeight="1" x14ac:dyDescent="0.2">
      <c r="A13" s="245" t="s">
        <v>174</v>
      </c>
      <c r="B13" s="246"/>
      <c r="C13" s="246"/>
      <c r="D13" s="97"/>
      <c r="E13" s="29"/>
      <c r="G13" s="30"/>
      <c r="I13" s="29"/>
      <c r="J13" s="29"/>
    </row>
    <row r="14" spans="1:10" ht="48.6" customHeight="1" thickBot="1" x14ac:dyDescent="0.25">
      <c r="A14" s="81" t="s">
        <v>109</v>
      </c>
      <c r="B14" s="104" t="s">
        <v>110</v>
      </c>
      <c r="C14" s="691"/>
      <c r="D14" s="692"/>
      <c r="E14" s="29"/>
      <c r="G14" s="30"/>
      <c r="I14" s="29"/>
      <c r="J14" s="29"/>
    </row>
    <row r="15" spans="1:10" ht="96.75" customHeight="1" x14ac:dyDescent="0.25">
      <c r="A15" s="90" t="s">
        <v>115</v>
      </c>
      <c r="B15" s="613" t="s">
        <v>175</v>
      </c>
      <c r="C15" s="614"/>
      <c r="D15" s="291"/>
      <c r="E15" s="29"/>
      <c r="G15" s="30"/>
      <c r="I15" s="29"/>
      <c r="J15" s="29"/>
    </row>
    <row r="16" spans="1:10" ht="72.75" customHeight="1" thickBot="1" x14ac:dyDescent="0.25">
      <c r="A16" s="79"/>
      <c r="B16" s="158" t="s">
        <v>235</v>
      </c>
      <c r="C16" s="683"/>
      <c r="D16" s="684"/>
      <c r="E16" s="29"/>
      <c r="G16" s="30"/>
      <c r="I16" s="29"/>
      <c r="J16" s="29"/>
    </row>
    <row r="17" spans="1:10" ht="39" customHeight="1" x14ac:dyDescent="0.25">
      <c r="A17" s="244" t="s">
        <v>118</v>
      </c>
      <c r="B17" s="687" t="s">
        <v>119</v>
      </c>
      <c r="C17" s="688"/>
      <c r="D17" s="292"/>
      <c r="E17" s="29"/>
      <c r="G17" s="30"/>
      <c r="I17" s="29"/>
      <c r="J17" s="29"/>
    </row>
    <row r="18" spans="1:10" ht="57" customHeight="1" thickBot="1" x14ac:dyDescent="0.25">
      <c r="A18" s="204"/>
      <c r="B18" s="201" t="s">
        <v>177</v>
      </c>
      <c r="C18" s="585"/>
      <c r="D18" s="586"/>
      <c r="E18" s="29"/>
      <c r="G18" s="30"/>
      <c r="I18" s="29"/>
      <c r="J18" s="29"/>
    </row>
    <row r="19" spans="1:10" ht="74.849999999999994" customHeight="1" x14ac:dyDescent="0.25">
      <c r="A19" s="90" t="s">
        <v>121</v>
      </c>
      <c r="B19" s="687" t="s">
        <v>122</v>
      </c>
      <c r="C19" s="688"/>
      <c r="D19" s="292"/>
      <c r="E19" s="29"/>
      <c r="G19" s="30"/>
      <c r="I19" s="29"/>
      <c r="J19" s="29"/>
    </row>
    <row r="20" spans="1:10" ht="61.5" customHeight="1" thickBot="1" x14ac:dyDescent="0.25">
      <c r="A20" s="204"/>
      <c r="B20" s="201" t="s">
        <v>178</v>
      </c>
      <c r="C20" s="585"/>
      <c r="D20" s="586"/>
      <c r="E20" s="29"/>
      <c r="G20" s="30"/>
      <c r="I20" s="29"/>
      <c r="J20" s="29"/>
    </row>
    <row r="21" spans="1:10" ht="52.35" customHeight="1" x14ac:dyDescent="0.25">
      <c r="A21" s="90" t="s">
        <v>124</v>
      </c>
      <c r="B21" s="667" t="s">
        <v>125</v>
      </c>
      <c r="C21" s="668"/>
      <c r="D21" s="302"/>
      <c r="E21" s="29"/>
      <c r="G21" s="30"/>
      <c r="I21" s="29"/>
      <c r="J21" s="29"/>
    </row>
    <row r="22" spans="1:10" ht="52.35" customHeight="1" thickBot="1" x14ac:dyDescent="0.25">
      <c r="A22" s="204"/>
      <c r="B22" s="202" t="s">
        <v>179</v>
      </c>
      <c r="C22" s="679"/>
      <c r="D22" s="680"/>
      <c r="E22" s="29"/>
      <c r="G22" s="30"/>
      <c r="I22" s="29"/>
      <c r="J22" s="29"/>
    </row>
    <row r="23" spans="1:10" s="30" customFormat="1" ht="51.6" customHeight="1" x14ac:dyDescent="0.25">
      <c r="A23" s="90" t="s">
        <v>127</v>
      </c>
      <c r="B23" s="667" t="s">
        <v>128</v>
      </c>
      <c r="C23" s="668"/>
      <c r="D23" s="299"/>
    </row>
    <row r="24" spans="1:10" s="30" customFormat="1" ht="51.6" customHeight="1" thickBot="1" x14ac:dyDescent="0.25">
      <c r="A24" s="204"/>
      <c r="B24" s="202" t="s">
        <v>180</v>
      </c>
      <c r="C24" s="679"/>
      <c r="D24" s="680"/>
    </row>
    <row r="25" spans="1:10" ht="37.35" customHeight="1" x14ac:dyDescent="0.25">
      <c r="A25" s="90" t="s">
        <v>130</v>
      </c>
      <c r="B25" s="573" t="s">
        <v>131</v>
      </c>
      <c r="C25" s="574"/>
      <c r="D25" s="302"/>
      <c r="E25" s="29"/>
      <c r="G25" s="30"/>
      <c r="I25" s="29"/>
      <c r="J25" s="29"/>
    </row>
    <row r="26" spans="1:10" ht="37.35" customHeight="1" thickBot="1" x14ac:dyDescent="0.25">
      <c r="A26" s="203"/>
      <c r="B26" s="201" t="s">
        <v>181</v>
      </c>
      <c r="C26" s="585"/>
      <c r="D26" s="680"/>
      <c r="E26" s="29"/>
      <c r="G26" s="30"/>
      <c r="I26" s="29"/>
      <c r="J26" s="29"/>
    </row>
    <row r="27" spans="1:10" ht="44.1" customHeight="1" thickBot="1" x14ac:dyDescent="0.25">
      <c r="A27" s="270" t="s">
        <v>133</v>
      </c>
      <c r="B27" s="575" t="s">
        <v>134</v>
      </c>
      <c r="C27" s="576"/>
      <c r="D27" s="282" t="s">
        <v>6</v>
      </c>
      <c r="E27" s="29"/>
      <c r="G27" s="30"/>
      <c r="I27" s="29"/>
      <c r="J27" s="29"/>
    </row>
    <row r="28" spans="1:10" ht="37.35" customHeight="1" x14ac:dyDescent="0.2">
      <c r="A28" s="689" t="s">
        <v>135</v>
      </c>
      <c r="B28" s="583" t="s">
        <v>236</v>
      </c>
      <c r="C28" s="584"/>
      <c r="D28" s="300"/>
      <c r="E28" s="29"/>
      <c r="G28" s="30"/>
      <c r="I28" s="29"/>
      <c r="J28" s="29"/>
    </row>
    <row r="29" spans="1:10" ht="37.35" customHeight="1" thickBot="1" x14ac:dyDescent="0.25">
      <c r="A29" s="690"/>
      <c r="B29" s="201" t="s">
        <v>245</v>
      </c>
      <c r="C29" s="585"/>
      <c r="D29" s="680"/>
      <c r="E29" s="29"/>
      <c r="G29" s="30"/>
      <c r="I29" s="29"/>
      <c r="J29" s="29"/>
    </row>
    <row r="30" spans="1:10" ht="17.100000000000001" customHeight="1" thickBot="1" x14ac:dyDescent="0.3">
      <c r="A30" s="108" t="s">
        <v>194</v>
      </c>
      <c r="B30" s="102"/>
      <c r="C30" s="102"/>
      <c r="D30" s="103"/>
      <c r="E30" s="29"/>
      <c r="G30" s="30"/>
      <c r="I30" s="29"/>
      <c r="J30" s="29"/>
    </row>
    <row r="31" spans="1:10" ht="48.6" customHeight="1" x14ac:dyDescent="0.25">
      <c r="A31" s="90" t="s">
        <v>246</v>
      </c>
      <c r="B31" s="613" t="s">
        <v>247</v>
      </c>
      <c r="C31" s="614"/>
      <c r="D31" s="284" t="s">
        <v>6</v>
      </c>
      <c r="E31" s="29"/>
      <c r="G31" s="30"/>
      <c r="I31" s="29"/>
      <c r="J31" s="29"/>
    </row>
    <row r="32" spans="1:10" ht="39" customHeight="1" thickBot="1" x14ac:dyDescent="0.25">
      <c r="A32" s="79"/>
      <c r="B32" s="158" t="s">
        <v>248</v>
      </c>
      <c r="C32" s="649"/>
      <c r="D32" s="650"/>
      <c r="E32" s="29"/>
      <c r="G32" s="30"/>
      <c r="I32" s="29"/>
      <c r="J32" s="29"/>
    </row>
    <row r="33" spans="1:10" ht="50.85" customHeight="1" x14ac:dyDescent="0.25">
      <c r="A33" s="90" t="s">
        <v>249</v>
      </c>
      <c r="B33" s="613" t="s">
        <v>250</v>
      </c>
      <c r="C33" s="614"/>
      <c r="D33" s="284" t="s">
        <v>6</v>
      </c>
      <c r="E33" s="29"/>
      <c r="G33" s="30"/>
      <c r="I33" s="29"/>
      <c r="J33" s="29"/>
    </row>
    <row r="34" spans="1:10" ht="41.85" customHeight="1" thickBot="1" x14ac:dyDescent="0.25">
      <c r="A34" s="79"/>
      <c r="B34" s="158" t="s">
        <v>251</v>
      </c>
      <c r="C34" s="649"/>
      <c r="D34" s="650"/>
      <c r="E34" s="29"/>
      <c r="G34" s="30"/>
      <c r="I34" s="29"/>
      <c r="J34" s="29"/>
    </row>
    <row r="35" spans="1:10" ht="63.6" customHeight="1" x14ac:dyDescent="0.25">
      <c r="A35" s="90" t="s">
        <v>252</v>
      </c>
      <c r="B35" s="613" t="s">
        <v>253</v>
      </c>
      <c r="C35" s="614"/>
      <c r="D35" s="305"/>
      <c r="E35" s="29"/>
      <c r="G35" s="30"/>
      <c r="I35" s="29"/>
      <c r="J35" s="29"/>
    </row>
    <row r="36" spans="1:10" ht="65.849999999999994" customHeight="1" thickBot="1" x14ac:dyDescent="0.25">
      <c r="A36" s="79"/>
      <c r="B36" s="158" t="s">
        <v>254</v>
      </c>
      <c r="C36" s="649"/>
      <c r="D36" s="650"/>
      <c r="E36" s="29"/>
    </row>
    <row r="37" spans="1:10" ht="68.099999999999994" customHeight="1" x14ac:dyDescent="0.25">
      <c r="A37" s="90" t="s">
        <v>255</v>
      </c>
      <c r="B37" s="613" t="s">
        <v>256</v>
      </c>
      <c r="C37" s="614"/>
      <c r="D37" s="305"/>
      <c r="E37" s="29"/>
    </row>
    <row r="38" spans="1:10" ht="51.6" customHeight="1" thickBot="1" x14ac:dyDescent="0.25">
      <c r="A38" s="79"/>
      <c r="B38" s="158" t="s">
        <v>257</v>
      </c>
      <c r="C38" s="649"/>
      <c r="D38" s="650"/>
      <c r="E38" s="29"/>
    </row>
    <row r="39" spans="1:10" ht="61.35" customHeight="1" x14ac:dyDescent="0.25">
      <c r="A39" s="90" t="s">
        <v>258</v>
      </c>
      <c r="B39" s="613" t="s">
        <v>259</v>
      </c>
      <c r="C39" s="614"/>
      <c r="D39" s="306"/>
      <c r="E39" s="29"/>
    </row>
    <row r="40" spans="1:10" ht="62.85" customHeight="1" thickBot="1" x14ac:dyDescent="0.25">
      <c r="A40" s="79"/>
      <c r="B40" s="158" t="s">
        <v>260</v>
      </c>
      <c r="C40" s="649"/>
      <c r="D40" s="650"/>
      <c r="F40" s="29"/>
      <c r="G40" s="30"/>
      <c r="J40" s="29"/>
    </row>
    <row r="41" spans="1:10" ht="60" customHeight="1" x14ac:dyDescent="0.25">
      <c r="A41" s="90" t="s">
        <v>261</v>
      </c>
      <c r="B41" s="613" t="s">
        <v>262</v>
      </c>
      <c r="C41" s="614"/>
      <c r="D41" s="306"/>
    </row>
    <row r="42" spans="1:10" ht="60.6" customHeight="1" thickBot="1" x14ac:dyDescent="0.25">
      <c r="A42" s="79"/>
      <c r="B42" s="158" t="s">
        <v>263</v>
      </c>
      <c r="C42" s="649"/>
      <c r="D42" s="650"/>
    </row>
    <row r="43" spans="1:10" ht="63" customHeight="1" x14ac:dyDescent="0.25">
      <c r="A43" s="90" t="s">
        <v>264</v>
      </c>
      <c r="B43" s="613" t="s">
        <v>265</v>
      </c>
      <c r="C43" s="614"/>
      <c r="D43" s="306"/>
    </row>
    <row r="44" spans="1:10" ht="68.099999999999994" customHeight="1" thickBot="1" x14ac:dyDescent="0.25">
      <c r="A44" s="79"/>
      <c r="B44" s="158" t="s">
        <v>266</v>
      </c>
      <c r="C44" s="649"/>
      <c r="D44" s="650"/>
    </row>
    <row r="45" spans="1:10" ht="62.1" customHeight="1" x14ac:dyDescent="0.25">
      <c r="A45" s="90" t="s">
        <v>267</v>
      </c>
      <c r="B45" s="613" t="s">
        <v>268</v>
      </c>
      <c r="C45" s="614"/>
      <c r="D45" s="306"/>
    </row>
    <row r="46" spans="1:10" ht="56.85" customHeight="1" thickBot="1" x14ac:dyDescent="0.25">
      <c r="A46" s="79"/>
      <c r="B46" s="158" t="s">
        <v>269</v>
      </c>
      <c r="C46" s="649"/>
      <c r="D46" s="650"/>
    </row>
    <row r="47" spans="1:10" ht="56.85" customHeight="1" x14ac:dyDescent="0.25">
      <c r="A47" s="90" t="s">
        <v>284</v>
      </c>
      <c r="B47" s="613" t="s">
        <v>2662</v>
      </c>
      <c r="C47" s="614"/>
      <c r="D47" s="284" t="s">
        <v>6</v>
      </c>
    </row>
    <row r="48" spans="1:10" ht="56.85" customHeight="1" thickBot="1" x14ac:dyDescent="0.25">
      <c r="A48" s="238"/>
      <c r="B48" s="348" t="s">
        <v>2661</v>
      </c>
      <c r="C48" s="649"/>
      <c r="D48" s="650"/>
    </row>
    <row r="49" spans="1:4" ht="16.350000000000001" customHeight="1" thickBot="1" x14ac:dyDescent="0.3">
      <c r="A49" s="247" t="s">
        <v>138</v>
      </c>
      <c r="B49" s="248"/>
      <c r="C49" s="248"/>
      <c r="D49" s="98"/>
    </row>
    <row r="50" spans="1:4" ht="56.1" customHeight="1" x14ac:dyDescent="0.25">
      <c r="A50" s="106" t="s">
        <v>139</v>
      </c>
      <c r="B50" s="591" t="s">
        <v>140</v>
      </c>
      <c r="C50" s="588"/>
      <c r="D50" s="284" t="s">
        <v>6</v>
      </c>
    </row>
    <row r="51" spans="1:4" ht="39" customHeight="1" thickBot="1" x14ac:dyDescent="0.25">
      <c r="A51" s="105"/>
      <c r="B51" s="93" t="s">
        <v>141</v>
      </c>
      <c r="C51" s="589"/>
      <c r="D51" s="590"/>
    </row>
    <row r="52" spans="1:4" ht="59.1" customHeight="1" x14ac:dyDescent="0.25">
      <c r="A52" s="106" t="s">
        <v>142</v>
      </c>
      <c r="B52" s="591" t="s">
        <v>143</v>
      </c>
      <c r="C52" s="588"/>
      <c r="D52" s="284" t="s">
        <v>6</v>
      </c>
    </row>
    <row r="53" spans="1:4" ht="38.85" customHeight="1" thickBot="1" x14ac:dyDescent="0.25">
      <c r="A53" s="105"/>
      <c r="B53" s="93" t="s">
        <v>144</v>
      </c>
      <c r="C53" s="589"/>
      <c r="D53" s="590"/>
    </row>
    <row r="54" spans="1:4" ht="62.85" customHeight="1" x14ac:dyDescent="0.25">
      <c r="A54" s="106" t="s">
        <v>145</v>
      </c>
      <c r="B54" s="591" t="s">
        <v>146</v>
      </c>
      <c r="C54" s="588"/>
      <c r="D54" s="284" t="s">
        <v>6</v>
      </c>
    </row>
    <row r="55" spans="1:4" ht="42" customHeight="1" thickBot="1" x14ac:dyDescent="0.25">
      <c r="A55" s="105"/>
      <c r="B55" s="93" t="s">
        <v>147</v>
      </c>
      <c r="C55" s="589"/>
      <c r="D55" s="590"/>
    </row>
    <row r="56" spans="1:4" ht="42" customHeight="1" thickBot="1" x14ac:dyDescent="0.25">
      <c r="A56" s="224" t="s">
        <v>148</v>
      </c>
      <c r="B56" s="592" t="s">
        <v>149</v>
      </c>
      <c r="C56" s="653"/>
      <c r="D56" s="514" t="s">
        <v>6</v>
      </c>
    </row>
    <row r="57" spans="1:4" ht="15" x14ac:dyDescent="0.2">
      <c r="A57" s="224" t="s">
        <v>151</v>
      </c>
      <c r="B57" s="587" t="s">
        <v>152</v>
      </c>
      <c r="C57" s="588"/>
      <c r="D57" s="522">
        <f>COUNTIF(D58:D71,"Yes")</f>
        <v>0</v>
      </c>
    </row>
    <row r="58" spans="1:4" ht="15" x14ac:dyDescent="0.25">
      <c r="A58" s="225"/>
      <c r="B58" s="217"/>
      <c r="C58" s="219" t="s">
        <v>153</v>
      </c>
      <c r="D58" s="285" t="s">
        <v>6</v>
      </c>
    </row>
    <row r="59" spans="1:4" ht="15" x14ac:dyDescent="0.2">
      <c r="A59" s="225"/>
      <c r="B59" s="217"/>
      <c r="C59" s="218" t="s">
        <v>154</v>
      </c>
      <c r="D59" s="285" t="s">
        <v>6</v>
      </c>
    </row>
    <row r="60" spans="1:4" ht="15" x14ac:dyDescent="0.2">
      <c r="A60" s="225"/>
      <c r="B60" s="217"/>
      <c r="C60" s="218" t="s">
        <v>155</v>
      </c>
      <c r="D60" s="285" t="s">
        <v>6</v>
      </c>
    </row>
    <row r="61" spans="1:4" ht="15" x14ac:dyDescent="0.2">
      <c r="A61" s="225"/>
      <c r="B61" s="217"/>
      <c r="C61" s="218" t="s">
        <v>156</v>
      </c>
      <c r="D61" s="285" t="s">
        <v>6</v>
      </c>
    </row>
    <row r="62" spans="1:4" ht="15" x14ac:dyDescent="0.2">
      <c r="A62" s="225"/>
      <c r="B62" s="217"/>
      <c r="C62" s="218" t="s">
        <v>157</v>
      </c>
      <c r="D62" s="285" t="s">
        <v>6</v>
      </c>
    </row>
    <row r="63" spans="1:4" ht="15" x14ac:dyDescent="0.2">
      <c r="A63" s="225"/>
      <c r="B63" s="217"/>
      <c r="C63" s="218" t="s">
        <v>158</v>
      </c>
      <c r="D63" s="285" t="s">
        <v>6</v>
      </c>
    </row>
    <row r="64" spans="1:4" ht="15" x14ac:dyDescent="0.2">
      <c r="A64" s="225"/>
      <c r="B64" s="217"/>
      <c r="C64" s="218" t="s">
        <v>159</v>
      </c>
      <c r="D64" s="285" t="s">
        <v>6</v>
      </c>
    </row>
    <row r="65" spans="1:15" ht="15" x14ac:dyDescent="0.2">
      <c r="A65" s="225"/>
      <c r="B65" s="217"/>
      <c r="C65" s="218" t="s">
        <v>160</v>
      </c>
      <c r="D65" s="285" t="s">
        <v>6</v>
      </c>
    </row>
    <row r="66" spans="1:15" ht="15" x14ac:dyDescent="0.2">
      <c r="A66" s="225"/>
      <c r="B66" s="217"/>
      <c r="C66" s="220" t="s">
        <v>161</v>
      </c>
      <c r="D66" s="285" t="s">
        <v>6</v>
      </c>
    </row>
    <row r="67" spans="1:15" ht="15" x14ac:dyDescent="0.2">
      <c r="A67" s="225"/>
      <c r="B67" s="217"/>
      <c r="C67" s="218" t="s">
        <v>162</v>
      </c>
      <c r="D67" s="285" t="s">
        <v>6</v>
      </c>
    </row>
    <row r="68" spans="1:15" ht="15" x14ac:dyDescent="0.2">
      <c r="A68" s="225"/>
      <c r="B68" s="217"/>
      <c r="C68" s="218" t="s">
        <v>163</v>
      </c>
      <c r="D68" s="285" t="s">
        <v>6</v>
      </c>
    </row>
    <row r="69" spans="1:15" ht="15" x14ac:dyDescent="0.2">
      <c r="A69" s="225"/>
      <c r="B69" s="217"/>
      <c r="C69" s="218" t="s">
        <v>164</v>
      </c>
      <c r="D69" s="285" t="s">
        <v>6</v>
      </c>
    </row>
    <row r="70" spans="1:15" ht="15" x14ac:dyDescent="0.2">
      <c r="A70" s="225"/>
      <c r="B70" s="217"/>
      <c r="C70" s="218" t="s">
        <v>165</v>
      </c>
      <c r="D70" s="285" t="s">
        <v>6</v>
      </c>
    </row>
    <row r="71" spans="1:15" ht="15.75" thickBot="1" x14ac:dyDescent="0.25">
      <c r="A71" s="226"/>
      <c r="B71" s="221"/>
      <c r="C71" s="222" t="s">
        <v>166</v>
      </c>
      <c r="D71" s="286" t="s">
        <v>6</v>
      </c>
    </row>
    <row r="72" spans="1:15" x14ac:dyDescent="0.2">
      <c r="B72" s="126"/>
      <c r="C72" s="127"/>
    </row>
    <row r="73" spans="1:15" ht="20.85" customHeight="1" x14ac:dyDescent="0.25">
      <c r="A73" s="595" t="s">
        <v>167</v>
      </c>
      <c r="B73" s="595"/>
      <c r="C73" s="595"/>
      <c r="D73" s="595"/>
    </row>
    <row r="74" spans="1:15" ht="20.85" customHeight="1" x14ac:dyDescent="0.25">
      <c r="A74" s="623" t="str">
        <f>HYPERLINK("#"&amp;"Scoring!$C$195","-&gt; Click Here to View Score")</f>
        <v>-&gt; Click Here to View Score</v>
      </c>
      <c r="B74" s="623"/>
      <c r="C74" s="623"/>
      <c r="D74" s="623"/>
    </row>
    <row r="75" spans="1:15" ht="20.85" customHeight="1" x14ac:dyDescent="0.25">
      <c r="A75" s="623" t="str">
        <f>HYPERLINK("#"&amp;"Instructions!$A$1","&lt;- Click Here to Return to Instructions")</f>
        <v>&lt;- Click Here to Return to Instructions</v>
      </c>
      <c r="B75" s="623"/>
      <c r="C75" s="623"/>
      <c r="D75" s="623"/>
    </row>
    <row r="76" spans="1:15" ht="20.85" customHeight="1" x14ac:dyDescent="0.25">
      <c r="A76" s="623" t="str">
        <f>HYPERLINK("#"&amp;"Applicant_Information!$A$1","&lt;- Click Here to Return to Applicant Information")</f>
        <v>&lt;- Click Here to Return to Applicant Information</v>
      </c>
      <c r="B76" s="623"/>
      <c r="C76" s="623"/>
      <c r="D76" s="623"/>
    </row>
    <row r="77" spans="1:15" ht="20.85" customHeight="1" x14ac:dyDescent="0.25">
      <c r="A77" s="623" t="str">
        <f>HYPERLINK("#"&amp;"Qualified_Property_List!$A$1","&lt;- Click Here to Return to Qualified Property List")</f>
        <v>&lt;- Click Here to Return to Qualified Property List</v>
      </c>
      <c r="B77" s="623"/>
      <c r="C77" s="623"/>
      <c r="D77" s="623"/>
    </row>
    <row r="78" spans="1:15" s="35" customFormat="1" x14ac:dyDescent="0.2">
      <c r="A78" s="29"/>
      <c r="B78" s="30"/>
      <c r="C78" s="51"/>
      <c r="E78" s="30"/>
      <c r="F78" s="30"/>
      <c r="G78" s="29"/>
      <c r="H78" s="30"/>
      <c r="I78" s="30"/>
      <c r="J78" s="30"/>
      <c r="K78" s="29"/>
      <c r="L78" s="29"/>
      <c r="M78" s="29"/>
      <c r="N78" s="29"/>
      <c r="O78" s="29"/>
    </row>
    <row r="92" ht="21" customHeight="1" x14ac:dyDescent="0.2"/>
    <row r="93" ht="21" customHeight="1" x14ac:dyDescent="0.2"/>
    <row r="94" ht="21" customHeight="1" x14ac:dyDescent="0.2"/>
    <row r="95" ht="21" customHeight="1" x14ac:dyDescent="0.2"/>
    <row r="96" ht="21" customHeight="1" x14ac:dyDescent="0.2"/>
  </sheetData>
  <sheetProtection algorithmName="SHA-512" hashValue="BddvwjPxdjToWLteeKxNXULJdX1Grz7kpEpcWW02UUOiS34vok5NaYKfakBJKcgDzklnGH2ks/nsG0NvZ/wQSA==" saltValue="RXFRHrn8UTWQTCMf5P08nw==" spinCount="100000" sheet="1" formatCells="0" formatColumns="0" formatRows="0"/>
  <mergeCells count="57">
    <mergeCell ref="B47:C47"/>
    <mergeCell ref="C48:D48"/>
    <mergeCell ref="C29:D29"/>
    <mergeCell ref="A28:A29"/>
    <mergeCell ref="A3:D3"/>
    <mergeCell ref="B5:C5"/>
    <mergeCell ref="B7:C7"/>
    <mergeCell ref="B11:C11"/>
    <mergeCell ref="B15:C15"/>
    <mergeCell ref="C14:D14"/>
    <mergeCell ref="C8:D8"/>
    <mergeCell ref="C12:D12"/>
    <mergeCell ref="B9:C9"/>
    <mergeCell ref="C6:D6"/>
    <mergeCell ref="C10:D10"/>
    <mergeCell ref="B31:C31"/>
    <mergeCell ref="C32:D32"/>
    <mergeCell ref="B33:C33"/>
    <mergeCell ref="C34:D34"/>
    <mergeCell ref="B35:C35"/>
    <mergeCell ref="B43:C43"/>
    <mergeCell ref="C44:D44"/>
    <mergeCell ref="B45:C45"/>
    <mergeCell ref="C46:D46"/>
    <mergeCell ref="B37:C37"/>
    <mergeCell ref="C38:D38"/>
    <mergeCell ref="B39:C39"/>
    <mergeCell ref="C40:D40"/>
    <mergeCell ref="B41:C41"/>
    <mergeCell ref="C42:D42"/>
    <mergeCell ref="B50:C50"/>
    <mergeCell ref="C51:D51"/>
    <mergeCell ref="C36:D36"/>
    <mergeCell ref="C16:D16"/>
    <mergeCell ref="B17:C17"/>
    <mergeCell ref="B19:C19"/>
    <mergeCell ref="B21:C21"/>
    <mergeCell ref="B23:C23"/>
    <mergeCell ref="B25:C25"/>
    <mergeCell ref="C18:D18"/>
    <mergeCell ref="C20:D20"/>
    <mergeCell ref="C22:D22"/>
    <mergeCell ref="C24:D24"/>
    <mergeCell ref="C26:D26"/>
    <mergeCell ref="B27:C27"/>
    <mergeCell ref="B28:C28"/>
    <mergeCell ref="A77:D77"/>
    <mergeCell ref="B52:C52"/>
    <mergeCell ref="C53:D53"/>
    <mergeCell ref="B54:C54"/>
    <mergeCell ref="C55:D55"/>
    <mergeCell ref="B57:C57"/>
    <mergeCell ref="A73:D73"/>
    <mergeCell ref="A74:D74"/>
    <mergeCell ref="A75:D75"/>
    <mergeCell ref="A76:D76"/>
    <mergeCell ref="B56:C56"/>
  </mergeCells>
  <conditionalFormatting sqref="B28:D29">
    <cfRule type="expression" dxfId="8" priority="1">
      <formula>($D$27="No")</formula>
    </cfRule>
  </conditionalFormatting>
  <dataValidations count="6">
    <dataValidation type="list" allowBlank="1" showInputMessage="1" showErrorMessage="1" sqref="D33 D31 D50 D52 D54 D58:D71 D27 D47" xr:uid="{00000000-0002-0000-0700-000000000000}">
      <formula1>yes_no</formula1>
    </dataValidation>
    <dataValidation allowBlank="1" showInputMessage="1" showErrorMessage="1" promptTitle="Multiple Qualified Products" prompt="If multiple products are produced, enter the average price across all products here. " sqref="C43 C45 C35 C37 C39 C41" xr:uid="{00000000-0002-0000-0700-000001000000}"/>
    <dataValidation allowBlank="1" showInputMessage="1" showErrorMessage="1" promptTitle="Note:" prompt="An annual Full-Time Equivalent (FTE) employee equals 1 if there is 1 full time position for 12 months, or 2 half-time positions for 12 months, or 4 full-time positions for 3 months, etc." sqref="D7:D9" xr:uid="{00000000-0002-0000-0700-000002000000}"/>
    <dataValidation allowBlank="1" showInputMessage="1" showErrorMessage="1" promptTitle="Multiple Qualified Products" prompt="If your Facility produces multiple Qualified Products (e.g. units of different sizes or capacities), base the calculations on the average value across all relevant products." sqref="D15" xr:uid="{00000000-0002-0000-0700-000003000000}"/>
    <dataValidation type="decimal" allowBlank="1" showInputMessage="1" showErrorMessage="1" prompt="Please enter a value between 0% and 100%. " sqref="D28" xr:uid="{00000000-0002-0000-0700-000004000000}">
      <formula1>0</formula1>
      <formula2>1</formula2>
    </dataValidation>
    <dataValidation type="list" allowBlank="1" showInputMessage="1" showErrorMessage="1" sqref="D56" xr:uid="{6D19F258-2C2F-449B-BAAE-2E9F6397F1B0}">
      <formula1>Emerging_Strategic_Industry</formula1>
    </dataValidation>
  </dataValidations>
  <pageMargins left="0.7" right="0.7" top="0.75" bottom="0.75" header="0.3" footer="0"/>
  <pageSetup scale="32" fitToHeight="0" orientation="portrait" r:id="rId1"/>
  <headerFooter alignWithMargins="0">
    <oddHeader>&amp;L&amp;20&amp;UAdvanced Manufacturing</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8" id="{D3F4ACC0-DFA8-4EC3-9E5F-FA954E622E73}">
            <xm:f>Applicant_Information!$B$8&lt;&gt;"Advanced_Manufacturing"</xm:f>
            <x14:dxf>
              <font>
                <color theme="0" tint="-0.24994659260841701"/>
              </font>
              <fill>
                <patternFill patternType="mediumGray">
                  <fgColor theme="4" tint="0.59996337778862885"/>
                </patternFill>
              </fill>
            </x14:dxf>
          </x14:cfRule>
          <xm:sqref>A5:D28 B29:D29 A30:D55 A56:B56 D56 A57:D71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autoPageBreaks="0" fitToPage="1"/>
  </sheetPr>
  <dimension ref="A1:O65"/>
  <sheetViews>
    <sheetView showGridLines="0" zoomScaleNormal="100" zoomScalePageLayoutView="75" workbookViewId="0">
      <selection activeCell="E41" sqref="E41"/>
    </sheetView>
  </sheetViews>
  <sheetFormatPr defaultColWidth="9.140625" defaultRowHeight="12.75" x14ac:dyDescent="0.2"/>
  <cols>
    <col min="1" max="1" width="5.140625" style="29" customWidth="1"/>
    <col min="2" max="2" width="76.42578125" style="30" customWidth="1"/>
    <col min="3" max="3" width="42.42578125" style="30" customWidth="1"/>
    <col min="4" max="4" width="36.140625" style="35" customWidth="1"/>
    <col min="5" max="5" width="77.42578125" style="30" customWidth="1"/>
    <col min="6" max="6" width="15.42578125" style="30" customWidth="1"/>
    <col min="7" max="7" width="9.140625" style="29"/>
    <col min="8" max="10" width="15.42578125" style="30" customWidth="1"/>
    <col min="11" max="16384" width="9.140625" style="29"/>
  </cols>
  <sheetData>
    <row r="1" spans="1:10" ht="36.75" customHeight="1" x14ac:dyDescent="0.2">
      <c r="B1" s="29"/>
      <c r="C1" s="46"/>
      <c r="D1" s="521" t="s">
        <v>80</v>
      </c>
    </row>
    <row r="2" spans="1:10" ht="27" customHeight="1" thickBot="1" x14ac:dyDescent="0.4">
      <c r="A2" s="543" t="str">
        <f>IF(Applicant_Information!B8=D1,"",IF(Applicant_Information!B8="BioFuels",(HYPERLINK("#"&amp;"BioFuels!A1","-&gt; THIS PAGE FOR "&amp; D1 &amp;" APPLICANTS ONLY -&gt; Go to "&amp;Applicant_Information!B8&amp;" Section")),
IF(Applicant_Information!B8="Energy_Efficiency",(HYPERLINK("#"&amp;"Energy_Efficiency!A1","-&gt; THIS PAGE FOR "&amp; D1&amp;" APPLICANTS ONLY -&gt; Go to "&amp;Applicant_Information!B8&amp;" Section")),
IF(Applicant_Information!B8="Alternative_Energy",(HYPERLINK("#"&amp;"Alternative_Energy!A1","-&gt; THIS PAGE FOR "&amp; D1 &amp;" APPLICANTS ONLY -&gt; Go to "&amp;Applicant_Information!B8&amp;" Section")),
IF(Applicant_Information!B8="Advanced_Manufacturing",(HYPERLINK("#"&amp;"Advanced_Manufacturing!A1","-&gt; THIS PAGE FOR "&amp; D1 &amp;" APPLICANTS ONLY -&gt; Go to "&amp;Applicant_Information!B8&amp;" Section")),
IF(Applicant_Information!B8="Recycling",(HYPERLINK("#"&amp;"Recycling!A1","-&gt; THIS PAGE FOR "&amp; D1 &amp;" APPLICANTS ONLY -&gt; Go to "&amp;Applicant_Information!B8&amp;" Section")),
IF(Applicant_Information!B8="SELECT FROM DROPDOWN",(HYPERLINK("#"&amp;"Applicant_Information!A8","-&gt; THIS PAGE FOR "&amp; D1 &amp;" APPLICANTS ONLY -&gt; Go to "&amp;Applicant_Information!B8&amp;" Section")),
(HYPERLINK("#"&amp;"Other_Application_Types!A1","-&gt; THIS PAGE FOR "&amp; D1&amp;" APPLICANTS ONLY -&gt; Go to "&amp;Applicant_Information!B8&amp;" Section")))))))))</f>
        <v>-&gt; THIS PAGE FOR Recycling APPLICANTS ONLY -&gt; Go to SELECT FROM DROPDOWN Section</v>
      </c>
      <c r="B2" s="543"/>
      <c r="C2" s="543"/>
      <c r="D2" s="543"/>
      <c r="E2" s="31"/>
    </row>
    <row r="3" spans="1:10" ht="43.35" customHeight="1" x14ac:dyDescent="0.2">
      <c r="A3" s="659" t="s">
        <v>220</v>
      </c>
      <c r="B3" s="660"/>
      <c r="C3" s="660"/>
      <c r="D3" s="661"/>
      <c r="E3" s="31"/>
    </row>
    <row r="4" spans="1:10" ht="20.85" customHeight="1" thickBot="1" x14ac:dyDescent="0.3">
      <c r="A4" s="242" t="s">
        <v>95</v>
      </c>
      <c r="B4" s="243"/>
      <c r="C4" s="243"/>
      <c r="D4" s="96"/>
      <c r="E4" s="31"/>
    </row>
    <row r="5" spans="1:10" ht="62.85" customHeight="1" x14ac:dyDescent="0.25">
      <c r="A5" s="90" t="s">
        <v>96</v>
      </c>
      <c r="B5" s="643" t="s">
        <v>97</v>
      </c>
      <c r="C5" s="644"/>
      <c r="D5" s="287"/>
      <c r="E5" s="32"/>
      <c r="F5" s="33"/>
      <c r="H5" s="32"/>
      <c r="I5" s="32"/>
      <c r="J5" s="32"/>
    </row>
    <row r="6" spans="1:10" ht="51" customHeight="1" thickBot="1" x14ac:dyDescent="0.25">
      <c r="A6" s="197"/>
      <c r="B6" s="208" t="s">
        <v>98</v>
      </c>
      <c r="C6" s="696"/>
      <c r="D6" s="697"/>
      <c r="E6" s="29"/>
      <c r="F6" s="29"/>
      <c r="H6" s="29"/>
      <c r="I6" s="29"/>
      <c r="J6" s="29"/>
    </row>
    <row r="7" spans="1:10" ht="77.849999999999994" customHeight="1" x14ac:dyDescent="0.25">
      <c r="A7" s="90" t="s">
        <v>99</v>
      </c>
      <c r="B7" s="598" t="s">
        <v>100</v>
      </c>
      <c r="C7" s="599"/>
      <c r="D7" s="288"/>
      <c r="E7" s="29"/>
      <c r="F7" s="29"/>
      <c r="H7" s="29"/>
      <c r="I7" s="29"/>
      <c r="J7" s="29"/>
    </row>
    <row r="8" spans="1:10" ht="58.5" customHeight="1" thickBot="1" x14ac:dyDescent="0.25">
      <c r="A8" s="197"/>
      <c r="B8" s="201" t="s">
        <v>170</v>
      </c>
      <c r="C8" s="677"/>
      <c r="D8" s="678"/>
      <c r="E8" s="29"/>
      <c r="F8" s="29"/>
      <c r="H8" s="29"/>
      <c r="I8" s="29"/>
      <c r="J8" s="29"/>
    </row>
    <row r="9" spans="1:10" ht="58.5" customHeight="1" x14ac:dyDescent="0.2">
      <c r="A9" s="666" t="s">
        <v>102</v>
      </c>
      <c r="B9" s="695" t="s">
        <v>171</v>
      </c>
      <c r="C9" s="674"/>
      <c r="D9" s="297"/>
      <c r="E9" s="29"/>
      <c r="F9" s="29"/>
      <c r="H9" s="29"/>
      <c r="I9" s="29"/>
      <c r="J9" s="29"/>
    </row>
    <row r="10" spans="1:10" ht="58.5" customHeight="1" thickBot="1" x14ac:dyDescent="0.25">
      <c r="A10" s="700"/>
      <c r="B10" s="201" t="s">
        <v>172</v>
      </c>
      <c r="C10" s="681"/>
      <c r="D10" s="682"/>
      <c r="E10" s="29"/>
      <c r="F10" s="29"/>
      <c r="H10" s="29"/>
      <c r="I10" s="29"/>
      <c r="J10" s="29"/>
    </row>
    <row r="11" spans="1:10" ht="81" customHeight="1" x14ac:dyDescent="0.25">
      <c r="A11" s="90" t="s">
        <v>105</v>
      </c>
      <c r="B11" s="607" t="s">
        <v>106</v>
      </c>
      <c r="C11" s="608"/>
      <c r="D11" s="297"/>
      <c r="E11" s="29"/>
      <c r="F11" s="29"/>
      <c r="H11" s="29"/>
      <c r="I11" s="29"/>
      <c r="J11" s="29"/>
    </row>
    <row r="12" spans="1:10" ht="57.75" customHeight="1" thickBot="1" x14ac:dyDescent="0.25">
      <c r="A12" s="79"/>
      <c r="B12" s="202" t="s">
        <v>173</v>
      </c>
      <c r="C12" s="693"/>
      <c r="D12" s="694"/>
      <c r="E12" s="29"/>
      <c r="F12" s="29"/>
      <c r="H12" s="29"/>
      <c r="I12" s="29"/>
      <c r="J12" s="29"/>
    </row>
    <row r="13" spans="1:10" ht="19.350000000000001" customHeight="1" x14ac:dyDescent="0.2">
      <c r="A13" s="245" t="s">
        <v>174</v>
      </c>
      <c r="B13" s="246"/>
      <c r="C13" s="246"/>
      <c r="D13" s="97"/>
      <c r="E13" s="29"/>
      <c r="F13" s="29"/>
      <c r="H13" s="29"/>
      <c r="I13" s="29"/>
      <c r="J13" s="29"/>
    </row>
    <row r="14" spans="1:10" ht="39" customHeight="1" thickBot="1" x14ac:dyDescent="0.25">
      <c r="A14" s="81" t="s">
        <v>109</v>
      </c>
      <c r="B14" s="611" t="s">
        <v>270</v>
      </c>
      <c r="C14" s="612"/>
      <c r="D14" s="298"/>
      <c r="E14" s="29"/>
      <c r="F14" s="29"/>
      <c r="H14" s="29"/>
      <c r="I14" s="29"/>
      <c r="J14" s="29"/>
    </row>
    <row r="15" spans="1:10" ht="39" customHeight="1" thickBot="1" x14ac:dyDescent="0.25">
      <c r="A15" s="80" t="s">
        <v>111</v>
      </c>
      <c r="B15" s="165" t="s">
        <v>271</v>
      </c>
      <c r="C15" s="166"/>
      <c r="D15" s="282" t="s">
        <v>6</v>
      </c>
      <c r="E15" s="29"/>
      <c r="F15" s="29"/>
      <c r="H15" s="29"/>
      <c r="I15" s="29"/>
      <c r="J15" s="29"/>
    </row>
    <row r="16" spans="1:10" ht="51" customHeight="1" x14ac:dyDescent="0.25">
      <c r="A16" s="90" t="s">
        <v>115</v>
      </c>
      <c r="B16" s="607" t="s">
        <v>272</v>
      </c>
      <c r="C16" s="614"/>
      <c r="D16" s="291"/>
      <c r="E16" s="29"/>
      <c r="F16" s="29"/>
      <c r="H16" s="29"/>
      <c r="I16" s="29"/>
      <c r="J16" s="29"/>
    </row>
    <row r="17" spans="1:10" ht="60" customHeight="1" thickBot="1" x14ac:dyDescent="0.25">
      <c r="A17" s="197"/>
      <c r="B17" s="187" t="s">
        <v>273</v>
      </c>
      <c r="C17" s="649"/>
      <c r="D17" s="650"/>
      <c r="E17" s="29"/>
      <c r="F17" s="29"/>
      <c r="H17" s="29"/>
      <c r="I17" s="29"/>
      <c r="J17" s="29"/>
    </row>
    <row r="18" spans="1:10" ht="41.85" customHeight="1" x14ac:dyDescent="0.25">
      <c r="A18" s="90" t="s">
        <v>118</v>
      </c>
      <c r="B18" s="667" t="s">
        <v>274</v>
      </c>
      <c r="C18" s="668"/>
      <c r="D18" s="299"/>
      <c r="E18" s="29"/>
      <c r="F18" s="29"/>
      <c r="H18" s="29"/>
      <c r="I18" s="29"/>
      <c r="J18" s="29"/>
    </row>
    <row r="19" spans="1:10" ht="58.5" customHeight="1" thickBot="1" x14ac:dyDescent="0.25">
      <c r="A19" s="197"/>
      <c r="B19" s="202" t="s">
        <v>177</v>
      </c>
      <c r="C19" s="679"/>
      <c r="D19" s="680"/>
      <c r="E19" s="29"/>
      <c r="F19" s="29"/>
      <c r="H19" s="29"/>
      <c r="I19" s="29"/>
      <c r="J19" s="29"/>
    </row>
    <row r="20" spans="1:10" ht="74.099999999999994" customHeight="1" x14ac:dyDescent="0.25">
      <c r="A20" s="90" t="s">
        <v>121</v>
      </c>
      <c r="B20" s="573" t="s">
        <v>122</v>
      </c>
      <c r="C20" s="574"/>
      <c r="D20" s="299"/>
      <c r="E20" s="29"/>
      <c r="F20" s="29"/>
      <c r="H20" s="29"/>
      <c r="I20" s="29"/>
      <c r="J20" s="29"/>
    </row>
    <row r="21" spans="1:10" ht="74.099999999999994" customHeight="1" thickBot="1" x14ac:dyDescent="0.25">
      <c r="A21" s="197"/>
      <c r="B21" s="201" t="s">
        <v>178</v>
      </c>
      <c r="C21" s="585"/>
      <c r="D21" s="680"/>
      <c r="E21" s="29"/>
      <c r="F21" s="29"/>
      <c r="H21" s="29"/>
      <c r="I21" s="29"/>
      <c r="J21" s="29"/>
    </row>
    <row r="22" spans="1:10" ht="41.1" customHeight="1" x14ac:dyDescent="0.25">
      <c r="A22" s="90" t="s">
        <v>124</v>
      </c>
      <c r="B22" s="573" t="s">
        <v>125</v>
      </c>
      <c r="C22" s="574"/>
      <c r="D22" s="283"/>
      <c r="E22" s="29"/>
      <c r="F22" s="29"/>
      <c r="H22" s="29"/>
      <c r="I22" s="29"/>
      <c r="J22" s="29"/>
    </row>
    <row r="23" spans="1:10" ht="41.1" customHeight="1" thickBot="1" x14ac:dyDescent="0.25">
      <c r="A23" s="197"/>
      <c r="B23" s="201" t="s">
        <v>179</v>
      </c>
      <c r="C23" s="585"/>
      <c r="D23" s="586"/>
      <c r="E23" s="29"/>
      <c r="F23" s="29"/>
      <c r="H23" s="29"/>
      <c r="I23" s="29"/>
      <c r="J23" s="29"/>
    </row>
    <row r="24" spans="1:10" s="30" customFormat="1" ht="50.1" customHeight="1" x14ac:dyDescent="0.25">
      <c r="A24" s="90" t="s">
        <v>127</v>
      </c>
      <c r="B24" s="573" t="s">
        <v>128</v>
      </c>
      <c r="C24" s="574"/>
      <c r="D24" s="292"/>
    </row>
    <row r="25" spans="1:10" s="30" customFormat="1" ht="50.1" customHeight="1" thickBot="1" x14ac:dyDescent="0.25">
      <c r="A25" s="197"/>
      <c r="B25" s="201" t="s">
        <v>180</v>
      </c>
      <c r="C25" s="585"/>
      <c r="D25" s="586"/>
    </row>
    <row r="26" spans="1:10" ht="39" customHeight="1" x14ac:dyDescent="0.25">
      <c r="A26" s="90" t="s">
        <v>130</v>
      </c>
      <c r="B26" s="573" t="s">
        <v>131</v>
      </c>
      <c r="C26" s="574"/>
      <c r="D26" s="302"/>
      <c r="E26" s="29"/>
      <c r="F26" s="29"/>
      <c r="H26" s="29"/>
      <c r="I26" s="29"/>
      <c r="J26" s="29"/>
    </row>
    <row r="27" spans="1:10" ht="39" customHeight="1" thickBot="1" x14ac:dyDescent="0.25">
      <c r="A27" s="197"/>
      <c r="B27" s="201" t="s">
        <v>181</v>
      </c>
      <c r="C27" s="585"/>
      <c r="D27" s="680"/>
      <c r="E27" s="209"/>
      <c r="F27" s="29"/>
      <c r="H27" s="29"/>
      <c r="I27" s="29"/>
      <c r="J27" s="29"/>
    </row>
    <row r="28" spans="1:10" ht="39" customHeight="1" x14ac:dyDescent="0.25">
      <c r="A28" s="90" t="s">
        <v>133</v>
      </c>
      <c r="B28" s="573" t="s">
        <v>275</v>
      </c>
      <c r="C28" s="574"/>
      <c r="D28" s="302"/>
      <c r="E28" s="29"/>
      <c r="F28" s="29"/>
      <c r="H28" s="29"/>
      <c r="I28" s="29"/>
      <c r="J28" s="29"/>
    </row>
    <row r="29" spans="1:10" ht="39" customHeight="1" thickBot="1" x14ac:dyDescent="0.25">
      <c r="A29" s="197"/>
      <c r="B29" s="201" t="s">
        <v>276</v>
      </c>
      <c r="C29" s="585"/>
      <c r="D29" s="680"/>
      <c r="E29" s="29"/>
      <c r="F29" s="29"/>
      <c r="H29" s="29"/>
      <c r="I29" s="29"/>
      <c r="J29" s="29"/>
    </row>
    <row r="30" spans="1:10" ht="45.6" customHeight="1" thickBot="1" x14ac:dyDescent="0.25">
      <c r="A30" s="238" t="s">
        <v>183</v>
      </c>
      <c r="B30" s="575" t="s">
        <v>134</v>
      </c>
      <c r="C30" s="576"/>
      <c r="D30" s="282" t="s">
        <v>6</v>
      </c>
      <c r="E30" s="29"/>
      <c r="F30" s="29"/>
      <c r="H30" s="29"/>
      <c r="I30" s="29"/>
      <c r="J30" s="29"/>
    </row>
    <row r="31" spans="1:10" ht="39" customHeight="1" x14ac:dyDescent="0.2">
      <c r="A31" s="698" t="s">
        <v>277</v>
      </c>
      <c r="B31" s="583" t="s">
        <v>136</v>
      </c>
      <c r="C31" s="584"/>
      <c r="D31" s="300"/>
      <c r="E31" s="29"/>
      <c r="F31" s="29"/>
      <c r="H31" s="29"/>
      <c r="I31" s="29"/>
      <c r="J31" s="29"/>
    </row>
    <row r="32" spans="1:10" ht="39" customHeight="1" thickBot="1" x14ac:dyDescent="0.25">
      <c r="A32" s="699"/>
      <c r="B32" s="201" t="s">
        <v>278</v>
      </c>
      <c r="C32" s="585"/>
      <c r="D32" s="680"/>
      <c r="E32" s="29"/>
      <c r="F32" s="29"/>
      <c r="H32" s="29"/>
      <c r="I32" s="29"/>
      <c r="J32" s="29"/>
    </row>
    <row r="33" spans="1:10" ht="47.25" customHeight="1" x14ac:dyDescent="0.25">
      <c r="A33" s="106" t="s">
        <v>139</v>
      </c>
      <c r="B33" s="591" t="s">
        <v>140</v>
      </c>
      <c r="C33" s="588"/>
      <c r="D33" s="284" t="s">
        <v>6</v>
      </c>
      <c r="E33" s="29"/>
      <c r="F33" s="29"/>
      <c r="H33" s="29"/>
      <c r="I33" s="29"/>
      <c r="J33" s="29"/>
    </row>
    <row r="34" spans="1:10" ht="39" customHeight="1" thickBot="1" x14ac:dyDescent="0.25">
      <c r="A34" s="105"/>
      <c r="B34" s="93" t="s">
        <v>141</v>
      </c>
      <c r="C34" s="589"/>
      <c r="D34" s="590"/>
      <c r="E34" s="29"/>
      <c r="F34" s="29"/>
      <c r="H34" s="29"/>
      <c r="I34" s="29"/>
      <c r="J34" s="29"/>
    </row>
    <row r="35" spans="1:10" ht="62.1" customHeight="1" x14ac:dyDescent="0.25">
      <c r="A35" s="106" t="s">
        <v>142</v>
      </c>
      <c r="B35" s="591" t="s">
        <v>143</v>
      </c>
      <c r="C35" s="588"/>
      <c r="D35" s="284" t="s">
        <v>6</v>
      </c>
      <c r="E35" s="29"/>
      <c r="F35" s="29"/>
      <c r="H35" s="29"/>
      <c r="I35" s="29"/>
      <c r="J35" s="29"/>
    </row>
    <row r="36" spans="1:10" ht="39" customHeight="1" thickBot="1" x14ac:dyDescent="0.25">
      <c r="A36" s="105"/>
      <c r="B36" s="93" t="s">
        <v>144</v>
      </c>
      <c r="C36" s="589"/>
      <c r="D36" s="590"/>
      <c r="E36" s="29"/>
      <c r="F36" s="29"/>
      <c r="H36" s="29"/>
      <c r="I36" s="29"/>
      <c r="J36" s="29"/>
    </row>
    <row r="37" spans="1:10" ht="59.25" customHeight="1" x14ac:dyDescent="0.25">
      <c r="A37" s="106" t="s">
        <v>145</v>
      </c>
      <c r="B37" s="591" t="s">
        <v>146</v>
      </c>
      <c r="C37" s="588"/>
      <c r="D37" s="284" t="s">
        <v>6</v>
      </c>
      <c r="E37" s="29"/>
      <c r="F37" s="29"/>
      <c r="H37" s="29"/>
      <c r="I37" s="29"/>
      <c r="J37" s="29"/>
    </row>
    <row r="38" spans="1:10" ht="39" customHeight="1" thickBot="1" x14ac:dyDescent="0.25">
      <c r="A38" s="105"/>
      <c r="B38" s="93" t="s">
        <v>147</v>
      </c>
      <c r="C38" s="589"/>
      <c r="D38" s="590"/>
      <c r="E38" s="29"/>
      <c r="F38" s="29"/>
      <c r="H38" s="29"/>
      <c r="I38" s="29"/>
      <c r="J38" s="29"/>
    </row>
    <row r="39" spans="1:10" ht="39" customHeight="1" thickBot="1" x14ac:dyDescent="0.25">
      <c r="A39" s="224" t="s">
        <v>148</v>
      </c>
      <c r="B39" s="592" t="s">
        <v>149</v>
      </c>
      <c r="C39" s="653"/>
      <c r="D39" s="514" t="s">
        <v>6</v>
      </c>
      <c r="E39" s="29"/>
      <c r="F39" s="29"/>
      <c r="H39" s="29"/>
      <c r="I39" s="29"/>
      <c r="J39" s="29"/>
    </row>
    <row r="40" spans="1:10" ht="15" x14ac:dyDescent="0.2">
      <c r="A40" s="224" t="s">
        <v>151</v>
      </c>
      <c r="B40" s="587" t="s">
        <v>152</v>
      </c>
      <c r="C40" s="588"/>
      <c r="D40" s="522">
        <f>COUNTIF(D41:D54,"Yes")</f>
        <v>0</v>
      </c>
      <c r="E40" s="29"/>
      <c r="F40" s="29"/>
      <c r="H40" s="29"/>
      <c r="I40" s="29"/>
      <c r="J40" s="29"/>
    </row>
    <row r="41" spans="1:10" ht="15" x14ac:dyDescent="0.25">
      <c r="A41" s="225"/>
      <c r="B41" s="217"/>
      <c r="C41" s="219" t="s">
        <v>153</v>
      </c>
      <c r="D41" s="285" t="s">
        <v>6</v>
      </c>
      <c r="E41" s="29"/>
      <c r="F41" s="29"/>
      <c r="H41" s="29"/>
      <c r="I41" s="29"/>
      <c r="J41" s="29"/>
    </row>
    <row r="42" spans="1:10" ht="15" x14ac:dyDescent="0.2">
      <c r="A42" s="225"/>
      <c r="B42" s="217"/>
      <c r="C42" s="218" t="s">
        <v>154</v>
      </c>
      <c r="D42" s="285" t="s">
        <v>6</v>
      </c>
      <c r="E42" s="29"/>
      <c r="F42" s="29"/>
      <c r="H42" s="29"/>
      <c r="I42" s="29"/>
      <c r="J42" s="29"/>
    </row>
    <row r="43" spans="1:10" ht="15" x14ac:dyDescent="0.2">
      <c r="A43" s="225"/>
      <c r="B43" s="217"/>
      <c r="C43" s="218" t="s">
        <v>155</v>
      </c>
      <c r="D43" s="285" t="s">
        <v>6</v>
      </c>
      <c r="E43" s="29"/>
      <c r="F43" s="29"/>
      <c r="H43" s="29"/>
      <c r="I43" s="29"/>
      <c r="J43" s="29"/>
    </row>
    <row r="44" spans="1:10" ht="15" x14ac:dyDescent="0.2">
      <c r="A44" s="225"/>
      <c r="B44" s="217"/>
      <c r="C44" s="218" t="s">
        <v>156</v>
      </c>
      <c r="D44" s="285" t="s">
        <v>6</v>
      </c>
      <c r="E44" s="29"/>
      <c r="F44" s="29"/>
      <c r="H44" s="29"/>
      <c r="I44" s="29"/>
      <c r="J44" s="29"/>
    </row>
    <row r="45" spans="1:10" ht="15" x14ac:dyDescent="0.2">
      <c r="A45" s="225"/>
      <c r="B45" s="217"/>
      <c r="C45" s="218" t="s">
        <v>157</v>
      </c>
      <c r="D45" s="285" t="s">
        <v>6</v>
      </c>
      <c r="E45" s="29"/>
      <c r="F45" s="29"/>
      <c r="H45" s="29"/>
      <c r="I45" s="29"/>
      <c r="J45" s="29"/>
    </row>
    <row r="46" spans="1:10" ht="15" x14ac:dyDescent="0.2">
      <c r="A46" s="225"/>
      <c r="B46" s="217"/>
      <c r="C46" s="218" t="s">
        <v>158</v>
      </c>
      <c r="D46" s="285" t="s">
        <v>6</v>
      </c>
      <c r="E46" s="29"/>
      <c r="F46" s="29"/>
      <c r="H46" s="29"/>
      <c r="I46" s="29"/>
      <c r="J46" s="29"/>
    </row>
    <row r="47" spans="1:10" ht="15" x14ac:dyDescent="0.2">
      <c r="A47" s="225"/>
      <c r="B47" s="217"/>
      <c r="C47" s="218" t="s">
        <v>159</v>
      </c>
      <c r="D47" s="285" t="s">
        <v>6</v>
      </c>
      <c r="E47" s="29"/>
      <c r="F47" s="29"/>
      <c r="H47" s="29"/>
      <c r="I47" s="29"/>
      <c r="J47" s="29"/>
    </row>
    <row r="48" spans="1:10" ht="15" x14ac:dyDescent="0.2">
      <c r="A48" s="225"/>
      <c r="B48" s="217"/>
      <c r="C48" s="218" t="s">
        <v>160</v>
      </c>
      <c r="D48" s="285" t="s">
        <v>6</v>
      </c>
      <c r="E48" s="29"/>
      <c r="F48" s="29"/>
      <c r="H48" s="29"/>
      <c r="I48" s="29"/>
      <c r="J48" s="29"/>
    </row>
    <row r="49" spans="1:15" ht="15" x14ac:dyDescent="0.2">
      <c r="A49" s="225"/>
      <c r="B49" s="217"/>
      <c r="C49" s="220" t="s">
        <v>161</v>
      </c>
      <c r="D49" s="285" t="s">
        <v>6</v>
      </c>
      <c r="E49" s="29"/>
      <c r="F49" s="29"/>
      <c r="H49" s="29"/>
      <c r="I49" s="29"/>
      <c r="J49" s="29"/>
    </row>
    <row r="50" spans="1:15" ht="15" x14ac:dyDescent="0.2">
      <c r="A50" s="225"/>
      <c r="B50" s="217"/>
      <c r="C50" s="218" t="s">
        <v>162</v>
      </c>
      <c r="D50" s="285" t="s">
        <v>6</v>
      </c>
      <c r="E50" s="29"/>
      <c r="F50" s="29"/>
      <c r="H50" s="29"/>
      <c r="I50" s="29"/>
      <c r="J50" s="29"/>
    </row>
    <row r="51" spans="1:15" ht="15" x14ac:dyDescent="0.2">
      <c r="A51" s="225"/>
      <c r="B51" s="217"/>
      <c r="C51" s="218" t="s">
        <v>163</v>
      </c>
      <c r="D51" s="285" t="s">
        <v>6</v>
      </c>
      <c r="E51" s="29"/>
      <c r="F51" s="29"/>
      <c r="H51" s="29"/>
      <c r="I51" s="29"/>
      <c r="J51" s="29"/>
    </row>
    <row r="52" spans="1:15" ht="15" x14ac:dyDescent="0.2">
      <c r="A52" s="225"/>
      <c r="B52" s="217"/>
      <c r="C52" s="218" t="s">
        <v>164</v>
      </c>
      <c r="D52" s="285" t="s">
        <v>6</v>
      </c>
      <c r="E52" s="29"/>
      <c r="F52" s="29"/>
      <c r="H52" s="29"/>
      <c r="I52" s="29"/>
      <c r="J52" s="29"/>
    </row>
    <row r="53" spans="1:15" ht="15" x14ac:dyDescent="0.2">
      <c r="A53" s="225"/>
      <c r="B53" s="217"/>
      <c r="C53" s="218" t="s">
        <v>165</v>
      </c>
      <c r="D53" s="285" t="s">
        <v>6</v>
      </c>
      <c r="E53" s="29"/>
      <c r="F53" s="29"/>
      <c r="H53" s="29"/>
      <c r="I53" s="29"/>
      <c r="J53" s="29"/>
    </row>
    <row r="54" spans="1:15" s="35" customFormat="1" ht="15.75" thickBot="1" x14ac:dyDescent="0.25">
      <c r="A54" s="226"/>
      <c r="B54" s="221"/>
      <c r="C54" s="222" t="s">
        <v>166</v>
      </c>
      <c r="D54" s="286" t="s">
        <v>6</v>
      </c>
      <c r="E54" s="30"/>
      <c r="F54" s="30"/>
      <c r="G54" s="29"/>
      <c r="H54" s="30"/>
      <c r="I54" s="30"/>
      <c r="J54" s="30"/>
      <c r="K54" s="29"/>
      <c r="L54" s="29"/>
      <c r="M54" s="29"/>
      <c r="N54" s="29"/>
      <c r="O54" s="29"/>
    </row>
    <row r="55" spans="1:15" s="35" customFormat="1" x14ac:dyDescent="0.2">
      <c r="A55" s="29"/>
      <c r="B55" s="30"/>
      <c r="C55" s="30"/>
      <c r="E55" s="30"/>
      <c r="F55" s="30"/>
      <c r="G55" s="29"/>
      <c r="H55" s="30"/>
      <c r="I55" s="30"/>
      <c r="J55" s="30"/>
      <c r="K55" s="29"/>
      <c r="L55" s="29"/>
      <c r="M55" s="29"/>
      <c r="N55" s="29"/>
      <c r="O55" s="29"/>
    </row>
    <row r="56" spans="1:15" s="35" customFormat="1" ht="23.85" customHeight="1" x14ac:dyDescent="0.25">
      <c r="A56" s="595" t="s">
        <v>167</v>
      </c>
      <c r="B56" s="595"/>
      <c r="C56" s="595"/>
      <c r="D56" s="595"/>
      <c r="E56" s="30"/>
      <c r="F56" s="30"/>
      <c r="G56" s="29"/>
      <c r="H56" s="30"/>
      <c r="I56" s="30"/>
      <c r="J56" s="30"/>
      <c r="K56" s="29"/>
      <c r="L56" s="29"/>
      <c r="M56" s="29"/>
      <c r="N56" s="29"/>
      <c r="O56" s="29"/>
    </row>
    <row r="57" spans="1:15" s="35" customFormat="1" ht="23.85" customHeight="1" x14ac:dyDescent="0.25">
      <c r="A57" s="623" t="str">
        <f>HYPERLINK("#"&amp;"Scoring!$C$195","-&gt; Click Here to View Score")</f>
        <v>-&gt; Click Here to View Score</v>
      </c>
      <c r="B57" s="623"/>
      <c r="C57" s="623"/>
      <c r="D57" s="623"/>
      <c r="E57" s="30"/>
      <c r="F57" s="30"/>
      <c r="G57" s="29"/>
      <c r="H57" s="30"/>
      <c r="I57" s="30"/>
      <c r="J57" s="30"/>
      <c r="K57" s="29"/>
      <c r="L57" s="29"/>
      <c r="M57" s="29"/>
      <c r="N57" s="29"/>
      <c r="O57" s="29"/>
    </row>
    <row r="58" spans="1:15" ht="23.85" customHeight="1" x14ac:dyDescent="0.25">
      <c r="A58" s="623" t="str">
        <f>HYPERLINK("#"&amp;"Instructions!$A$1","&lt;- Click Here to Return to Instructions")</f>
        <v>&lt;- Click Here to Return to Instructions</v>
      </c>
      <c r="B58" s="623"/>
      <c r="C58" s="623"/>
      <c r="D58" s="623"/>
    </row>
    <row r="59" spans="1:15" ht="23.85" customHeight="1" x14ac:dyDescent="0.25">
      <c r="A59" s="623" t="str">
        <f>HYPERLINK("#"&amp;"Applicant_Information!$A$1","&lt;- Click Here to Return to Applicant Information")</f>
        <v>&lt;- Click Here to Return to Applicant Information</v>
      </c>
      <c r="B59" s="623"/>
      <c r="C59" s="623"/>
      <c r="D59" s="623"/>
    </row>
    <row r="60" spans="1:15" ht="23.85" customHeight="1" x14ac:dyDescent="0.25">
      <c r="A60" s="623" t="str">
        <f>HYPERLINK("#"&amp;"Qualified_Property_List!$A$1","&lt;- Click Here to Return to Qualified Property List")</f>
        <v>&lt;- Click Here to Return to Qualified Property List</v>
      </c>
      <c r="B60" s="623"/>
      <c r="C60" s="623"/>
      <c r="D60" s="623"/>
    </row>
    <row r="61" spans="1:15" ht="21" customHeight="1" x14ac:dyDescent="0.2"/>
    <row r="62" spans="1:15" ht="21" customHeight="1" x14ac:dyDescent="0.2"/>
    <row r="63" spans="1:15" ht="21" customHeight="1" x14ac:dyDescent="0.2"/>
    <row r="64" spans="1:15" ht="21" customHeight="1" x14ac:dyDescent="0.2"/>
    <row r="65" ht="21" customHeight="1" x14ac:dyDescent="0.2"/>
  </sheetData>
  <sheetProtection algorithmName="SHA-512" hashValue="sxIaWd4y2E1O2cLfga18zDzSiX+/KcQ9flpVfvLpCQD5vgSXP9eTAx7X/JaWKikkoz+iYjzo7ySJBPCOfYpu3Q==" saltValue="AC7gKVmWmDBrLNWb4JqRVg==" spinCount="100000" sheet="1" formatCells="0" formatColumns="0" formatRows="0"/>
  <mergeCells count="42">
    <mergeCell ref="B30:C30"/>
    <mergeCell ref="B31:C31"/>
    <mergeCell ref="C32:D32"/>
    <mergeCell ref="A31:A32"/>
    <mergeCell ref="A9:A10"/>
    <mergeCell ref="B28:C28"/>
    <mergeCell ref="C29:D29"/>
    <mergeCell ref="C27:D27"/>
    <mergeCell ref="C17:D17"/>
    <mergeCell ref="B11:C11"/>
    <mergeCell ref="B26:C26"/>
    <mergeCell ref="C25:D25"/>
    <mergeCell ref="B14:C14"/>
    <mergeCell ref="C12:D12"/>
    <mergeCell ref="B9:C9"/>
    <mergeCell ref="C10:D10"/>
    <mergeCell ref="A3:D3"/>
    <mergeCell ref="B5:C5"/>
    <mergeCell ref="C6:D6"/>
    <mergeCell ref="B7:C7"/>
    <mergeCell ref="C8:D8"/>
    <mergeCell ref="B16:C16"/>
    <mergeCell ref="B18:C18"/>
    <mergeCell ref="B20:C20"/>
    <mergeCell ref="B22:C22"/>
    <mergeCell ref="B24:C24"/>
    <mergeCell ref="C19:D19"/>
    <mergeCell ref="C21:D21"/>
    <mergeCell ref="C23:D23"/>
    <mergeCell ref="A58:D58"/>
    <mergeCell ref="A59:D59"/>
    <mergeCell ref="A60:D60"/>
    <mergeCell ref="A56:D56"/>
    <mergeCell ref="A57:D57"/>
    <mergeCell ref="B40:C40"/>
    <mergeCell ref="C38:D38"/>
    <mergeCell ref="B33:C33"/>
    <mergeCell ref="C34:D34"/>
    <mergeCell ref="B35:C35"/>
    <mergeCell ref="C36:D36"/>
    <mergeCell ref="B37:C37"/>
    <mergeCell ref="B39:C39"/>
  </mergeCells>
  <conditionalFormatting sqref="B31:D32">
    <cfRule type="expression" dxfId="6" priority="1">
      <formula>($D$30="No")</formula>
    </cfRule>
  </conditionalFormatting>
  <dataValidations count="6">
    <dataValidation allowBlank="1" showInputMessage="1" showErrorMessage="1" promptTitle="Multiple Qualified Products" prompt="If your Facility produces multiple Qualified Products (e.g. units of different sizes or capacities), base the calculations on the average value across all relevant products." sqref="D16:D17" xr:uid="{00000000-0002-0000-0800-000000000000}"/>
    <dataValidation allowBlank="1" showInputMessage="1" showErrorMessage="1" promptTitle="Note:" prompt="An annual Full-Time Equivalent (FTE) employee equals 1 if there is 1 full time position for 12 months, or 2 half-time positions for 12 months, or 4 full-time positions for 3 months, etc." sqref="D7:D9" xr:uid="{00000000-0002-0000-0800-000001000000}"/>
    <dataValidation type="list" allowBlank="1" showInputMessage="1" showErrorMessage="1" sqref="D15" xr:uid="{00000000-0002-0000-0800-000002000000}">
      <formula1>Recycled_Material</formula1>
    </dataValidation>
    <dataValidation type="list" allowBlank="1" showInputMessage="1" showErrorMessage="1" sqref="D33 D35 D37 D41:D54 D30" xr:uid="{00000000-0002-0000-0800-000003000000}">
      <formula1>yes_no</formula1>
    </dataValidation>
    <dataValidation type="decimal" allowBlank="1" showInputMessage="1" showErrorMessage="1" prompt="Please enter a value between 0% and 100%. " sqref="D31" xr:uid="{00000000-0002-0000-0800-000004000000}">
      <formula1>0</formula1>
      <formula2>1</formula2>
    </dataValidation>
    <dataValidation type="list" allowBlank="1" showInputMessage="1" showErrorMessage="1" sqref="D39" xr:uid="{ADE2D3C2-B0F5-4F2D-89F6-8E7747AEC9CA}">
      <formula1>Emerging_Strategic_Industry</formula1>
    </dataValidation>
  </dataValidations>
  <pageMargins left="0.7" right="0.7" top="0.75" bottom="0.75" header="0.3" footer="0"/>
  <pageSetup scale="30" fitToHeight="0" orientation="portrait"/>
  <headerFooter alignWithMargins="0">
    <oddHeader>&amp;L&amp;20&amp;UAdvanced Transportation</oddHeader>
  </headerFooter>
  <drawing r:id="rId1"/>
  <extLst>
    <ext xmlns:x14="http://schemas.microsoft.com/office/spreadsheetml/2009/9/main" uri="{78C0D931-6437-407d-A8EE-F0AAD7539E65}">
      <x14:conditionalFormattings>
        <x14:conditionalFormatting xmlns:xm="http://schemas.microsoft.com/office/excel/2006/main">
          <x14:cfRule type="expression" priority="6" id="{C440FA9A-DFAD-4784-BFDE-17DFEC8F64B9}">
            <xm:f>Applicant_Information!$B$8&lt;&gt;"Recycling"</xm:f>
            <x14:dxf>
              <font>
                <color theme="0" tint="-0.24994659260841701"/>
              </font>
              <fill>
                <patternFill patternType="mediumGray">
                  <fgColor theme="4" tint="0.59996337778862885"/>
                </patternFill>
              </fill>
            </x14:dxf>
          </x14:cfRule>
          <xm:sqref>A5:D31 B32:D32 A33:D38 A39:B39 D39 A40:D54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86</vt:i4>
      </vt:variant>
    </vt:vector>
  </HeadingPairs>
  <TitlesOfParts>
    <vt:vector size="103" baseType="lpstr">
      <vt:lpstr>Instructions</vt:lpstr>
      <vt:lpstr>Applicant_Information</vt:lpstr>
      <vt:lpstr>Qualified_Property_List</vt:lpstr>
      <vt:lpstr>BioFuels</vt:lpstr>
      <vt:lpstr>Alternative_Energy</vt:lpstr>
      <vt:lpstr>Energy_Efficiency</vt:lpstr>
      <vt:lpstr>Advanced_Transportation</vt:lpstr>
      <vt:lpstr>Advanced_Manufacturing</vt:lpstr>
      <vt:lpstr>Recycling</vt:lpstr>
      <vt:lpstr>Other_Application_Types</vt:lpstr>
      <vt:lpstr>Scoring</vt:lpstr>
      <vt:lpstr>Competitive_Criteria_Scoring</vt:lpstr>
      <vt:lpstr>Summary</vt:lpstr>
      <vt:lpstr>Pollution Costs</vt:lpstr>
      <vt:lpstr>External Data</vt:lpstr>
      <vt:lpstr>BioFuel Env Impact</vt:lpstr>
      <vt:lpstr>Recycling_Data</vt:lpstr>
      <vt:lpstr>Scoring!_ftn1</vt:lpstr>
      <vt:lpstr>Scoring!_ftn2</vt:lpstr>
      <vt:lpstr>Scoring!_ftn3</vt:lpstr>
      <vt:lpstr>Scoring!_ftnref1</vt:lpstr>
      <vt:lpstr>Scoring!_ftnref2</vt:lpstr>
      <vt:lpstr>Scoring!_ftnref3</vt:lpstr>
      <vt:lpstr>Advanced_Manufacturing</vt:lpstr>
      <vt:lpstr>Advanced_Manufacturing_ColBD</vt:lpstr>
      <vt:lpstr>Recycling!Advanced_Transportation</vt:lpstr>
      <vt:lpstr>Advanced_Transportation</vt:lpstr>
      <vt:lpstr>Advanced_Transportation_ColBD</vt:lpstr>
      <vt:lpstr>AIEW</vt:lpstr>
      <vt:lpstr>Alternative_Energy</vt:lpstr>
      <vt:lpstr>Alternative_Energy_ColBD</vt:lpstr>
      <vt:lpstr>AS</vt:lpstr>
      <vt:lpstr>ATL</vt:lpstr>
      <vt:lpstr>BioFuel_Types</vt:lpstr>
      <vt:lpstr>BioFuels</vt:lpstr>
      <vt:lpstr>BioFuels_ColBD</vt:lpstr>
      <vt:lpstr>City_County</vt:lpstr>
      <vt:lpstr>city_list</vt:lpstr>
      <vt:lpstr>company_type</vt:lpstr>
      <vt:lpstr>DFB</vt:lpstr>
      <vt:lpstr>Discount_rate</vt:lpstr>
      <vt:lpstr>Emerging_Strategic_Industry</vt:lpstr>
      <vt:lpstr>Energy_Efficiency</vt:lpstr>
      <vt:lpstr>Energy_Efficiency_ColBD</vt:lpstr>
      <vt:lpstr>energy_type</vt:lpstr>
      <vt:lpstr>Energy_type_b</vt:lpstr>
      <vt:lpstr>energy_type_limited</vt:lpstr>
      <vt:lpstr>EnvBenefits</vt:lpstr>
      <vt:lpstr>Environmental_benefits</vt:lpstr>
      <vt:lpstr>Estimated_Annual_Sales</vt:lpstr>
      <vt:lpstr>FCC</vt:lpstr>
      <vt:lpstr>Fuel_Replaced</vt:lpstr>
      <vt:lpstr>GRSO</vt:lpstr>
      <vt:lpstr>ICIT</vt:lpstr>
      <vt:lpstr>IFB</vt:lpstr>
      <vt:lpstr>IPIT</vt:lpstr>
      <vt:lpstr>IPT</vt:lpstr>
      <vt:lpstr>IST</vt:lpstr>
      <vt:lpstr>LPB</vt:lpstr>
      <vt:lpstr>MIQP</vt:lpstr>
      <vt:lpstr>MIS</vt:lpstr>
      <vt:lpstr>MISO</vt:lpstr>
      <vt:lpstr>MISP</vt:lpstr>
      <vt:lpstr>MIU</vt:lpstr>
      <vt:lpstr>Multiplier</vt:lpstr>
      <vt:lpstr>NI</vt:lpstr>
      <vt:lpstr>Other_Application_Types</vt:lpstr>
      <vt:lpstr>Other_Application_Types_ColBD</vt:lpstr>
      <vt:lpstr>output_method</vt:lpstr>
      <vt:lpstr>Percent_of_Sales_in_California</vt:lpstr>
      <vt:lpstr>PICI</vt:lpstr>
      <vt:lpstr>POSCA</vt:lpstr>
      <vt:lpstr>POT</vt:lpstr>
      <vt:lpstr>Applicant_Information!Print_Area</vt:lpstr>
      <vt:lpstr>Qualified_Property_List!Print_Area</vt:lpstr>
      <vt:lpstr>Scoring!Print_Area</vt:lpstr>
      <vt:lpstr>Qualified_Property_List!Print_Titles</vt:lpstr>
      <vt:lpstr>Scoring!Print_Titles</vt:lpstr>
      <vt:lpstr>product_cat</vt:lpstr>
      <vt:lpstr>Product_Type</vt:lpstr>
      <vt:lpstr>Prop_Tax_Rates</vt:lpstr>
      <vt:lpstr>PTC</vt:lpstr>
      <vt:lpstr>PTR</vt:lpstr>
      <vt:lpstr>PVMIS</vt:lpstr>
      <vt:lpstr>PVMISO</vt:lpstr>
      <vt:lpstr>PVMS</vt:lpstr>
      <vt:lpstr>qualified_property_list_start</vt:lpstr>
      <vt:lpstr>Recycled_Material</vt:lpstr>
      <vt:lpstr>Recycling</vt:lpstr>
      <vt:lpstr>Recycling_ColBD</vt:lpstr>
      <vt:lpstr>Recycling_VOC</vt:lpstr>
      <vt:lpstr>SIR</vt:lpstr>
      <vt:lpstr>STR</vt:lpstr>
      <vt:lpstr>Table_BioFuel</vt:lpstr>
      <vt:lpstr>TableConversion</vt:lpstr>
      <vt:lpstr>TFB</vt:lpstr>
      <vt:lpstr>ULOP</vt:lpstr>
      <vt:lpstr>unemployment_rates</vt:lpstr>
      <vt:lpstr>VA</vt:lpstr>
      <vt:lpstr>VQP</vt:lpstr>
      <vt:lpstr>WALS</vt:lpstr>
      <vt:lpstr>WARM_Model</vt:lpstr>
      <vt:lpstr>yes_no</vt:lpstr>
    </vt:vector>
  </TitlesOfParts>
  <Manager/>
  <Company>BSCG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Blue Sky Consulting Group</dc:creator>
  <cp:keywords/>
  <dc:description/>
  <cp:lastModifiedBy>Moua, Xee</cp:lastModifiedBy>
  <cp:revision/>
  <dcterms:created xsi:type="dcterms:W3CDTF">2010-06-28T18:24:49Z</dcterms:created>
  <dcterms:modified xsi:type="dcterms:W3CDTF">2024-12-13T19:06:50Z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 linkTarget="prop_t">
    <vt:lpwstr>#VALUE!</vt:lpwstr>
  </property>
  <property fmtid="{D5CDD505-2E9C-101B-9397-08002B2CF9AE}" pid="3" name="ta" linkTarget="prop_ta">
    <vt:lpwstr>#VALUE!</vt:lpwstr>
  </property>
  <property fmtid="{D5CDD505-2E9C-101B-9397-08002B2CF9AE}" pid="4" name="tax" linkTarget="prop_tax">
    <vt:lpwstr>#VALUE!</vt:lpwstr>
  </property>
  <property fmtid="{D5CDD505-2E9C-101B-9397-08002B2CF9AE}" pid="5" name="tax_" linkTarget="prop_tax_">
    <vt:lpwstr>#VALUE!</vt:lpwstr>
  </property>
  <property fmtid="{D5CDD505-2E9C-101B-9397-08002B2CF9AE}" pid="6" name="tax_r" linkTarget="prop_tax_r">
    <vt:lpwstr>#VALUE!</vt:lpwstr>
  </property>
  <property fmtid="{D5CDD505-2E9C-101B-9397-08002B2CF9AE}" pid="7" name="tax_ra" linkTarget="prop_tax_ra">
    <vt:lpwstr>#VALUE!</vt:lpwstr>
  </property>
  <property fmtid="{D5CDD505-2E9C-101B-9397-08002B2CF9AE}" pid="8" name="tax_rat" linkTarget="prop_tax_rat">
    <vt:lpwstr>#VALUE!</vt:lpwstr>
  </property>
  <property fmtid="{D5CDD505-2E9C-101B-9397-08002B2CF9AE}" pid="9" name="tax_rate" linkTarget="prop_tax_rate">
    <vt:lpwstr>#VALUE!</vt:lpwstr>
  </property>
  <property fmtid="{D5CDD505-2E9C-101B-9397-08002B2CF9AE}" pid="10" name="Tax_Rates" linkTarget="Prop_Tax_Rates">
    <vt:lpwstr>County</vt:lpwstr>
  </property>
</Properties>
</file>