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18-transition\htdocs\cdiac\webinars\2019\20190228\"/>
    </mc:Choice>
  </mc:AlternateContent>
  <bookViews>
    <workbookView xWindow="-105" yWindow="-105" windowWidth="18225" windowHeight="11625" activeTab="1"/>
  </bookViews>
  <sheets>
    <sheet name="KevinWebb-CFA" sheetId="4" r:id="rId1"/>
    <sheet name="Simulator" sheetId="1" r:id="rId2"/>
    <sheet name="Credit Ratings Matrix" sheetId="3" r:id="rId3"/>
  </sheets>
  <definedNames>
    <definedName name="CompositeRatings">'Credit Ratings Matrix'!$D$2:$D$23</definedName>
    <definedName name="CorporateMax">Simulator!$A$41</definedName>
    <definedName name="CorporatePercent">Simulator!$A$43</definedName>
    <definedName name="CorporateTotal">Simulator!$B$41:$E$43</definedName>
    <definedName name="CreditRatingTarget">Simulator!$L$38</definedName>
    <definedName name="EffectiveDuration">Simulator!$M$20</definedName>
    <definedName name="FitchRatings">'Credit Ratings Matrix'!$G$2:$G$23</definedName>
    <definedName name="MarketRateOfReturn">Simulator!$M$30</definedName>
    <definedName name="MoodyRatings">'Credit Ratings Matrix'!$E$2:$E$23</definedName>
    <definedName name="NumericRatings">'Credit Ratings Matrix'!$C$2:$C$23</definedName>
    <definedName name="Plan_CreditRating">Simulator!$M$25</definedName>
    <definedName name="Portfolio_CreditRating">Simulator!$C$30</definedName>
    <definedName name="PrimaryLiquidity">Simulator!$M$3</definedName>
    <definedName name="_xlnm.Print_Area" localSheetId="2">'Credit Ratings Matrix'!$A$1:$H$37</definedName>
    <definedName name="_xlnm.Print_Area" localSheetId="0">'KevinWebb-CFA'!$A$1:$A$8</definedName>
    <definedName name="Sec_LiqRating">Simulator!$J$34</definedName>
    <definedName name="SecondaryLiquidity">Simulator!$M$8</definedName>
    <definedName name="Sim_CashDuration">Simulator!$E$33</definedName>
    <definedName name="Sim_CashWeight">Simulator!$D$34</definedName>
    <definedName name="Sim_CashYield">Simulator!$C$33</definedName>
    <definedName name="Sim_DurationMatrix">Simulator!$B$49:$E$54</definedName>
    <definedName name="Sim_InvestmentsWeight">Simulator!$E$44</definedName>
    <definedName name="Sim_PurchaseYieldMatrix">Simulator!$G$49:$J$54</definedName>
    <definedName name="Sim_RatingMatrix">Simulator!$G$38:$J$43</definedName>
    <definedName name="Sim_SecLiqDuration">Simulator!$J$33</definedName>
    <definedName name="Sim_SecLiqWeight">Simulator!$H$34</definedName>
    <definedName name="Sim_SecLiqYield">Simulator!$H$33</definedName>
    <definedName name="Sim_Total_Allocation">Simulator!$F$44</definedName>
    <definedName name="Sim_WeightMatrix">Simulator!$B$38:$E$43</definedName>
    <definedName name="solver_adj" localSheetId="1" hidden="1">Simulator!$B$38:$E$43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Simulator!$A$43</definedName>
    <definedName name="solver_lhs2" localSheetId="1" hidden="1">Simulator!$F$44</definedName>
    <definedName name="solver_lhs3" localSheetId="1" hidden="1">Simulator!$B$38:$E$43</definedName>
    <definedName name="solver_lhs4" localSheetId="1" hidden="1">Simulator!$K$38</definedName>
    <definedName name="solver_lhs5" localSheetId="1" hidden="1">Simulator!$A$49</definedName>
    <definedName name="solver_lhs6" localSheetId="1" hidden="1">Simulator!$K$49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6</definedName>
    <definedName name="solver_nwt" localSheetId="1" hidden="1">1</definedName>
    <definedName name="solver_opt" localSheetId="1" hidden="1">Simulator!$K$49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2</definedName>
    <definedName name="solver_rel3" localSheetId="1" hidden="1">3</definedName>
    <definedName name="solver_rel4" localSheetId="1" hidden="1">3</definedName>
    <definedName name="solver_rel5" localSheetId="1" hidden="1">1</definedName>
    <definedName name="solver_rel6" localSheetId="1" hidden="1">3</definedName>
    <definedName name="solver_rhs1" localSheetId="1" hidden="1">CorporateMax</definedName>
    <definedName name="solver_rhs2" localSheetId="1" hidden="1">1</definedName>
    <definedName name="solver_rhs3" localSheetId="1" hidden="1">0</definedName>
    <definedName name="solver_rhs4" localSheetId="1" hidden="1">CreditRatingTarget</definedName>
    <definedName name="solver_rhs5" localSheetId="1" hidden="1">EffectiveDuration</definedName>
    <definedName name="solver_rhs6" localSheetId="1" hidden="1">MarketRateOfReturn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60</definedName>
    <definedName name="solver_tol" localSheetId="1" hidden="1">0.01</definedName>
    <definedName name="solver_typ" localSheetId="1" hidden="1">1</definedName>
    <definedName name="solver_val" localSheetId="1" hidden="1">1</definedName>
    <definedName name="solver_ver" localSheetId="1" hidden="1">3</definedName>
    <definedName name="SpRatings">'Credit Ratings Matrix'!$F$2:$F$23</definedName>
    <definedName name="TotalLiquidity">Simulator!$M$14</definedName>
    <definedName name="WeightedCreditRating">Simulator!$K$38</definedName>
    <definedName name="WeightedEffectiveDuration">Simulator!$A$49</definedName>
    <definedName name="WeightedPurchaseYield">Simulator!$K$49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" l="1"/>
  <c r="K38" i="1"/>
  <c r="A49" i="1"/>
  <c r="K49" i="1"/>
  <c r="A43" i="1"/>
  <c r="E44" i="1"/>
  <c r="C30" i="1"/>
  <c r="D30" i="1"/>
  <c r="E30" i="1"/>
  <c r="J31" i="1"/>
  <c r="B30" i="1"/>
  <c r="B29" i="1"/>
  <c r="B28" i="1"/>
  <c r="B27" i="1"/>
  <c r="B26" i="1"/>
  <c r="H60" i="3"/>
  <c r="G60" i="3"/>
  <c r="F60" i="3"/>
  <c r="E60" i="3"/>
  <c r="D60" i="3"/>
  <c r="C60" i="3"/>
  <c r="B60" i="3"/>
  <c r="H59" i="3"/>
  <c r="G59" i="3"/>
  <c r="F59" i="3"/>
  <c r="E59" i="3"/>
  <c r="D59" i="3"/>
  <c r="C59" i="3"/>
  <c r="B59" i="3"/>
  <c r="H58" i="3"/>
  <c r="G58" i="3"/>
  <c r="F58" i="3"/>
  <c r="E58" i="3"/>
  <c r="D58" i="3"/>
  <c r="C58" i="3"/>
  <c r="B58" i="3"/>
  <c r="H57" i="3"/>
  <c r="G57" i="3"/>
  <c r="F57" i="3"/>
  <c r="E57" i="3"/>
  <c r="D57" i="3"/>
  <c r="C57" i="3"/>
  <c r="B57" i="3"/>
  <c r="H56" i="3"/>
  <c r="G56" i="3"/>
  <c r="F56" i="3"/>
  <c r="E56" i="3"/>
  <c r="D56" i="3"/>
  <c r="C56" i="3"/>
  <c r="B56" i="3"/>
  <c r="H55" i="3"/>
  <c r="G55" i="3"/>
  <c r="F55" i="3"/>
  <c r="E55" i="3"/>
  <c r="D55" i="3"/>
  <c r="C55" i="3"/>
  <c r="B55" i="3"/>
  <c r="H54" i="3"/>
  <c r="G54" i="3"/>
  <c r="F54" i="3"/>
  <c r="E54" i="3"/>
  <c r="D54" i="3"/>
  <c r="C54" i="3"/>
  <c r="B54" i="3"/>
  <c r="E47" i="1"/>
  <c r="E48" i="1"/>
  <c r="D47" i="1"/>
  <c r="D48" i="1"/>
  <c r="C47" i="1"/>
  <c r="C48" i="1"/>
  <c r="B47" i="1"/>
  <c r="B48" i="1"/>
  <c r="C27" i="1"/>
  <c r="C26" i="1"/>
  <c r="C28" i="1"/>
  <c r="J48" i="1"/>
  <c r="I48" i="1"/>
  <c r="H48" i="1"/>
  <c r="J47" i="1"/>
  <c r="I47" i="1"/>
  <c r="H47" i="1"/>
  <c r="G48" i="1"/>
  <c r="G47" i="1"/>
  <c r="J37" i="1"/>
  <c r="I37" i="1"/>
  <c r="H37" i="1"/>
  <c r="J36" i="1"/>
  <c r="I36" i="1"/>
  <c r="H36" i="1"/>
  <c r="G37" i="1"/>
  <c r="G36" i="1"/>
  <c r="H47" i="3"/>
  <c r="G47" i="3"/>
  <c r="F47" i="3"/>
  <c r="E47" i="3"/>
  <c r="D47" i="3"/>
  <c r="C47" i="3"/>
  <c r="B47" i="3"/>
  <c r="H46" i="3"/>
  <c r="G46" i="3"/>
  <c r="F46" i="3"/>
  <c r="E46" i="3"/>
  <c r="D46" i="3"/>
  <c r="C46" i="3"/>
  <c r="B46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G43" i="3"/>
  <c r="F43" i="3"/>
  <c r="E43" i="3"/>
  <c r="D43" i="3"/>
  <c r="C43" i="3"/>
  <c r="B43" i="3"/>
  <c r="H42" i="3"/>
  <c r="G42" i="3"/>
  <c r="F42" i="3"/>
  <c r="E42" i="3"/>
  <c r="D42" i="3"/>
  <c r="C42" i="3"/>
  <c r="B42" i="3"/>
  <c r="H41" i="3"/>
  <c r="G41" i="3"/>
  <c r="F41" i="3"/>
  <c r="E41" i="3"/>
  <c r="D41" i="3"/>
  <c r="C41" i="3"/>
  <c r="B41" i="3"/>
  <c r="B28" i="3"/>
  <c r="C28" i="3"/>
  <c r="D28" i="3"/>
  <c r="E28" i="3"/>
  <c r="F28" i="3"/>
  <c r="G28" i="3"/>
  <c r="H28" i="3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1" i="3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D29" i="1"/>
  <c r="D31" i="1"/>
  <c r="M14" i="1"/>
  <c r="D28" i="1"/>
  <c r="D27" i="1"/>
  <c r="E27" i="1"/>
  <c r="D26" i="1"/>
  <c r="I26" i="1"/>
  <c r="J30" i="1"/>
  <c r="J29" i="1"/>
  <c r="J28" i="1"/>
  <c r="J27" i="1"/>
  <c r="J26" i="1"/>
  <c r="C31" i="1"/>
  <c r="C29" i="1"/>
  <c r="I29" i="1"/>
  <c r="F44" i="1"/>
  <c r="I27" i="1"/>
  <c r="I28" i="1"/>
  <c r="E28" i="1"/>
  <c r="E26" i="1"/>
  <c r="E31" i="1"/>
  <c r="I31" i="1"/>
  <c r="E29" i="1"/>
  <c r="I30" i="1"/>
</calcChain>
</file>

<file path=xl/comments1.xml><?xml version="1.0" encoding="utf-8"?>
<comments xmlns="http://schemas.openxmlformats.org/spreadsheetml/2006/main">
  <authors>
    <author>Kevin Webb</author>
  </authors>
  <commentList>
    <comment ref="KPW1968" authorId="0" shapeId="0">
      <text>
        <r>
          <rPr>
            <sz val="9"/>
            <color indexed="81"/>
            <rFont val="Tahoma"/>
            <family val="2"/>
          </rPr>
          <t xml:space="preserve">Designed &amp; Created by Kevin Webb, CFA
713.906.7673
</t>
        </r>
      </text>
    </comment>
  </commentList>
</comments>
</file>

<file path=xl/comments2.xml><?xml version="1.0" encoding="utf-8"?>
<comments xmlns="http://schemas.openxmlformats.org/spreadsheetml/2006/main">
  <authors>
    <author>Kevin Webb</author>
  </authors>
  <commentList>
    <comment ref="KPW1968" authorId="0" shapeId="0">
      <text>
        <r>
          <rPr>
            <b/>
            <sz val="9"/>
            <color indexed="81"/>
            <rFont val="Tahoma"/>
            <family val="2"/>
          </rPr>
          <t>Desgined and Created by
Kevin Webb, CFA
713.906.7673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Kevin Webb</author>
  </authors>
  <commentList>
    <comment ref="KPW1968" authorId="0" shapeId="0">
      <text>
        <r>
          <rPr>
            <b/>
            <sz val="9"/>
            <color indexed="81"/>
            <rFont val="Tahoma"/>
            <family val="2"/>
          </rPr>
          <t>Desgined and Created by
Kevin Webb, CFA
713.906.7673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<sst xmlns="http://schemas.openxmlformats.org/spreadsheetml/2006/main" count="225" uniqueCount="114">
  <si>
    <t>X-Axis</t>
  </si>
  <si>
    <t>Port/Plan Coordinates</t>
  </si>
  <si>
    <t>Plan</t>
  </si>
  <si>
    <t>Portfolio</t>
  </si>
  <si>
    <t>Plan Category</t>
  </si>
  <si>
    <t>Left-Side Chart Labels</t>
  </si>
  <si>
    <t>Data Labes</t>
  </si>
  <si>
    <t>Portfolio/Plan</t>
  </si>
  <si>
    <t>Left-Side Chart</t>
  </si>
  <si>
    <t>Plan Definitions</t>
  </si>
  <si>
    <t>Primary Liquidity:</t>
  </si>
  <si>
    <t>Secondary Liquidity:</t>
  </si>
  <si>
    <t>Total Liquidity:</t>
  </si>
  <si>
    <t>Effecitve Duration:</t>
  </si>
  <si>
    <t>Credit Rating Target:</t>
  </si>
  <si>
    <t>Market Rate of Return:</t>
  </si>
  <si>
    <t>AA3</t>
  </si>
  <si>
    <t>Agy Bullet</t>
  </si>
  <si>
    <t>US Treasury</t>
  </si>
  <si>
    <t>Financial</t>
  </si>
  <si>
    <t>Max Year &lt;</t>
  </si>
  <si>
    <t>Min Year &gt;=</t>
  </si>
  <si>
    <t>Cash Duration:</t>
  </si>
  <si>
    <t>Effective Duration Estimate</t>
  </si>
  <si>
    <t>Agy Callable</t>
  </si>
  <si>
    <t>AAA</t>
  </si>
  <si>
    <t>AA1</t>
  </si>
  <si>
    <t>AA2</t>
  </si>
  <si>
    <t>A3</t>
  </si>
  <si>
    <t>Industrials</t>
  </si>
  <si>
    <t>A2</t>
  </si>
  <si>
    <t>BBB1</t>
  </si>
  <si>
    <t>A1</t>
  </si>
  <si>
    <t>BBB3</t>
  </si>
  <si>
    <t>BBB2</t>
  </si>
  <si>
    <t>Utility</t>
  </si>
  <si>
    <t>C</t>
  </si>
  <si>
    <t>D</t>
  </si>
  <si>
    <t>A</t>
  </si>
  <si>
    <t>Purchase Yield Estimate</t>
  </si>
  <si>
    <t>Fitch Ratings</t>
  </si>
  <si>
    <t>A-</t>
  </si>
  <si>
    <t>A+</t>
  </si>
  <si>
    <t>AA-</t>
  </si>
  <si>
    <t>AA</t>
  </si>
  <si>
    <t>AA+</t>
  </si>
  <si>
    <t>Aa3</t>
  </si>
  <si>
    <t>Aa2</t>
  </si>
  <si>
    <t>Aa1</t>
  </si>
  <si>
    <t>Aaa</t>
  </si>
  <si>
    <t>Moody Ratings</t>
  </si>
  <si>
    <t>S&amp;P Ratings</t>
  </si>
  <si>
    <t>DDD-D</t>
  </si>
  <si>
    <t>Defaulted</t>
  </si>
  <si>
    <t>CC</t>
  </si>
  <si>
    <t>Ca</t>
  </si>
  <si>
    <t>CCC-</t>
  </si>
  <si>
    <t>Caa3</t>
  </si>
  <si>
    <t>CCC3</t>
  </si>
  <si>
    <t>CCC</t>
  </si>
  <si>
    <t>Caa2</t>
  </si>
  <si>
    <t>CCC2</t>
  </si>
  <si>
    <t>CCC+</t>
  </si>
  <si>
    <t>Caa1</t>
  </si>
  <si>
    <t>CCC1</t>
  </si>
  <si>
    <t>B-</t>
  </si>
  <si>
    <t>B3</t>
  </si>
  <si>
    <t>B</t>
  </si>
  <si>
    <t>B2</t>
  </si>
  <si>
    <t>B+</t>
  </si>
  <si>
    <t>B1</t>
  </si>
  <si>
    <t>BB-</t>
  </si>
  <si>
    <t>Ba3</t>
  </si>
  <si>
    <t>BB3</t>
  </si>
  <si>
    <t>BB</t>
  </si>
  <si>
    <t>Ba2</t>
  </si>
  <si>
    <t>BB2</t>
  </si>
  <si>
    <t>BB+</t>
  </si>
  <si>
    <t>Ba1</t>
  </si>
  <si>
    <t>BB1</t>
  </si>
  <si>
    <t>BBB-</t>
  </si>
  <si>
    <t>Baa3</t>
  </si>
  <si>
    <t>BBB</t>
  </si>
  <si>
    <t>Baa2</t>
  </si>
  <si>
    <t>BBB+</t>
  </si>
  <si>
    <t>Baa1</t>
  </si>
  <si>
    <t>Fitch Rating</t>
  </si>
  <si>
    <t>S&amp;P Rating</t>
  </si>
  <si>
    <t>Moody Rating</t>
  </si>
  <si>
    <t>Composite Rating</t>
  </si>
  <si>
    <t>Numeric Rating</t>
  </si>
  <si>
    <t>Sector Weights</t>
  </si>
  <si>
    <t>Cash Weigth:</t>
  </si>
  <si>
    <t>Composite Credit Rating Number</t>
  </si>
  <si>
    <t>Sec Liq Weight:</t>
  </si>
  <si>
    <t>Sec Liq Duration:</t>
  </si>
  <si>
    <t>Cash Yield:</t>
  </si>
  <si>
    <t>Sec Liq Yield:</t>
  </si>
  <si>
    <t>Sec Liq Rating:</t>
  </si>
  <si>
    <t>Market Rate of Return</t>
  </si>
  <si>
    <t>Corp Max</t>
  </si>
  <si>
    <t>WgtdEdur</t>
  </si>
  <si>
    <t>WgtdPurchaseYield</t>
  </si>
  <si>
    <t>WgtdCreditRating</t>
  </si>
  <si>
    <t>Corp Total</t>
  </si>
  <si>
    <t>CreditTarget</t>
  </si>
  <si>
    <t>The information contained in this communication has been compiled by Piper Jaffray &amp; Co. from sources believed to be reliable, but no representation or warranty, express or implied, is made by Piper Jaffray &amp; Co., its affiliates or any other person as to its accuracy, completeness or correctness. All opinions and estimates contained in this communication constitute Piper Jaffray &amp; Co.'s judgment as of the date of this communication, are subject to change without notice and are provided in good faith but without legal responsibility. Past performance is not a guide to future performance, future returns are not guaranteed, and a loss of original capital may occur.</t>
  </si>
  <si>
    <t> </t>
  </si>
  <si>
    <t>The material contained herein is not a product of any research department of Piper Jaffray &amp; Co. or any of its affiliates. Nothing herein constitutes a recommendation of any security or regarding any issuer; nor is it intended to provide information sufficient to make an investment decision. The information provided is herein not intended to be and should not be construed as a recommendation or "advice" within the meaning of Section 15B of the Securities Exchange Act of 1934.</t>
  </si>
  <si>
    <t>Disclaimer</t>
  </si>
  <si>
    <t>kevin.p.webb@pjc.com</t>
  </si>
  <si>
    <t>702.277.9537</t>
  </si>
  <si>
    <t>Suitability Benchmark Simulator</t>
  </si>
  <si>
    <t>Designed &amp; Created by Kevin Webb, CFA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</si>
</sst>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;[Red]\(0.00\)"/>
    <numFmt numFmtId="165" formatCode="0.00%;[Red]\(0.00%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FF6600"/>
      <name val="Arial"/>
      <family val="2"/>
    </font>
    <font>
      <b/>
      <sz val="10"/>
      <color rgb="FFFF6600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8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5">
    <xf numFmtId="0" fontId="0" fillId="0" borderId="0"/>
    <xf numFmtId="0" fontId="5" fillId="0" borderId="0"/>
    <xf numFmtId="9" fontId="15" fillId="0" borderId="0" applyFont="0" applyFill="0" applyBorder="0" applyAlignment="0" applyProtection="0"/>
    <xf numFmtId="0" fontId="17" fillId="0" borderId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7" xfId="0" applyBorder="1"/>
    <xf numFmtId="0" fontId="2" fillId="0" borderId="8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5" fillId="0" borderId="0" xfId="1"/>
    <xf numFmtId="0" fontId="6" fillId="0" borderId="24" xfId="1" applyFont="1" applyBorder="1" applyAlignment="1">
      <alignment horizontal="centerContinuous" vertical="center"/>
    </xf>
    <xf numFmtId="0" fontId="6" fillId="0" borderId="25" xfId="1" applyFont="1" applyBorder="1" applyAlignment="1">
      <alignment horizontal="centerContinuous" vertical="center"/>
    </xf>
    <xf numFmtId="0" fontId="7" fillId="0" borderId="26" xfId="1" applyFont="1" applyBorder="1" applyAlignment="1">
      <alignment horizontal="centerContinuous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Continuous" vertical="center"/>
    </xf>
    <xf numFmtId="0" fontId="11" fillId="0" borderId="25" xfId="1" applyFont="1" applyBorder="1" applyAlignment="1">
      <alignment horizontal="centerContinuous" vertical="center"/>
    </xf>
    <xf numFmtId="0" fontId="10" fillId="0" borderId="26" xfId="1" applyFont="1" applyBorder="1" applyAlignment="1">
      <alignment horizontal="centerContinuous" vertical="center"/>
    </xf>
    <xf numFmtId="0" fontId="7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40" fontId="12" fillId="0" borderId="27" xfId="1" applyNumberFormat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0" fontId="12" fillId="0" borderId="28" xfId="1" applyNumberFormat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40" fontId="12" fillId="0" borderId="29" xfId="1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165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2" fontId="0" fillId="0" borderId="0" xfId="0" applyNumberForma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0" fillId="0" borderId="0" xfId="0" applyNumberFormat="1"/>
    <xf numFmtId="0" fontId="16" fillId="0" borderId="0" xfId="0" applyFont="1" applyAlignment="1">
      <alignment horizontal="right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3"/>
    <xf numFmtId="0" fontId="18" fillId="0" borderId="0" xfId="3" applyFont="1" applyAlignment="1">
      <alignment horizontal="center" vertical="center" wrapText="1" readingOrder="1"/>
    </xf>
    <xf numFmtId="0" fontId="19" fillId="0" borderId="0" xfId="3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22" fillId="0" borderId="0" xfId="3" applyFont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/>
    <cellStyle name="Normal 3" xfId="3"/>
    <cellStyle name="Percent" xfId="2" builtinId="5"/>
  </cellStyles>
  <dxfs count="6">
    <dxf>
      <font>
        <b/>
        <i/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/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FF00"/>
        </patternFill>
      </fill>
    </dxf>
    <dxf>
      <font>
        <b/>
        <i/>
        <color theme="1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33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Simulator!$D$32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01793464921847"/>
          <c:y val="7.3559987769230742E-2"/>
          <c:w val="0.84695273249627323"/>
          <c:h val="0.904623892913930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alpha val="94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C027D280-E041-4957-9C35-F4FB0FBE87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2BD-4D9A-8AE5-F46669B141F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3BE5E2C-5131-4510-9754-1CE380BE77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2A4-4181-A271-465E605CF300}"/>
                </c:ext>
              </c:extLst>
            </c:dLbl>
            <c:dLbl>
              <c:idx val="2"/>
              <c:layout>
                <c:manualLayout>
                  <c:x val="1.0203151166915118E-2"/>
                  <c:y val="-3.956478733926805E-3"/>
                </c:manualLayout>
              </c:layout>
              <c:tx>
                <c:rich>
                  <a:bodyPr/>
                  <a:lstStyle/>
                  <a:p>
                    <a:fld id="{ECF1C259-73E2-41F9-823D-6E8D6041DA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2BD-4D9A-8AE5-F46669B141F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455BBAB-91C4-4104-BEDD-5AE0287CF0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2A4-4181-A271-465E605CF300}"/>
                </c:ext>
              </c:extLst>
            </c:dLbl>
            <c:dLbl>
              <c:idx val="4"/>
              <c:layout>
                <c:manualLayout>
                  <c:x val="5.101575583457512E-3"/>
                  <c:y val="-2.9749253613870617E-2"/>
                </c:manualLayout>
              </c:layout>
              <c:tx>
                <c:rich>
                  <a:bodyPr/>
                  <a:lstStyle/>
                  <a:p>
                    <a:fld id="{670117BE-9EF8-4BA8-853F-E13A2D6A6D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2BD-4D9A-8AE5-F46669B141F8}"/>
                </c:ext>
              </c:extLst>
            </c:dLbl>
            <c:dLbl>
              <c:idx val="5"/>
              <c:layout>
                <c:manualLayout>
                  <c:x val="-8.2900603231185324E-2"/>
                  <c:y val="-3.7682387910902927E-2"/>
                </c:manualLayout>
              </c:layout>
              <c:tx>
                <c:rich>
                  <a:bodyPr/>
                  <a:lstStyle/>
                  <a:p>
                    <a:fld id="{3DD03257-D295-4000-9CD0-820AD22DCD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2BD-4D9A-8AE5-F46669B141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Simulator!$E$26:$E$31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-95.833333333333329</c:v>
                </c:pt>
                <c:pt idx="4">
                  <c:v>16.666666666666671</c:v>
                </c:pt>
                <c:pt idx="5">
                  <c:v>-73.545454545454547</c:v>
                </c:pt>
              </c:numCache>
            </c:numRef>
          </c:xVal>
          <c:yVal>
            <c:numRef>
              <c:f>Simulator!$F$26:$F$31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Simulator!$I$26:$I$31</c15:f>
                <c15:dlblRangeCache>
                  <c:ptCount val="6"/>
                  <c:pt idx="0">
                    <c:v>Primary_x000d_Liquidity_x000d_Port: 15.0%_x000d_Plan:15.0%</c:v>
                  </c:pt>
                  <c:pt idx="1">
                    <c:v>Secondary_x000d_Liquidity_x000d_Port: 15.0%_x000d_Plan:15.0%</c:v>
                  </c:pt>
                  <c:pt idx="2">
                    <c:v>Total_x000d_Liquidity_x000d_Port: 30.0%_x000d_Plan:30.0%</c:v>
                  </c:pt>
                  <c:pt idx="3">
                    <c:v>Effective_x000d_Duration_x000d_Port: 0.08_x000d_Plan:1.80</c:v>
                  </c:pt>
                  <c:pt idx="4">
                    <c:v>Composite_x000d_Credit Rating_x000d_Port: AAA_x000d_Plan:AA3</c:v>
                  </c:pt>
                  <c:pt idx="5">
                    <c:v>Market Rate of Return_x000d_Port: 0.73%_x000d_Plan:2.75%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2BD-4D9A-8AE5-F46669B141F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Simulator!$E$26:$E$31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-95.833333333333329</c:v>
                </c:pt>
                <c:pt idx="4">
                  <c:v>16.666666666666671</c:v>
                </c:pt>
                <c:pt idx="5">
                  <c:v>-73.545454545454547</c:v>
                </c:pt>
              </c:numCache>
            </c:numRef>
          </c:xVal>
          <c:yVal>
            <c:numRef>
              <c:f>Simulator!$G$26:$G$31</c:f>
              <c:numCache>
                <c:formatCode>General</c:formatCode>
                <c:ptCount val="6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0B2-493E-911C-887ED71295C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strRef>
                  <c:f>Simulator!$J$26</c:f>
                  <c:strCache>
                    <c:ptCount val="1"/>
                    <c:pt idx="0">
                      <c:v>Primary_x000d_Liquidity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{37C242B7-F4FA-4277-94FD-862CBB253EF6}</c15:txfldGUID>
                      <c15:f>Simulator!$J$26</c15:f>
                      <c15:dlblFieldTableCache>
                        <c:ptCount val="1"/>
                        <c:pt idx="0">
                          <c:v>Primary_x000d_Liquidity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0B2-493E-911C-887ED71295C3}"/>
                </c:ext>
              </c:extLst>
            </c:dLbl>
            <c:dLbl>
              <c:idx val="1"/>
              <c:layout/>
              <c:tx>
                <c:strRef>
                  <c:f>Simulator!$J$27</c:f>
                  <c:strCache>
                    <c:ptCount val="1"/>
                    <c:pt idx="0">
                      <c:v>Secondary_x000d_Liquidity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{535DA8F7-E946-4C55-B201-AD698ED84C75}</c15:txfldGUID>
                      <c15:f>Simulator!$J$27</c15:f>
                      <c15:dlblFieldTableCache>
                        <c:ptCount val="1"/>
                        <c:pt idx="0">
                          <c:v>Secondary_x000d_Liquidity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0B2-493E-911C-887ED71295C3}"/>
                </c:ext>
              </c:extLst>
            </c:dLbl>
            <c:dLbl>
              <c:idx val="2"/>
              <c:layout/>
              <c:tx>
                <c:strRef>
                  <c:f>Simulator!$J$28</c:f>
                  <c:strCache>
                    <c:ptCount val="1"/>
                    <c:pt idx="0">
                      <c:v>Total_x000d_Liquidity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{EC645A0B-041E-435E-930F-874A8702CD40}</c15:txfldGUID>
                      <c15:f>Simulator!$J$28</c15:f>
                      <c15:dlblFieldTableCache>
                        <c:ptCount val="1"/>
                        <c:pt idx="0">
                          <c:v>Total_x000d_Liquidity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0B2-493E-911C-887ED71295C3}"/>
                </c:ext>
              </c:extLst>
            </c:dLbl>
            <c:dLbl>
              <c:idx val="3"/>
              <c:layout/>
              <c:tx>
                <c:strRef>
                  <c:f>Simulator!$J$29</c:f>
                  <c:strCache>
                    <c:ptCount val="1"/>
                    <c:pt idx="0">
                      <c:v>Effective_x000d_Duration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{02782B2E-D833-48DB-9E36-B7C8B8647EBA}</c15:txfldGUID>
                      <c15:f>Simulator!$J$29</c15:f>
                      <c15:dlblFieldTableCache>
                        <c:ptCount val="1"/>
                        <c:pt idx="0">
                          <c:v>Effective_x000d_Duration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0B2-493E-911C-887ED71295C3}"/>
                </c:ext>
              </c:extLst>
            </c:dLbl>
            <c:dLbl>
              <c:idx val="4"/>
              <c:layout/>
              <c:tx>
                <c:strRef>
                  <c:f>Simulator!$J$30</c:f>
                  <c:strCache>
                    <c:ptCount val="1"/>
                    <c:pt idx="0">
                      <c:v>Composite_x000d_Credit Rating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{04BC3BDE-2399-413C-B403-BA3A94867110}</c15:txfldGUID>
                      <c15:f>Simulator!$J$30</c15:f>
                      <c15:dlblFieldTableCache>
                        <c:ptCount val="1"/>
                        <c:pt idx="0">
                          <c:v>Composite_x000d_Credit Rating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E0B2-493E-911C-887ED71295C3}"/>
                </c:ext>
              </c:extLst>
            </c:dLbl>
            <c:dLbl>
              <c:idx val="5"/>
              <c:layout/>
              <c:tx>
                <c:strRef>
                  <c:f>Simulator!$J$31</c:f>
                  <c:strCache>
                    <c:ptCount val="1"/>
                    <c:pt idx="0">
                      <c:v>Market Rate_x000d_Return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{6837D7DA-6F89-4897-9149-A7C4F8608927}</c15:txfldGUID>
                      <c15:f>Simulator!$J$31</c15:f>
                      <c15:dlblFieldTableCache>
                        <c:ptCount val="1"/>
                        <c:pt idx="0">
                          <c:v>Market Rate_x000d_Return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0B2-493E-911C-887ED71295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Simulator!$G$26:$G$31</c:f>
              <c:numCache>
                <c:formatCode>General</c:formatCode>
                <c:ptCount val="6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</c:numCache>
            </c:numRef>
          </c:xVal>
          <c:yVal>
            <c:numRef>
              <c:f>Simulator!$H$26:$H$31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0B2-493E-911C-887ED7129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69264"/>
        <c:axId val="395673184"/>
      </c:scatterChart>
      <c:valAx>
        <c:axId val="395669264"/>
        <c:scaling>
          <c:orientation val="minMax"/>
          <c:max val="100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73184"/>
        <c:crosses val="autoZero"/>
        <c:crossBetween val="midCat"/>
      </c:valAx>
      <c:valAx>
        <c:axId val="395673184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6926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29935</xdr:colOff>
      <xdr:row>0</xdr:row>
      <xdr:rowOff>0</xdr:rowOff>
    </xdr:from>
    <xdr:to>
      <xdr:col>9</xdr:col>
      <xdr:colOff>1104900</xdr:colOff>
      <xdr:row>31</xdr:row>
      <xdr:rowOff>144236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F1DD61-B3D1-4EBD-A2CE-05E6FDE18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wnivek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KPW1968"/>
  <sheetViews>
    <sheetView zoomScale="125" zoomScaleNormal="125" zoomScalePageLayoutView="125" workbookViewId="0"/>
  </sheetViews>
  <sheetFormatPr defaultColWidth="11.5703125" defaultRowHeight="15.75" x14ac:dyDescent="0.25"/>
  <cols>
    <col min="1" max="1" width="129.85546875" style="80" customWidth="1"/>
    <col min="2" max="16384" width="11.5703125" style="80"/>
  </cols>
  <sheetData>
    <row r="1" spans="1:1" ht="46.5" x14ac:dyDescent="0.25">
      <c r="A1" s="85" t="s">
        <v>112</v>
      </c>
    </row>
    <row r="2" spans="1:1" ht="36" x14ac:dyDescent="0.25">
      <c r="A2" s="83" t="s">
        <v>113</v>
      </c>
    </row>
    <row r="3" spans="1:1" ht="36" x14ac:dyDescent="0.25">
      <c r="A3" s="83" t="s">
        <v>111</v>
      </c>
    </row>
    <row r="4" spans="1:1" ht="36" x14ac:dyDescent="0.25">
      <c r="A4" s="84" t="s">
        <v>110</v>
      </c>
    </row>
    <row r="5" spans="1:1" ht="36" x14ac:dyDescent="0.25">
      <c r="A5" s="83" t="s">
        <v>109</v>
      </c>
    </row>
    <row r="6" spans="1:1" ht="139.5" x14ac:dyDescent="0.25">
      <c r="A6" s="81" t="s">
        <v>108</v>
      </c>
    </row>
    <row r="7" spans="1:1" ht="7.35" customHeight="1" x14ac:dyDescent="0.25">
      <c r="A7" s="82" t="s">
        <v>107</v>
      </c>
    </row>
    <row r="8" spans="1:1" ht="186" x14ac:dyDescent="0.25">
      <c r="A8" s="81" t="s">
        <v>106</v>
      </c>
    </row>
    <row r="1968" spans="7875:7875" x14ac:dyDescent="0.25"/>
  </sheetData>
  <hyperlinks>
    <hyperlink ref="A4" r:id="rId1" display="bewnivek@gmail.com"/>
  </hyperlinks>
  <printOptions horizontalCentered="1"/>
  <pageMargins left="0.25" right="0.25" top="0.5" bottom="0.5" header="0.25" footer="0.25"/>
  <pageSetup orientation="landscape" horizontalDpi="4294967292" verticalDpi="4294967292" r:id="rId2"/>
  <headerFooter>
    <oddFooter>&amp;LDesinged &amp; Created by Kevin Webb, CFA.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PW1968"/>
  <sheetViews>
    <sheetView tabSelected="1" zoomScale="75" zoomScaleNormal="75" workbookViewId="0">
      <selection activeCell="K36" sqref="K36"/>
    </sheetView>
  </sheetViews>
  <sheetFormatPr defaultRowHeight="15" x14ac:dyDescent="0.25"/>
  <cols>
    <col min="1" max="26" width="15.7109375" customWidth="1"/>
  </cols>
  <sheetData>
    <row r="1" spans="2:13" ht="15.75" thickBot="1" x14ac:dyDescent="0.3">
      <c r="B1" s="72"/>
      <c r="C1" s="72"/>
      <c r="D1" s="72"/>
      <c r="E1" s="72"/>
      <c r="F1" s="72"/>
      <c r="G1" s="72"/>
      <c r="H1" s="72"/>
      <c r="I1" s="72"/>
      <c r="J1" s="72"/>
    </row>
    <row r="2" spans="2:13" ht="19.5" thickBot="1" x14ac:dyDescent="0.3">
      <c r="B2" s="72"/>
      <c r="C2" s="72"/>
      <c r="D2" s="72"/>
      <c r="E2" s="72"/>
      <c r="F2" s="72"/>
      <c r="G2" s="72"/>
      <c r="H2" s="72"/>
      <c r="I2" s="72"/>
      <c r="J2" s="72"/>
      <c r="K2" s="2" t="s">
        <v>9</v>
      </c>
      <c r="L2" s="3"/>
      <c r="M2" s="4"/>
    </row>
    <row r="3" spans="2:13" ht="15.75" x14ac:dyDescent="0.25">
      <c r="B3" s="72"/>
      <c r="C3" s="72"/>
      <c r="D3" s="72"/>
      <c r="E3" s="72"/>
      <c r="F3" s="72"/>
      <c r="G3" s="72"/>
      <c r="H3" s="72"/>
      <c r="I3" s="72"/>
      <c r="J3" s="72"/>
      <c r="K3" s="5"/>
      <c r="L3" s="6" t="s">
        <v>10</v>
      </c>
      <c r="M3" s="11">
        <v>0.15</v>
      </c>
    </row>
    <row r="4" spans="2:13" ht="15.75" x14ac:dyDescent="0.25">
      <c r="B4" s="72"/>
      <c r="C4" s="72"/>
      <c r="D4" s="72"/>
      <c r="E4" s="72"/>
      <c r="F4" s="72"/>
      <c r="G4" s="72"/>
      <c r="H4" s="72"/>
      <c r="I4" s="72"/>
      <c r="J4" s="72"/>
      <c r="K4" s="7"/>
      <c r="L4" s="8"/>
      <c r="M4" s="12"/>
    </row>
    <row r="5" spans="2:13" ht="15.75" x14ac:dyDescent="0.25">
      <c r="B5" s="72"/>
      <c r="C5" s="72"/>
      <c r="D5" s="72"/>
      <c r="E5" s="72"/>
      <c r="F5" s="72"/>
      <c r="G5" s="72"/>
      <c r="H5" s="72"/>
      <c r="I5" s="72"/>
      <c r="J5" s="72"/>
      <c r="K5" s="7"/>
      <c r="L5" s="8"/>
      <c r="M5" s="12"/>
    </row>
    <row r="6" spans="2:13" ht="15.75" x14ac:dyDescent="0.25">
      <c r="B6" s="72"/>
      <c r="C6" s="72"/>
      <c r="D6" s="72"/>
      <c r="E6" s="72"/>
      <c r="F6" s="72"/>
      <c r="G6" s="72"/>
      <c r="H6" s="72"/>
      <c r="I6" s="72"/>
      <c r="J6" s="72"/>
      <c r="K6" s="7"/>
      <c r="L6" s="8"/>
      <c r="M6" s="12"/>
    </row>
    <row r="7" spans="2:13" ht="15.75" x14ac:dyDescent="0.25">
      <c r="B7" s="72"/>
      <c r="C7" s="72"/>
      <c r="D7" s="72"/>
      <c r="E7" s="72"/>
      <c r="F7" s="72"/>
      <c r="G7" s="72"/>
      <c r="H7" s="72"/>
      <c r="I7" s="72"/>
      <c r="J7" s="72"/>
      <c r="K7" s="7"/>
      <c r="L7" s="8"/>
      <c r="M7" s="12"/>
    </row>
    <row r="8" spans="2:13" ht="15.75" x14ac:dyDescent="0.25">
      <c r="B8" s="72"/>
      <c r="C8" s="72"/>
      <c r="D8" s="72"/>
      <c r="E8" s="72"/>
      <c r="F8" s="72"/>
      <c r="G8" s="72"/>
      <c r="H8" s="72"/>
      <c r="I8" s="72"/>
      <c r="J8" s="72"/>
      <c r="K8" s="7"/>
      <c r="L8" s="8" t="s">
        <v>11</v>
      </c>
      <c r="M8" s="13">
        <v>0.15</v>
      </c>
    </row>
    <row r="9" spans="2:13" ht="15.75" x14ac:dyDescent="0.25">
      <c r="B9" s="72"/>
      <c r="C9" s="72"/>
      <c r="D9" s="72"/>
      <c r="E9" s="72"/>
      <c r="F9" s="72"/>
      <c r="G9" s="72"/>
      <c r="H9" s="72"/>
      <c r="I9" s="72"/>
      <c r="J9" s="72"/>
      <c r="K9" s="7"/>
      <c r="L9" s="8"/>
      <c r="M9" s="12"/>
    </row>
    <row r="10" spans="2:13" ht="15.75" x14ac:dyDescent="0.25">
      <c r="B10" s="72"/>
      <c r="C10" s="72"/>
      <c r="D10" s="72"/>
      <c r="E10" s="72"/>
      <c r="F10" s="72"/>
      <c r="G10" s="72"/>
      <c r="H10" s="72"/>
      <c r="I10" s="72"/>
      <c r="J10" s="72"/>
      <c r="K10" s="7"/>
      <c r="L10" s="8"/>
      <c r="M10" s="12"/>
    </row>
    <row r="11" spans="2:13" ht="15.75" x14ac:dyDescent="0.25">
      <c r="B11" s="72"/>
      <c r="C11" s="72"/>
      <c r="D11" s="72"/>
      <c r="E11" s="72"/>
      <c r="F11" s="72"/>
      <c r="G11" s="72"/>
      <c r="H11" s="72"/>
      <c r="I11" s="72"/>
      <c r="J11" s="72"/>
      <c r="K11" s="7"/>
      <c r="L11" s="8"/>
      <c r="M11" s="12"/>
    </row>
    <row r="12" spans="2:13" ht="15.75" x14ac:dyDescent="0.25">
      <c r="B12" s="72"/>
      <c r="C12" s="72"/>
      <c r="D12" s="72"/>
      <c r="E12" s="72"/>
      <c r="F12" s="72"/>
      <c r="G12" s="72"/>
      <c r="H12" s="72"/>
      <c r="I12" s="72"/>
      <c r="J12" s="72"/>
      <c r="K12" s="7"/>
      <c r="L12" s="8"/>
      <c r="M12" s="12"/>
    </row>
    <row r="13" spans="2:13" ht="15.75" x14ac:dyDescent="0.25">
      <c r="B13" s="72"/>
      <c r="C13" s="72"/>
      <c r="D13" s="72"/>
      <c r="E13" s="72"/>
      <c r="F13" s="72"/>
      <c r="G13" s="72"/>
      <c r="H13" s="72"/>
      <c r="I13" s="72"/>
      <c r="J13" s="72"/>
      <c r="K13" s="7"/>
      <c r="L13" s="8"/>
      <c r="M13" s="12"/>
    </row>
    <row r="14" spans="2:13" ht="15.75" x14ac:dyDescent="0.25">
      <c r="B14" s="72"/>
      <c r="C14" s="72"/>
      <c r="D14" s="72"/>
      <c r="E14" s="72"/>
      <c r="F14" s="72"/>
      <c r="G14" s="72"/>
      <c r="H14" s="72"/>
      <c r="I14" s="72"/>
      <c r="J14" s="72"/>
      <c r="K14" s="7"/>
      <c r="L14" s="8" t="s">
        <v>12</v>
      </c>
      <c r="M14" s="13">
        <f>M3+M8</f>
        <v>0.3</v>
      </c>
    </row>
    <row r="15" spans="2:13" ht="15.75" x14ac:dyDescent="0.25">
      <c r="B15" s="72"/>
      <c r="C15" s="72"/>
      <c r="D15" s="72"/>
      <c r="E15" s="72"/>
      <c r="F15" s="72"/>
      <c r="G15" s="72"/>
      <c r="H15" s="72"/>
      <c r="I15" s="72"/>
      <c r="J15" s="72"/>
      <c r="K15" s="7"/>
      <c r="L15" s="8"/>
      <c r="M15" s="12"/>
    </row>
    <row r="16" spans="2:13" ht="15.75" x14ac:dyDescent="0.25">
      <c r="B16" s="72"/>
      <c r="C16" s="72"/>
      <c r="D16" s="72"/>
      <c r="E16" s="72"/>
      <c r="F16" s="72"/>
      <c r="G16" s="72"/>
      <c r="H16" s="72"/>
      <c r="I16" s="72"/>
      <c r="J16" s="72"/>
      <c r="K16" s="7"/>
      <c r="L16" s="8"/>
      <c r="M16" s="12"/>
    </row>
    <row r="17" spans="2:13" ht="15.75" x14ac:dyDescent="0.25">
      <c r="B17" s="72"/>
      <c r="C17" s="72"/>
      <c r="D17" s="72"/>
      <c r="E17" s="72"/>
      <c r="F17" s="72"/>
      <c r="G17" s="72"/>
      <c r="H17" s="72"/>
      <c r="I17" s="72"/>
      <c r="J17" s="72"/>
      <c r="K17" s="7"/>
      <c r="L17" s="8"/>
      <c r="M17" s="12"/>
    </row>
    <row r="18" spans="2:13" ht="15.75" x14ac:dyDescent="0.25">
      <c r="B18" s="72"/>
      <c r="C18" s="72"/>
      <c r="D18" s="72"/>
      <c r="E18" s="72"/>
      <c r="F18" s="72"/>
      <c r="G18" s="72"/>
      <c r="H18" s="72"/>
      <c r="I18" s="72"/>
      <c r="J18" s="72"/>
      <c r="K18" s="7"/>
      <c r="L18" s="8"/>
      <c r="M18" s="12"/>
    </row>
    <row r="19" spans="2:13" ht="15.75" x14ac:dyDescent="0.25">
      <c r="B19" s="72"/>
      <c r="C19" s="72"/>
      <c r="D19" s="72"/>
      <c r="E19" s="72"/>
      <c r="F19" s="72"/>
      <c r="G19" s="72"/>
      <c r="H19" s="72"/>
      <c r="I19" s="72"/>
      <c r="J19" s="72"/>
      <c r="K19" s="7"/>
      <c r="L19" s="8"/>
      <c r="M19" s="12"/>
    </row>
    <row r="20" spans="2:13" ht="15.75" x14ac:dyDescent="0.25">
      <c r="B20" s="72"/>
      <c r="C20" s="72"/>
      <c r="D20" s="72"/>
      <c r="E20" s="72"/>
      <c r="F20" s="72"/>
      <c r="G20" s="72"/>
      <c r="H20" s="72"/>
      <c r="I20" s="72"/>
      <c r="J20" s="72"/>
      <c r="K20" s="7"/>
      <c r="L20" s="8" t="s">
        <v>13</v>
      </c>
      <c r="M20" s="76">
        <v>1.8</v>
      </c>
    </row>
    <row r="21" spans="2:13" ht="15.75" x14ac:dyDescent="0.25">
      <c r="B21" s="72"/>
      <c r="C21" s="72"/>
      <c r="D21" s="72"/>
      <c r="E21" s="72"/>
      <c r="F21" s="72"/>
      <c r="G21" s="72"/>
      <c r="H21" s="72"/>
      <c r="I21" s="72"/>
      <c r="J21" s="72"/>
      <c r="K21" s="7"/>
      <c r="L21" s="8"/>
      <c r="M21" s="12"/>
    </row>
    <row r="22" spans="2:13" ht="15.75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"/>
      <c r="L22" s="8"/>
      <c r="M22" s="12"/>
    </row>
    <row r="23" spans="2:13" ht="15.75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"/>
      <c r="L23" s="8"/>
      <c r="M23" s="12"/>
    </row>
    <row r="24" spans="2:13" ht="15.75" x14ac:dyDescent="0.25">
      <c r="B24" s="72"/>
      <c r="C24" s="72"/>
      <c r="D24" s="72"/>
      <c r="E24" s="72" t="s">
        <v>1</v>
      </c>
      <c r="F24" s="72"/>
      <c r="G24" s="72" t="s">
        <v>5</v>
      </c>
      <c r="H24" s="72"/>
      <c r="I24" s="72" t="s">
        <v>6</v>
      </c>
      <c r="J24" s="73" t="s">
        <v>6</v>
      </c>
      <c r="K24" s="7"/>
      <c r="L24" s="8"/>
      <c r="M24" s="12"/>
    </row>
    <row r="25" spans="2:13" ht="15.75" x14ac:dyDescent="0.25">
      <c r="B25" s="72" t="s">
        <v>4</v>
      </c>
      <c r="C25" s="72" t="s">
        <v>3</v>
      </c>
      <c r="D25" s="72" t="s">
        <v>2</v>
      </c>
      <c r="E25" s="72" t="s">
        <v>0</v>
      </c>
      <c r="F25" s="72"/>
      <c r="G25" s="72"/>
      <c r="H25" s="72"/>
      <c r="I25" s="72" t="s">
        <v>7</v>
      </c>
      <c r="J25" s="73" t="s">
        <v>8</v>
      </c>
      <c r="K25" s="7"/>
      <c r="L25" s="8" t="s">
        <v>14</v>
      </c>
      <c r="M25" s="12" t="s">
        <v>16</v>
      </c>
    </row>
    <row r="26" spans="2:13" ht="15.75" x14ac:dyDescent="0.25">
      <c r="B26" s="72" t="str">
        <f>"Primary" &amp; CHAR(13) &amp; "Liquidity"</f>
        <v>Primary_x000D_Liquidity</v>
      </c>
      <c r="C26" s="72">
        <f>Sim_CashWeight*100</f>
        <v>15</v>
      </c>
      <c r="D26" s="72">
        <f>M3*100</f>
        <v>15</v>
      </c>
      <c r="E26" s="72">
        <f t="shared" ref="E26:E31" si="0">IF(D26=0,C26,(C26/D26)*100-100)</f>
        <v>0</v>
      </c>
      <c r="F26" s="72">
        <v>6</v>
      </c>
      <c r="G26" s="72">
        <v>-100</v>
      </c>
      <c r="H26" s="72">
        <v>6</v>
      </c>
      <c r="I26" s="72" t="str">
        <f>B26 &amp; CHAR(13) &amp; "Port: " &amp; TEXT(C26/100,"0.0%") &amp; CHAR(13) &amp; "Plan:" &amp; TEXT(D26/100,"0.0%")</f>
        <v>Primary_x000D_Liquidity_x000D_Port: 15.0%_x000D_Plan:15.0%</v>
      </c>
      <c r="J26" s="73" t="str">
        <f>B26</f>
        <v>Primary_x000D_Liquidity</v>
      </c>
      <c r="K26" s="7"/>
      <c r="L26" s="8"/>
      <c r="M26" s="12"/>
    </row>
    <row r="27" spans="2:13" ht="15.75" x14ac:dyDescent="0.25">
      <c r="B27" s="72" t="str">
        <f>"Secondary" &amp; CHAR(13) &amp; "Liquidity"</f>
        <v>Secondary_x000D_Liquidity</v>
      </c>
      <c r="C27" s="72">
        <f>Sim_SecLiqWeight*100</f>
        <v>15</v>
      </c>
      <c r="D27" s="72">
        <f>M8*100</f>
        <v>15</v>
      </c>
      <c r="E27" s="72">
        <f t="shared" si="0"/>
        <v>0</v>
      </c>
      <c r="F27" s="72">
        <v>5</v>
      </c>
      <c r="G27" s="72">
        <v>-100</v>
      </c>
      <c r="H27" s="72">
        <v>5</v>
      </c>
      <c r="I27" s="72" t="str">
        <f t="shared" ref="I27:I28" si="1">B27 &amp; CHAR(13) &amp; "Port: " &amp; TEXT(C27/100,"0.0%") &amp; CHAR(13) &amp; "Plan:" &amp; TEXT(D27/100,"0.0%")</f>
        <v>Secondary_x000D_Liquidity_x000D_Port: 15.0%_x000D_Plan:15.0%</v>
      </c>
      <c r="J27" s="73" t="str">
        <f t="shared" ref="J27:J30" si="2">B27</f>
        <v>Secondary_x000D_Liquidity</v>
      </c>
      <c r="K27" s="7"/>
      <c r="L27" s="8"/>
      <c r="M27" s="12"/>
    </row>
    <row r="28" spans="2:13" ht="15.75" x14ac:dyDescent="0.25">
      <c r="B28" s="72" t="str">
        <f>"Total" &amp; CHAR(13) &amp; "Liquidity"</f>
        <v>Total_x000D_Liquidity</v>
      </c>
      <c r="C28" s="72">
        <f>C26+C27</f>
        <v>30</v>
      </c>
      <c r="D28" s="72">
        <f>M14*100</f>
        <v>30</v>
      </c>
      <c r="E28" s="72">
        <f t="shared" si="0"/>
        <v>0</v>
      </c>
      <c r="F28" s="72">
        <v>4</v>
      </c>
      <c r="G28" s="72">
        <v>-100</v>
      </c>
      <c r="H28" s="72">
        <v>4</v>
      </c>
      <c r="I28" s="72" t="str">
        <f t="shared" si="1"/>
        <v>Total_x000D_Liquidity_x000D_Port: 30.0%_x000D_Plan:30.0%</v>
      </c>
      <c r="J28" s="73" t="str">
        <f t="shared" si="2"/>
        <v>Total_x000D_Liquidity</v>
      </c>
      <c r="K28" s="7"/>
      <c r="L28" s="8"/>
      <c r="M28" s="12"/>
    </row>
    <row r="29" spans="2:13" ht="15.75" x14ac:dyDescent="0.25">
      <c r="B29" s="72" t="str">
        <f>"Effective" &amp; CHAR(13) &amp; "Duration"</f>
        <v>Effective_x000D_Duration</v>
      </c>
      <c r="C29" s="72">
        <f>SUMPRODUCT(Sim_WeightMatrix,Sim_DurationMatrix)+Sim_CashWeight*Sim_CashDuration+Sim_SecLiqWeight*Sim_SecLiqDuration</f>
        <v>7.4999999999999997E-2</v>
      </c>
      <c r="D29" s="72">
        <f>M20</f>
        <v>1.8</v>
      </c>
      <c r="E29" s="72">
        <f t="shared" si="0"/>
        <v>-95.833333333333329</v>
      </c>
      <c r="F29" s="72">
        <v>3</v>
      </c>
      <c r="G29" s="72">
        <v>-100</v>
      </c>
      <c r="H29" s="72">
        <v>3</v>
      </c>
      <c r="I29" s="72" t="str">
        <f>B29 &amp; CHAR(13) &amp; "Port: " &amp; TEXT(C29,"0.00") &amp; CHAR(13) &amp; "Plan:" &amp; TEXT(D29,"0.00")</f>
        <v>Effective_x000D_Duration_x000D_Port: 0.08_x000D_Plan:1.80</v>
      </c>
      <c r="J29" s="73" t="str">
        <f t="shared" si="2"/>
        <v>Effective_x000D_Duration</v>
      </c>
      <c r="K29" s="7"/>
      <c r="L29" s="8"/>
      <c r="M29" s="12"/>
    </row>
    <row r="30" spans="2:13" ht="15.75" x14ac:dyDescent="0.25">
      <c r="B30" s="72" t="str">
        <f>"Composite" &amp; CHAR(13) &amp; "Credit Rating"</f>
        <v>Composite_x000D_Credit Rating</v>
      </c>
      <c r="C30" s="72">
        <f>IF((Sim_InvestmentsWeight+Sim_SecLiqWeight)=0,21,(SUMPRODUCT(Sim_WeightMatrix,Sim_RatingMatrix)+Sim_SecLiqWeight*Sec_LiqRating)/(Sim_InvestmentsWeight+Sim_SecLiqWeight))</f>
        <v>21</v>
      </c>
      <c r="D30" s="72">
        <f>INDEX(NumericRatings,MATCH(Plan_CreditRating,CompositeRatings,0),1)</f>
        <v>18</v>
      </c>
      <c r="E30" s="72">
        <f t="shared" si="0"/>
        <v>16.666666666666671</v>
      </c>
      <c r="F30" s="72">
        <v>2</v>
      </c>
      <c r="G30" s="72">
        <v>-100</v>
      </c>
      <c r="H30" s="72">
        <v>2</v>
      </c>
      <c r="I30" s="72" t="str">
        <f>B30 &amp; CHAR(13) &amp; "Port: " &amp; INDEX(CompositeRatings,MATCH(ROUND(Portfolio_CreditRating,0),NumericRatings,0),1) &amp; CHAR(13) &amp; "Plan:" &amp; M25</f>
        <v>Composite_x000D_Credit Rating_x000D_Port: AAA_x000D_Plan:AA3</v>
      </c>
      <c r="J30" s="73" t="str">
        <f t="shared" si="2"/>
        <v>Composite_x000D_Credit Rating</v>
      </c>
      <c r="K30" s="7"/>
      <c r="L30" s="8" t="s">
        <v>15</v>
      </c>
      <c r="M30" s="76">
        <v>2.75</v>
      </c>
    </row>
    <row r="31" spans="2:13" ht="16.5" thickBot="1" x14ac:dyDescent="0.3">
      <c r="B31" s="72" t="s">
        <v>99</v>
      </c>
      <c r="C31" s="72">
        <f>SUMPRODUCT(Sim_WeightMatrix,Sim_PurchaseYieldMatrix)+Sim_CashWeight*Sim_CashYield+Sim_SecLiqWeight*Sim_SecLiqYield</f>
        <v>0.72750000000000004</v>
      </c>
      <c r="D31" s="72">
        <f>M30</f>
        <v>2.75</v>
      </c>
      <c r="E31" s="72">
        <f t="shared" si="0"/>
        <v>-73.545454545454547</v>
      </c>
      <c r="F31" s="72">
        <v>1</v>
      </c>
      <c r="G31" s="72">
        <v>-100</v>
      </c>
      <c r="H31" s="72">
        <v>1</v>
      </c>
      <c r="I31" s="72" t="str">
        <f>B31 &amp; CHAR(13) &amp; "Port: " &amp; TEXT(C31/100,"0.00%") &amp; CHAR(13) &amp; "Plan:" &amp; TEXT(D31/100,"0.00%")</f>
        <v>Market Rate of Return_x000D_Port: 0.73%_x000D_Plan:2.75%</v>
      </c>
      <c r="J31" s="73" t="str">
        <f>"Market Rate" &amp; CHAR(13) &amp; "Return"</f>
        <v>Market Rate_x000D_Return</v>
      </c>
      <c r="K31" s="9"/>
      <c r="L31" s="10"/>
      <c r="M31" s="14"/>
    </row>
    <row r="32" spans="2:13" x14ac:dyDescent="0.25">
      <c r="B32" s="72"/>
      <c r="C32" s="72"/>
      <c r="D32" s="72"/>
      <c r="E32" s="72"/>
      <c r="F32" s="72"/>
      <c r="G32" s="72"/>
      <c r="H32" s="72"/>
      <c r="I32" s="72"/>
      <c r="J32" s="72"/>
    </row>
    <row r="33" spans="1:12" ht="15.75" x14ac:dyDescent="0.25">
      <c r="B33" s="1" t="s">
        <v>96</v>
      </c>
      <c r="C33" s="65">
        <v>2.35</v>
      </c>
      <c r="D33" s="1" t="s">
        <v>22</v>
      </c>
      <c r="E33" s="65">
        <v>0</v>
      </c>
      <c r="G33" s="1" t="s">
        <v>97</v>
      </c>
      <c r="H33" s="65">
        <v>2.5</v>
      </c>
      <c r="I33" s="1" t="s">
        <v>95</v>
      </c>
      <c r="J33" s="65">
        <v>0.5</v>
      </c>
    </row>
    <row r="34" spans="1:12" ht="16.5" thickBot="1" x14ac:dyDescent="0.3">
      <c r="C34" s="66" t="s">
        <v>92</v>
      </c>
      <c r="D34" s="63">
        <v>0.15</v>
      </c>
      <c r="G34" s="66" t="s">
        <v>94</v>
      </c>
      <c r="H34" s="63">
        <v>0.15</v>
      </c>
      <c r="I34" s="78" t="s">
        <v>98</v>
      </c>
      <c r="J34" s="79">
        <v>21</v>
      </c>
    </row>
    <row r="35" spans="1:12" ht="15.75" thickBot="1" x14ac:dyDescent="0.3">
      <c r="B35" s="70" t="s">
        <v>91</v>
      </c>
      <c r="C35" s="15"/>
      <c r="D35" s="15"/>
      <c r="E35" s="16"/>
      <c r="G35" s="70" t="s">
        <v>93</v>
      </c>
      <c r="H35" s="15"/>
      <c r="I35" s="15"/>
      <c r="J35" s="16"/>
    </row>
    <row r="36" spans="1:12" x14ac:dyDescent="0.25">
      <c r="B36" s="17">
        <v>1</v>
      </c>
      <c r="C36" s="18">
        <v>2</v>
      </c>
      <c r="D36" s="18">
        <v>3</v>
      </c>
      <c r="E36" s="18">
        <v>4</v>
      </c>
      <c r="F36" s="67" t="s">
        <v>21</v>
      </c>
      <c r="G36" s="18">
        <f>B36</f>
        <v>1</v>
      </c>
      <c r="H36" s="18">
        <f t="shared" ref="H36:J37" si="3">C36</f>
        <v>2</v>
      </c>
      <c r="I36" s="18">
        <f t="shared" si="3"/>
        <v>3</v>
      </c>
      <c r="J36" s="19">
        <f t="shared" si="3"/>
        <v>4</v>
      </c>
    </row>
    <row r="37" spans="1:12" ht="15.75" thickBot="1" x14ac:dyDescent="0.3">
      <c r="B37" s="20">
        <v>2</v>
      </c>
      <c r="C37" s="21">
        <v>3</v>
      </c>
      <c r="D37" s="21">
        <v>4</v>
      </c>
      <c r="E37" s="21">
        <v>5</v>
      </c>
      <c r="F37" s="68" t="s">
        <v>20</v>
      </c>
      <c r="G37" s="21">
        <f>B37</f>
        <v>2</v>
      </c>
      <c r="H37" s="21">
        <f t="shared" si="3"/>
        <v>3</v>
      </c>
      <c r="I37" s="21">
        <f t="shared" si="3"/>
        <v>4</v>
      </c>
      <c r="J37" s="22">
        <f t="shared" si="3"/>
        <v>5</v>
      </c>
      <c r="K37" t="s">
        <v>103</v>
      </c>
      <c r="L37" t="s">
        <v>105</v>
      </c>
    </row>
    <row r="38" spans="1:12" x14ac:dyDescent="0.25">
      <c r="B38" s="59">
        <v>0</v>
      </c>
      <c r="C38" s="60">
        <v>0</v>
      </c>
      <c r="D38" s="60">
        <v>0</v>
      </c>
      <c r="E38" s="60">
        <v>0</v>
      </c>
      <c r="F38" s="68" t="s">
        <v>18</v>
      </c>
      <c r="G38" s="24">
        <v>21</v>
      </c>
      <c r="H38" s="24">
        <v>21</v>
      </c>
      <c r="I38" s="24">
        <v>21</v>
      </c>
      <c r="J38" s="25">
        <v>21</v>
      </c>
      <c r="K38" s="74">
        <f>IF(SUM(Sim_WeightMatrix)=0,0,SUMPRODUCT(Sim_WeightMatrix,Sim_RatingMatrix)/SUM(Sim_WeightMatrix))</f>
        <v>0</v>
      </c>
      <c r="L38" s="74">
        <f>INDEX(NumericRatings,MATCH(Plan_CreditRating,CompositeRatings,0),1)</f>
        <v>18</v>
      </c>
    </row>
    <row r="39" spans="1:12" x14ac:dyDescent="0.25">
      <c r="B39" s="59">
        <v>0</v>
      </c>
      <c r="C39" s="60">
        <v>0</v>
      </c>
      <c r="D39" s="60">
        <v>0</v>
      </c>
      <c r="E39" s="60">
        <v>0</v>
      </c>
      <c r="F39" s="68" t="s">
        <v>17</v>
      </c>
      <c r="G39" s="24">
        <v>20.594936708860761</v>
      </c>
      <c r="H39" s="24">
        <v>20.543478260869566</v>
      </c>
      <c r="I39" s="24">
        <v>20.5</v>
      </c>
      <c r="J39" s="25">
        <v>20.3125</v>
      </c>
    </row>
    <row r="40" spans="1:12" x14ac:dyDescent="0.25">
      <c r="A40" t="s">
        <v>100</v>
      </c>
      <c r="B40" s="59">
        <v>0</v>
      </c>
      <c r="C40" s="60">
        <v>0</v>
      </c>
      <c r="D40" s="60">
        <v>0</v>
      </c>
      <c r="E40" s="60">
        <v>0</v>
      </c>
      <c r="F40" s="68" t="s">
        <v>24</v>
      </c>
      <c r="G40" s="24">
        <v>20.880597014925375</v>
      </c>
      <c r="H40" s="24">
        <v>20.767857142857142</v>
      </c>
      <c r="I40" s="24">
        <v>20.823529411764707</v>
      </c>
      <c r="J40" s="25">
        <v>20.578947368421051</v>
      </c>
    </row>
    <row r="41" spans="1:12" x14ac:dyDescent="0.25">
      <c r="A41" s="60">
        <v>0.3</v>
      </c>
      <c r="B41" s="59">
        <v>0</v>
      </c>
      <c r="C41" s="60">
        <v>0</v>
      </c>
      <c r="D41" s="60">
        <v>0</v>
      </c>
      <c r="E41" s="60">
        <v>0</v>
      </c>
      <c r="F41" s="68" t="s">
        <v>29</v>
      </c>
      <c r="G41" s="24">
        <v>16.701492537313431</v>
      </c>
      <c r="H41" s="24">
        <v>16.486666666666668</v>
      </c>
      <c r="I41" s="24">
        <v>16.573643410852714</v>
      </c>
      <c r="J41" s="25">
        <v>16.451127819548873</v>
      </c>
    </row>
    <row r="42" spans="1:12" x14ac:dyDescent="0.25">
      <c r="A42" t="s">
        <v>104</v>
      </c>
      <c r="B42" s="59">
        <v>0</v>
      </c>
      <c r="C42" s="60">
        <v>0</v>
      </c>
      <c r="D42" s="60">
        <v>0</v>
      </c>
      <c r="E42" s="60">
        <v>0</v>
      </c>
      <c r="F42" s="68" t="s">
        <v>19</v>
      </c>
      <c r="G42" s="24">
        <v>16.370689655172413</v>
      </c>
      <c r="H42" s="24">
        <v>16.34</v>
      </c>
      <c r="I42" s="24">
        <v>16.385714285714286</v>
      </c>
      <c r="J42" s="25">
        <v>16.220779220779221</v>
      </c>
    </row>
    <row r="43" spans="1:12" ht="15.75" thickBot="1" x14ac:dyDescent="0.3">
      <c r="A43" s="75">
        <f>SUM(CorporateTotal)</f>
        <v>0</v>
      </c>
      <c r="B43" s="61">
        <v>0</v>
      </c>
      <c r="C43" s="62">
        <v>0</v>
      </c>
      <c r="D43" s="62">
        <v>0</v>
      </c>
      <c r="E43" s="60">
        <v>0</v>
      </c>
      <c r="F43" s="69" t="s">
        <v>35</v>
      </c>
      <c r="G43" s="27">
        <v>15.772727272727273</v>
      </c>
      <c r="H43" s="27">
        <v>16.09090909090909</v>
      </c>
      <c r="I43" s="27">
        <v>16.25</v>
      </c>
      <c r="J43" s="28">
        <v>16.04</v>
      </c>
    </row>
    <row r="44" spans="1:12" ht="16.5" thickBot="1" x14ac:dyDescent="0.3">
      <c r="B44" s="24"/>
      <c r="C44" s="24"/>
      <c r="D44" s="24"/>
      <c r="E44" s="64">
        <f>SUM(Sim_WeightMatrix)</f>
        <v>0</v>
      </c>
      <c r="F44" s="71">
        <f>Sim_CashWeight+Sim_SecLiqWeight+Sim_InvestmentsWeight</f>
        <v>0.3</v>
      </c>
      <c r="G44" s="24"/>
      <c r="H44" s="24"/>
      <c r="I44" s="24"/>
      <c r="J44" s="24"/>
    </row>
    <row r="45" spans="1:12" ht="15.75" thickBot="1" x14ac:dyDescent="0.3"/>
    <row r="46" spans="1:12" ht="15.75" thickBot="1" x14ac:dyDescent="0.3">
      <c r="B46" s="70" t="s">
        <v>23</v>
      </c>
      <c r="C46" s="15"/>
      <c r="D46" s="15"/>
      <c r="E46" s="16"/>
      <c r="G46" s="70" t="s">
        <v>39</v>
      </c>
      <c r="H46" s="15"/>
      <c r="I46" s="15"/>
      <c r="J46" s="16"/>
    </row>
    <row r="47" spans="1:12" x14ac:dyDescent="0.25">
      <c r="B47" s="17">
        <f>B36</f>
        <v>1</v>
      </c>
      <c r="C47" s="18">
        <f t="shared" ref="C47:E47" si="4">C36</f>
        <v>2</v>
      </c>
      <c r="D47" s="18">
        <f t="shared" si="4"/>
        <v>3</v>
      </c>
      <c r="E47" s="19">
        <f t="shared" si="4"/>
        <v>4</v>
      </c>
      <c r="F47" s="67" t="s">
        <v>21</v>
      </c>
      <c r="G47" s="17">
        <f>B36</f>
        <v>1</v>
      </c>
      <c r="H47" s="18">
        <f t="shared" ref="H47:J47" si="5">C36</f>
        <v>2</v>
      </c>
      <c r="I47" s="18">
        <f t="shared" si="5"/>
        <v>3</v>
      </c>
      <c r="J47" s="19">
        <f t="shared" si="5"/>
        <v>4</v>
      </c>
    </row>
    <row r="48" spans="1:12" ht="15.75" thickBot="1" x14ac:dyDescent="0.3">
      <c r="A48" t="s">
        <v>101</v>
      </c>
      <c r="B48" s="20">
        <f>B37</f>
        <v>2</v>
      </c>
      <c r="C48" s="21">
        <f t="shared" ref="C48:E48" si="6">C37</f>
        <v>3</v>
      </c>
      <c r="D48" s="21">
        <f t="shared" si="6"/>
        <v>4</v>
      </c>
      <c r="E48" s="22">
        <f t="shared" si="6"/>
        <v>5</v>
      </c>
      <c r="F48" s="68" t="s">
        <v>20</v>
      </c>
      <c r="G48" s="20">
        <f>B37</f>
        <v>2</v>
      </c>
      <c r="H48" s="21">
        <f t="shared" ref="H48:J48" si="7">C37</f>
        <v>3</v>
      </c>
      <c r="I48" s="21">
        <f t="shared" si="7"/>
        <v>4</v>
      </c>
      <c r="J48" s="22">
        <f t="shared" si="7"/>
        <v>5</v>
      </c>
      <c r="K48" t="s">
        <v>102</v>
      </c>
    </row>
    <row r="49" spans="1:12" x14ac:dyDescent="0.25">
      <c r="A49" s="74">
        <f>SUMPRODUCT(Sim_WeightMatrix,Sim_DurationMatrix)+(Sim_CashDuration*Sim_CashWeight)+(Sim_SecLiqDuration*Sim_SecLiqWeight)</f>
        <v>7.4999999999999997E-2</v>
      </c>
      <c r="B49" s="23">
        <v>1.4859615384615383</v>
      </c>
      <c r="C49" s="24">
        <v>2.4113095238095243</v>
      </c>
      <c r="D49" s="24">
        <v>3.3274193548387099</v>
      </c>
      <c r="E49" s="25">
        <v>4.2346896551724145</v>
      </c>
      <c r="F49" s="68" t="s">
        <v>18</v>
      </c>
      <c r="G49" s="23">
        <v>2.2319423076923082</v>
      </c>
      <c r="H49" s="24">
        <v>2.3910952380952373</v>
      </c>
      <c r="I49" s="24">
        <v>2.5191612903225811</v>
      </c>
      <c r="J49" s="25">
        <v>2.6111034482758613</v>
      </c>
      <c r="K49" s="74">
        <f>SUMPRODUCT(Sim_WeightMatrix,Sim_PurchaseYieldMatrix)+(Sim_CashYield*Sim_CashWeight)+(Sim_SecLiqYield*Sim_SecLiqWeight)</f>
        <v>0.72750000000000004</v>
      </c>
      <c r="L49" s="77"/>
    </row>
    <row r="50" spans="1:12" x14ac:dyDescent="0.25">
      <c r="B50" s="23">
        <v>1.4189240506329117</v>
      </c>
      <c r="C50" s="24">
        <v>2.4537608695652171</v>
      </c>
      <c r="D50" s="24">
        <v>3.3233888888888887</v>
      </c>
      <c r="E50" s="25">
        <v>4.2440625000000001</v>
      </c>
      <c r="F50" s="68" t="s">
        <v>17</v>
      </c>
      <c r="G50" s="23">
        <v>2.2664556962025326</v>
      </c>
      <c r="H50" s="24">
        <v>2.4633043478260874</v>
      </c>
      <c r="I50" s="24">
        <v>2.5433333333333334</v>
      </c>
      <c r="J50" s="25">
        <v>2.7204999999999995</v>
      </c>
    </row>
    <row r="51" spans="1:12" x14ac:dyDescent="0.25">
      <c r="B51" s="23">
        <v>1.4435373134328355</v>
      </c>
      <c r="C51" s="24">
        <v>2.312017857142858</v>
      </c>
      <c r="D51" s="24">
        <v>3.1982941176470585</v>
      </c>
      <c r="E51" s="25">
        <v>3.4258947368421051</v>
      </c>
      <c r="F51" s="68" t="s">
        <v>24</v>
      </c>
      <c r="G51" s="23">
        <v>2.3080447761194032</v>
      </c>
      <c r="H51" s="24">
        <v>2.5659642857142857</v>
      </c>
      <c r="I51" s="24">
        <v>2.7555882352941166</v>
      </c>
      <c r="J51" s="25">
        <v>2.8404210526315787</v>
      </c>
    </row>
    <row r="52" spans="1:12" x14ac:dyDescent="0.25">
      <c r="B52" s="23">
        <v>1.5167313432835825</v>
      </c>
      <c r="C52" s="24">
        <v>2.4231400000000005</v>
      </c>
      <c r="D52" s="24">
        <v>3.3058139534883715</v>
      </c>
      <c r="E52" s="25">
        <v>4.2380375939849619</v>
      </c>
      <c r="F52" s="68" t="s">
        <v>29</v>
      </c>
      <c r="G52" s="23">
        <v>2.6621716417910433</v>
      </c>
      <c r="H52" s="24">
        <v>2.8765600000000009</v>
      </c>
      <c r="I52" s="24">
        <v>3.0075193798449611</v>
      </c>
      <c r="J52" s="25">
        <v>3.1968721804511269</v>
      </c>
    </row>
    <row r="53" spans="1:12" x14ac:dyDescent="0.25">
      <c r="B53" s="23">
        <v>1.4271206896551729</v>
      </c>
      <c r="C53" s="24">
        <v>2.3897499999999998</v>
      </c>
      <c r="D53" s="24">
        <v>3.2602285714285721</v>
      </c>
      <c r="E53" s="25">
        <v>4.164701298701301</v>
      </c>
      <c r="F53" s="68" t="s">
        <v>19</v>
      </c>
      <c r="G53" s="23">
        <v>2.8418189655172421</v>
      </c>
      <c r="H53" s="24">
        <v>3.0470100000000002</v>
      </c>
      <c r="I53" s="24">
        <v>3.2088857142857146</v>
      </c>
      <c r="J53" s="25">
        <v>3.3642857142857143</v>
      </c>
    </row>
    <row r="54" spans="1:12" x14ac:dyDescent="0.25">
      <c r="B54" s="26">
        <v>1.3664090909090909</v>
      </c>
      <c r="C54" s="27">
        <v>2.3460454545454548</v>
      </c>
      <c r="D54" s="27">
        <v>3.1460416666666666</v>
      </c>
      <c r="E54" s="28">
        <v>4.1335999999999995</v>
      </c>
      <c r="F54" s="69" t="s">
        <v>35</v>
      </c>
      <c r="G54" s="26">
        <v>2.8159090909090909</v>
      </c>
      <c r="H54" s="27">
        <v>2.9091818181818181</v>
      </c>
      <c r="I54" s="27">
        <v>3.0635833333333338</v>
      </c>
      <c r="J54" s="28">
        <v>3.2223600000000006</v>
      </c>
    </row>
    <row r="1968" spans="7875:7875" x14ac:dyDescent="0.25"/>
  </sheetData>
  <scenarios current="0" show="0">
    <scenario name="Portfolio - Initial Values" locked="1" count="31" user="Kevin Webb" comment="Initial Sector Weights=0%, Cash = 15% &amp; SL=15%">
      <inputCells r="C33" val="2.35" numFmtId="164"/>
      <inputCells r="E33" val="0" numFmtId="164"/>
      <inputCells r="D34" val="0.15" numFmtId="165"/>
      <inputCells r="H33" val="2.5" numFmtId="164"/>
      <inputCells r="J33" val="0.5" numFmtId="164"/>
      <inputCells r="H34" val="0.15" numFmtId="165"/>
      <inputCells r="B38" val="0" numFmtId="165"/>
      <inputCells r="C38" val="0" numFmtId="165"/>
      <inputCells r="D38" val="0" numFmtId="165"/>
      <inputCells r="E38" val="0" numFmtId="165"/>
      <inputCells r="B39" val="0" numFmtId="165"/>
      <inputCells r="C39" val="0" numFmtId="165"/>
      <inputCells r="D39" val="0" numFmtId="165"/>
      <inputCells r="E39" val="0" numFmtId="165"/>
      <inputCells r="B40" val="0" numFmtId="165"/>
      <inputCells r="C40" val="0" numFmtId="165"/>
      <inputCells r="D40" val="0" numFmtId="165"/>
      <inputCells r="E40" val="0" numFmtId="165"/>
      <inputCells r="B41" val="0" numFmtId="165"/>
      <inputCells r="C41" val="0" numFmtId="165"/>
      <inputCells r="D41" val="0" numFmtId="165"/>
      <inputCells r="E41" val="0" numFmtId="165"/>
      <inputCells r="B42" val="0" numFmtId="165"/>
      <inputCells r="C42" val="0" numFmtId="165"/>
      <inputCells r="D42" val="0" numFmtId="165"/>
      <inputCells r="E42" val="0" numFmtId="165"/>
      <inputCells r="B43" val="0" numFmtId="165"/>
      <inputCells r="C43" val="0" numFmtId="165"/>
      <inputCells r="D43" val="0" numFmtId="165"/>
      <inputCells r="E43" val="0" numFmtId="165"/>
      <inputCells r="A41" val="0.3" numFmtId="165"/>
    </scenario>
  </scenarios>
  <conditionalFormatting sqref="E26:E27">
    <cfRule type="expression" dxfId="5" priority="12">
      <formula>UPPER(TRIM(PlanStatusScratch))&lt;&gt;"YES"</formula>
    </cfRule>
  </conditionalFormatting>
  <conditionalFormatting sqref="E28:E31">
    <cfRule type="expression" dxfId="4" priority="11">
      <formula>UPPER(TRIM(PlanStatusScratch))&lt;&gt;"YES"</formula>
    </cfRule>
  </conditionalFormatting>
  <conditionalFormatting sqref="B38:E43">
    <cfRule type="expression" dxfId="3" priority="1">
      <formula>B38&lt;&gt;0</formula>
    </cfRule>
    <cfRule type="dataBar" priority="1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{DD466BBC-CEA0-446A-B5A4-29E61DA8C1FA}</x14:id>
        </ext>
      </extLst>
    </cfRule>
  </conditionalFormatting>
  <conditionalFormatting sqref="D34 E44 H34">
    <cfRule type="expression" dxfId="2" priority="8">
      <formula>$D$34+$E$44+$H$34&lt;&gt;1</formula>
    </cfRule>
  </conditionalFormatting>
  <conditionalFormatting sqref="G49:J5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{7E75AE2B-E9CF-43ED-9C34-92103A7A9096}</x14:id>
        </ext>
      </extLst>
    </cfRule>
  </conditionalFormatting>
  <conditionalFormatting sqref="B49:E54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{7A513FE9-2459-4C0C-B20E-DD19ACD630BF}</x14:id>
        </ext>
      </extLst>
    </cfRule>
  </conditionalFormatting>
  <conditionalFormatting sqref="G38:J43">
    <cfRule type="expression" dxfId="1" priority="13">
      <formula>B38&lt;&gt;0</formula>
    </cfRule>
    <cfRule type="dataBar" priority="14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{DFDC0F49-7E91-4ACF-8B96-E43F55878A90}</x14:id>
        </ext>
      </extLst>
    </cfRule>
  </conditionalFormatting>
  <conditionalFormatting sqref="F44">
    <cfRule type="expression" dxfId="0" priority="2">
      <formula>$F$44&lt;&gt;1</formula>
    </cfRule>
  </conditionalFormatting>
  <dataValidations disablePrompts="1" count="2">
    <dataValidation type="decimal" allowBlank="1" showInputMessage="1" showErrorMessage="1" sqref="B38:E43">
      <formula1>0</formula1>
      <formula2>1</formula2>
    </dataValidation>
    <dataValidation type="list" allowBlank="1" showInputMessage="1" showErrorMessage="1" sqref="M25">
      <formula1>CompositeRatings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466BBC-CEA0-446A-B5A4-29E61DA8C1FA}">
            <x14:dataBar minLength="0" maxLength="100" border="1" negativeBarBorderColorSameAsPositive="0">
              <x14:cfvo type="autoMin"/>
              <x14:cfvo type="autoMax"/>
              <x14:borderColor theme="0" tint="-0.14999847407452621"/>
              <x14:negativeFillColor rgb="FFFF0000"/>
              <x14:negativeBorderColor rgb="FFFF0000"/>
              <x14:axisColor rgb="FF000000"/>
            </x14:dataBar>
          </x14:cfRule>
          <xm:sqref>B38:E43</xm:sqref>
        </x14:conditionalFormatting>
        <x14:conditionalFormatting xmlns:xm="http://schemas.microsoft.com/office/excel/2006/main">
          <x14:cfRule type="dataBar" id="{7E75AE2B-E9CF-43ED-9C34-92103A7A9096}">
            <x14:dataBar minLength="0" maxLength="100" border="1" negativeBarBorderColorSameAsPositive="0">
              <x14:cfvo type="min"/>
              <x14:cfvo type="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G49:J54</xm:sqref>
        </x14:conditionalFormatting>
        <x14:conditionalFormatting xmlns:xm="http://schemas.microsoft.com/office/excel/2006/main">
          <x14:cfRule type="dataBar" id="{7A513FE9-2459-4C0C-B20E-DD19ACD630BF}">
            <x14:dataBar minLength="0" maxLength="100" border="1" negativeBarBorderColorSameAsPositive="0">
              <x14:cfvo type="min"/>
              <x14:cfvo type="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B49:E54</xm:sqref>
        </x14:conditionalFormatting>
        <x14:conditionalFormatting xmlns:xm="http://schemas.microsoft.com/office/excel/2006/main">
          <x14:cfRule type="dataBar" id="{DFDC0F49-7E91-4ACF-8B96-E43F55878A90}">
            <x14:dataBar minLength="0" maxLength="100" border="1" negativeBarBorderColorSameAsPositive="0">
              <x14:cfvo type="min"/>
              <x14:cfvo type="max"/>
              <x14:borderColor theme="8" tint="0.59999389629810485"/>
              <x14:negativeFillColor rgb="FFFF0000"/>
              <x14:negativeBorderColor rgb="FFFF0000"/>
              <x14:axisColor rgb="FF000000"/>
            </x14:dataBar>
          </x14:cfRule>
          <xm:sqref>G38:J43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PW1968"/>
  <sheetViews>
    <sheetView zoomScaleNormal="100" zoomScalePageLayoutView="125" workbookViewId="0">
      <selection activeCell="C1" sqref="C1"/>
    </sheetView>
  </sheetViews>
  <sheetFormatPr defaultColWidth="10.7109375" defaultRowHeight="12.75" x14ac:dyDescent="0.2"/>
  <cols>
    <col min="1" max="8" width="18" style="29" customWidth="1"/>
    <col min="9" max="16384" width="10.7109375" style="29"/>
  </cols>
  <sheetData>
    <row r="1" spans="3:7" ht="14.25" thickTop="1" thickBot="1" x14ac:dyDescent="0.25">
      <c r="C1" s="58" t="s">
        <v>90</v>
      </c>
      <c r="D1" s="57" t="s">
        <v>89</v>
      </c>
      <c r="E1" s="56" t="s">
        <v>88</v>
      </c>
      <c r="F1" s="40" t="s">
        <v>87</v>
      </c>
      <c r="G1" s="33" t="s">
        <v>86</v>
      </c>
    </row>
    <row r="2" spans="3:7" ht="13.5" thickTop="1" x14ac:dyDescent="0.2">
      <c r="C2" s="55">
        <v>21</v>
      </c>
      <c r="D2" s="54" t="s">
        <v>25</v>
      </c>
      <c r="E2" s="53" t="s">
        <v>49</v>
      </c>
      <c r="F2" s="52" t="s">
        <v>25</v>
      </c>
      <c r="G2" s="51" t="s">
        <v>25</v>
      </c>
    </row>
    <row r="3" spans="3:7" x14ac:dyDescent="0.2">
      <c r="C3" s="55">
        <v>20</v>
      </c>
      <c r="D3" s="54" t="s">
        <v>26</v>
      </c>
      <c r="E3" s="53" t="s">
        <v>48</v>
      </c>
      <c r="F3" s="52" t="s">
        <v>45</v>
      </c>
      <c r="G3" s="51" t="s">
        <v>45</v>
      </c>
    </row>
    <row r="4" spans="3:7" x14ac:dyDescent="0.2">
      <c r="C4" s="55">
        <v>19</v>
      </c>
      <c r="D4" s="54" t="s">
        <v>27</v>
      </c>
      <c r="E4" s="53" t="s">
        <v>47</v>
      </c>
      <c r="F4" s="52" t="s">
        <v>44</v>
      </c>
      <c r="G4" s="51" t="s">
        <v>44</v>
      </c>
    </row>
    <row r="5" spans="3:7" x14ac:dyDescent="0.2">
      <c r="C5" s="55">
        <v>18</v>
      </c>
      <c r="D5" s="54" t="s">
        <v>16</v>
      </c>
      <c r="E5" s="53" t="s">
        <v>46</v>
      </c>
      <c r="F5" s="52" t="s">
        <v>43</v>
      </c>
      <c r="G5" s="51" t="s">
        <v>43</v>
      </c>
    </row>
    <row r="6" spans="3:7" x14ac:dyDescent="0.2">
      <c r="C6" s="55">
        <v>17</v>
      </c>
      <c r="D6" s="54" t="s">
        <v>32</v>
      </c>
      <c r="E6" s="53" t="s">
        <v>32</v>
      </c>
      <c r="F6" s="52" t="s">
        <v>42</v>
      </c>
      <c r="G6" s="51" t="s">
        <v>42</v>
      </c>
    </row>
    <row r="7" spans="3:7" x14ac:dyDescent="0.2">
      <c r="C7" s="55">
        <v>16</v>
      </c>
      <c r="D7" s="54" t="s">
        <v>30</v>
      </c>
      <c r="E7" s="53" t="s">
        <v>30</v>
      </c>
      <c r="F7" s="52" t="s">
        <v>38</v>
      </c>
      <c r="G7" s="51" t="s">
        <v>38</v>
      </c>
    </row>
    <row r="8" spans="3:7" x14ac:dyDescent="0.2">
      <c r="C8" s="55">
        <v>15</v>
      </c>
      <c r="D8" s="54" t="s">
        <v>28</v>
      </c>
      <c r="E8" s="53" t="s">
        <v>28</v>
      </c>
      <c r="F8" s="52" t="s">
        <v>41</v>
      </c>
      <c r="G8" s="51" t="s">
        <v>41</v>
      </c>
    </row>
    <row r="9" spans="3:7" x14ac:dyDescent="0.2">
      <c r="C9" s="55">
        <v>14</v>
      </c>
      <c r="D9" s="54" t="s">
        <v>31</v>
      </c>
      <c r="E9" s="53" t="s">
        <v>85</v>
      </c>
      <c r="F9" s="52" t="s">
        <v>84</v>
      </c>
      <c r="G9" s="51" t="s">
        <v>84</v>
      </c>
    </row>
    <row r="10" spans="3:7" x14ac:dyDescent="0.2">
      <c r="C10" s="55">
        <v>13</v>
      </c>
      <c r="D10" s="54" t="s">
        <v>34</v>
      </c>
      <c r="E10" s="53" t="s">
        <v>83</v>
      </c>
      <c r="F10" s="52" t="s">
        <v>82</v>
      </c>
      <c r="G10" s="51" t="s">
        <v>82</v>
      </c>
    </row>
    <row r="11" spans="3:7" x14ac:dyDescent="0.2">
      <c r="C11" s="55">
        <v>12</v>
      </c>
      <c r="D11" s="54" t="s">
        <v>33</v>
      </c>
      <c r="E11" s="53" t="s">
        <v>81</v>
      </c>
      <c r="F11" s="52" t="s">
        <v>80</v>
      </c>
      <c r="G11" s="51" t="s">
        <v>80</v>
      </c>
    </row>
    <row r="12" spans="3:7" x14ac:dyDescent="0.2">
      <c r="C12" s="55">
        <v>11</v>
      </c>
      <c r="D12" s="54" t="s">
        <v>79</v>
      </c>
      <c r="E12" s="53" t="s">
        <v>78</v>
      </c>
      <c r="F12" s="52" t="s">
        <v>77</v>
      </c>
      <c r="G12" s="51" t="s">
        <v>77</v>
      </c>
    </row>
    <row r="13" spans="3:7" x14ac:dyDescent="0.2">
      <c r="C13" s="55">
        <v>10</v>
      </c>
      <c r="D13" s="54" t="s">
        <v>76</v>
      </c>
      <c r="E13" s="53" t="s">
        <v>75</v>
      </c>
      <c r="F13" s="52" t="s">
        <v>74</v>
      </c>
      <c r="G13" s="51" t="s">
        <v>74</v>
      </c>
    </row>
    <row r="14" spans="3:7" x14ac:dyDescent="0.2">
      <c r="C14" s="55">
        <v>9</v>
      </c>
      <c r="D14" s="54" t="s">
        <v>73</v>
      </c>
      <c r="E14" s="53" t="s">
        <v>72</v>
      </c>
      <c r="F14" s="52" t="s">
        <v>71</v>
      </c>
      <c r="G14" s="51" t="s">
        <v>71</v>
      </c>
    </row>
    <row r="15" spans="3:7" x14ac:dyDescent="0.2">
      <c r="C15" s="55">
        <v>8</v>
      </c>
      <c r="D15" s="54" t="s">
        <v>70</v>
      </c>
      <c r="E15" s="53" t="s">
        <v>70</v>
      </c>
      <c r="F15" s="52" t="s">
        <v>69</v>
      </c>
      <c r="G15" s="51" t="s">
        <v>69</v>
      </c>
    </row>
    <row r="16" spans="3:7" x14ac:dyDescent="0.2">
      <c r="C16" s="55">
        <v>7</v>
      </c>
      <c r="D16" s="54" t="s">
        <v>68</v>
      </c>
      <c r="E16" s="53" t="s">
        <v>68</v>
      </c>
      <c r="F16" s="52" t="s">
        <v>67</v>
      </c>
      <c r="G16" s="51" t="s">
        <v>67</v>
      </c>
    </row>
    <row r="17" spans="1:8" x14ac:dyDescent="0.2">
      <c r="C17" s="55">
        <v>6</v>
      </c>
      <c r="D17" s="54" t="s">
        <v>66</v>
      </c>
      <c r="E17" s="53" t="s">
        <v>66</v>
      </c>
      <c r="F17" s="52" t="s">
        <v>65</v>
      </c>
      <c r="G17" s="51" t="s">
        <v>65</v>
      </c>
    </row>
    <row r="18" spans="1:8" x14ac:dyDescent="0.2">
      <c r="C18" s="55">
        <v>5</v>
      </c>
      <c r="D18" s="54" t="s">
        <v>64</v>
      </c>
      <c r="E18" s="53" t="s">
        <v>63</v>
      </c>
      <c r="F18" s="52" t="s">
        <v>62</v>
      </c>
      <c r="G18" s="51" t="s">
        <v>62</v>
      </c>
    </row>
    <row r="19" spans="1:8" x14ac:dyDescent="0.2">
      <c r="C19" s="55">
        <v>4</v>
      </c>
      <c r="D19" s="54" t="s">
        <v>61</v>
      </c>
      <c r="E19" s="53" t="s">
        <v>60</v>
      </c>
      <c r="F19" s="52" t="s">
        <v>59</v>
      </c>
      <c r="G19" s="51" t="s">
        <v>59</v>
      </c>
    </row>
    <row r="20" spans="1:8" x14ac:dyDescent="0.2">
      <c r="C20" s="55">
        <v>3</v>
      </c>
      <c r="D20" s="54" t="s">
        <v>58</v>
      </c>
      <c r="E20" s="53" t="s">
        <v>57</v>
      </c>
      <c r="F20" s="52" t="s">
        <v>56</v>
      </c>
      <c r="G20" s="51" t="s">
        <v>56</v>
      </c>
    </row>
    <row r="21" spans="1:8" x14ac:dyDescent="0.2">
      <c r="C21" s="55">
        <v>2</v>
      </c>
      <c r="D21" s="54" t="s">
        <v>54</v>
      </c>
      <c r="E21" s="53" t="s">
        <v>55</v>
      </c>
      <c r="F21" s="52" t="s">
        <v>54</v>
      </c>
      <c r="G21" s="51" t="s">
        <v>54</v>
      </c>
    </row>
    <row r="22" spans="1:8" x14ac:dyDescent="0.2">
      <c r="C22" s="55">
        <v>1</v>
      </c>
      <c r="D22" s="54" t="s">
        <v>36</v>
      </c>
      <c r="E22" s="53" t="s">
        <v>36</v>
      </c>
      <c r="F22" s="52" t="s">
        <v>36</v>
      </c>
      <c r="G22" s="51" t="s">
        <v>36</v>
      </c>
    </row>
    <row r="23" spans="1:8" ht="13.5" thickBot="1" x14ac:dyDescent="0.25">
      <c r="C23" s="50">
        <v>0</v>
      </c>
      <c r="D23" s="49" t="s">
        <v>53</v>
      </c>
      <c r="E23" s="48" t="s">
        <v>37</v>
      </c>
      <c r="F23" s="47" t="s">
        <v>37</v>
      </c>
      <c r="G23" s="46" t="s">
        <v>52</v>
      </c>
    </row>
    <row r="24" spans="1:8" ht="13.5" thickTop="1" x14ac:dyDescent="0.2"/>
    <row r="25" spans="1:8" ht="13.5" thickBot="1" x14ac:dyDescent="0.25"/>
    <row r="26" spans="1:8" ht="14.25" thickTop="1" thickBot="1" x14ac:dyDescent="0.25">
      <c r="B26" s="45" t="s">
        <v>51</v>
      </c>
      <c r="C26" s="44"/>
      <c r="D26" s="44"/>
      <c r="E26" s="44"/>
      <c r="F26" s="44"/>
      <c r="G26" s="44"/>
      <c r="H26" s="43"/>
    </row>
    <row r="27" spans="1:8" ht="14.25" thickTop="1" thickBot="1" x14ac:dyDescent="0.25">
      <c r="A27" s="42" t="s">
        <v>50</v>
      </c>
      <c r="B27" s="41" t="s">
        <v>25</v>
      </c>
      <c r="C27" s="40" t="s">
        <v>45</v>
      </c>
      <c r="D27" s="40" t="s">
        <v>44</v>
      </c>
      <c r="E27" s="40" t="s">
        <v>43</v>
      </c>
      <c r="F27" s="40" t="s">
        <v>42</v>
      </c>
      <c r="G27" s="40" t="s">
        <v>38</v>
      </c>
      <c r="H27" s="39" t="s">
        <v>41</v>
      </c>
    </row>
    <row r="28" spans="1:8" ht="15.75" thickTop="1" x14ac:dyDescent="0.2">
      <c r="A28" s="38" t="s">
        <v>49</v>
      </c>
      <c r="B28" s="36" t="str">
        <f t="shared" ref="B28:H34" si="0">INDEX(CompositeRatings,MATCH(ROUND((INDEX(NumericRatings,MATCH($A28,MoodyRatings,0),1)+INDEX(NumericRatings,MATCH(B$27,SpRatings,0),1)+INDEX(NumericRatings,MATCH(B$35,FitchRatings,0),1))/3,0),NumericRatings,0),1)</f>
        <v>AAA</v>
      </c>
      <c r="C28" s="36" t="str">
        <f t="shared" si="0"/>
        <v>AA1</v>
      </c>
      <c r="D28" s="36" t="str">
        <f t="shared" si="0"/>
        <v>AA1</v>
      </c>
      <c r="E28" s="36" t="str">
        <f t="shared" si="0"/>
        <v>AA2</v>
      </c>
      <c r="F28" s="36" t="str">
        <f t="shared" si="0"/>
        <v>AA3</v>
      </c>
      <c r="G28" s="36" t="str">
        <f t="shared" si="0"/>
        <v>AA3</v>
      </c>
      <c r="H28" s="36" t="str">
        <f t="shared" si="0"/>
        <v>A1</v>
      </c>
    </row>
    <row r="29" spans="1:8" ht="15" x14ac:dyDescent="0.2">
      <c r="A29" s="38" t="s">
        <v>48</v>
      </c>
      <c r="B29" s="36" t="str">
        <f t="shared" si="0"/>
        <v>AAA</v>
      </c>
      <c r="C29" s="36" t="str">
        <f t="shared" si="0"/>
        <v>AA1</v>
      </c>
      <c r="D29" s="36" t="str">
        <f t="shared" si="0"/>
        <v>AA2</v>
      </c>
      <c r="E29" s="36" t="str">
        <f t="shared" si="0"/>
        <v>AA2</v>
      </c>
      <c r="F29" s="36" t="str">
        <f t="shared" si="0"/>
        <v>AA3</v>
      </c>
      <c r="G29" s="36" t="str">
        <f t="shared" si="0"/>
        <v>A1</v>
      </c>
      <c r="H29" s="36" t="str">
        <f t="shared" si="0"/>
        <v>A1</v>
      </c>
    </row>
    <row r="30" spans="1:8" ht="15" x14ac:dyDescent="0.2">
      <c r="A30" s="38" t="s">
        <v>47</v>
      </c>
      <c r="B30" s="36" t="str">
        <f t="shared" si="0"/>
        <v>AA1</v>
      </c>
      <c r="C30" s="36" t="str">
        <f t="shared" si="0"/>
        <v>AA1</v>
      </c>
      <c r="D30" s="36" t="str">
        <f t="shared" si="0"/>
        <v>AA2</v>
      </c>
      <c r="E30" s="36" t="str">
        <f t="shared" si="0"/>
        <v>AA3</v>
      </c>
      <c r="F30" s="36" t="str">
        <f t="shared" si="0"/>
        <v>AA3</v>
      </c>
      <c r="G30" s="36" t="str">
        <f t="shared" si="0"/>
        <v>A1</v>
      </c>
      <c r="H30" s="36" t="str">
        <f t="shared" si="0"/>
        <v>A2</v>
      </c>
    </row>
    <row r="31" spans="1:8" ht="15" x14ac:dyDescent="0.2">
      <c r="A31" s="38" t="s">
        <v>46</v>
      </c>
      <c r="B31" s="36" t="str">
        <f t="shared" si="0"/>
        <v>AA1</v>
      </c>
      <c r="C31" s="36" t="str">
        <f t="shared" si="0"/>
        <v>AA2</v>
      </c>
      <c r="D31" s="36" t="str">
        <f t="shared" si="0"/>
        <v>AA2</v>
      </c>
      <c r="E31" s="36" t="str">
        <f t="shared" si="0"/>
        <v>AA3</v>
      </c>
      <c r="F31" s="36" t="str">
        <f t="shared" si="0"/>
        <v>A1</v>
      </c>
      <c r="G31" s="36" t="str">
        <f t="shared" si="0"/>
        <v>A1</v>
      </c>
      <c r="H31" s="36" t="str">
        <f t="shared" si="0"/>
        <v>A2</v>
      </c>
    </row>
    <row r="32" spans="1:8" ht="15" x14ac:dyDescent="0.2">
      <c r="A32" s="38" t="s">
        <v>32</v>
      </c>
      <c r="B32" s="36" t="str">
        <f t="shared" si="0"/>
        <v>AA1</v>
      </c>
      <c r="C32" s="36" t="str">
        <f t="shared" si="0"/>
        <v>AA2</v>
      </c>
      <c r="D32" s="36" t="str">
        <f t="shared" si="0"/>
        <v>AA3</v>
      </c>
      <c r="E32" s="36" t="str">
        <f t="shared" si="0"/>
        <v>AA3</v>
      </c>
      <c r="F32" s="36" t="str">
        <f t="shared" si="0"/>
        <v>A1</v>
      </c>
      <c r="G32" s="36" t="str">
        <f t="shared" si="0"/>
        <v>A2</v>
      </c>
      <c r="H32" s="36" t="str">
        <f t="shared" si="0"/>
        <v>A2</v>
      </c>
    </row>
    <row r="33" spans="1:8" ht="15" x14ac:dyDescent="0.2">
      <c r="A33" s="38" t="s">
        <v>30</v>
      </c>
      <c r="B33" s="36" t="str">
        <f t="shared" si="0"/>
        <v>AA2</v>
      </c>
      <c r="C33" s="36" t="str">
        <f t="shared" si="0"/>
        <v>AA2</v>
      </c>
      <c r="D33" s="36" t="str">
        <f t="shared" si="0"/>
        <v>AA3</v>
      </c>
      <c r="E33" s="36" t="str">
        <f t="shared" si="0"/>
        <v>A1</v>
      </c>
      <c r="F33" s="36" t="str">
        <f t="shared" si="0"/>
        <v>A1</v>
      </c>
      <c r="G33" s="36" t="str">
        <f t="shared" si="0"/>
        <v>A2</v>
      </c>
      <c r="H33" s="36" t="str">
        <f t="shared" si="0"/>
        <v>A3</v>
      </c>
    </row>
    <row r="34" spans="1:8" ht="15.75" thickBot="1" x14ac:dyDescent="0.25">
      <c r="A34" s="37" t="s">
        <v>28</v>
      </c>
      <c r="B34" s="36" t="str">
        <f t="shared" si="0"/>
        <v>AA2</v>
      </c>
      <c r="C34" s="36" t="str">
        <f t="shared" si="0"/>
        <v>AA3</v>
      </c>
      <c r="D34" s="36" t="str">
        <f t="shared" si="0"/>
        <v>AA3</v>
      </c>
      <c r="E34" s="36" t="str">
        <f t="shared" si="0"/>
        <v>A1</v>
      </c>
      <c r="F34" s="36" t="str">
        <f t="shared" si="0"/>
        <v>A2</v>
      </c>
      <c r="G34" s="36" t="str">
        <f t="shared" si="0"/>
        <v>A2</v>
      </c>
      <c r="H34" s="36" t="str">
        <f t="shared" si="0"/>
        <v>A3</v>
      </c>
    </row>
    <row r="35" spans="1:8" ht="14.25" thickTop="1" thickBot="1" x14ac:dyDescent="0.25">
      <c r="B35" s="35" t="s">
        <v>25</v>
      </c>
      <c r="C35" s="34" t="s">
        <v>45</v>
      </c>
      <c r="D35" s="34" t="s">
        <v>44</v>
      </c>
      <c r="E35" s="34" t="s">
        <v>43</v>
      </c>
      <c r="F35" s="34" t="s">
        <v>42</v>
      </c>
      <c r="G35" s="34" t="s">
        <v>38</v>
      </c>
      <c r="H35" s="33" t="s">
        <v>41</v>
      </c>
    </row>
    <row r="36" spans="1:8" ht="14.25" thickTop="1" thickBot="1" x14ac:dyDescent="0.25">
      <c r="B36" s="32" t="s">
        <v>40</v>
      </c>
      <c r="C36" s="31"/>
      <c r="D36" s="31"/>
      <c r="E36" s="31"/>
      <c r="F36" s="31"/>
      <c r="G36" s="31"/>
      <c r="H36" s="30"/>
    </row>
    <row r="37" spans="1:8" ht="13.5" thickTop="1" x14ac:dyDescent="0.2"/>
    <row r="38" spans="1:8" ht="13.5" thickBot="1" x14ac:dyDescent="0.25"/>
    <row r="39" spans="1:8" ht="14.25" thickTop="1" thickBot="1" x14ac:dyDescent="0.25">
      <c r="B39" s="45" t="s">
        <v>51</v>
      </c>
      <c r="C39" s="44"/>
      <c r="D39" s="44"/>
      <c r="E39" s="44"/>
      <c r="F39" s="44"/>
      <c r="G39" s="44"/>
      <c r="H39" s="43"/>
    </row>
    <row r="40" spans="1:8" ht="14.25" thickTop="1" thickBot="1" x14ac:dyDescent="0.25">
      <c r="A40" s="42" t="s">
        <v>50</v>
      </c>
      <c r="B40" s="41" t="s">
        <v>41</v>
      </c>
      <c r="C40" s="40" t="s">
        <v>38</v>
      </c>
      <c r="D40" s="40" t="s">
        <v>42</v>
      </c>
      <c r="E40" s="40" t="s">
        <v>43</v>
      </c>
      <c r="F40" s="40" t="s">
        <v>44</v>
      </c>
      <c r="G40" s="40" t="s">
        <v>45</v>
      </c>
      <c r="H40" s="39" t="s">
        <v>25</v>
      </c>
    </row>
    <row r="41" spans="1:8" ht="15.75" thickTop="1" x14ac:dyDescent="0.2">
      <c r="A41" s="38" t="s">
        <v>49</v>
      </c>
      <c r="B41" s="36" t="str">
        <f t="shared" ref="B41:H47" si="1">INDEX(CompositeRatings,MATCH(ROUND((INDEX(NumericRatings,MATCH($A41,MoodyRatings,0),1)+INDEX(NumericRatings,MATCH(B$40,SpRatings,0),1)+INDEX(NumericRatings,MATCH(B$48,FitchRatings,0),1))/3,0),NumericRatings,0),1)</f>
        <v>AA2</v>
      </c>
      <c r="C41" s="36" t="str">
        <f t="shared" si="1"/>
        <v>AA2</v>
      </c>
      <c r="D41" s="36" t="str">
        <f t="shared" si="1"/>
        <v>AA2</v>
      </c>
      <c r="E41" s="36" t="str">
        <f t="shared" si="1"/>
        <v>AA2</v>
      </c>
      <c r="F41" s="36" t="str">
        <f t="shared" si="1"/>
        <v>AA2</v>
      </c>
      <c r="G41" s="36" t="str">
        <f t="shared" si="1"/>
        <v>AA2</v>
      </c>
      <c r="H41" s="36" t="str">
        <f t="shared" si="1"/>
        <v>AA2</v>
      </c>
    </row>
    <row r="42" spans="1:8" ht="15" x14ac:dyDescent="0.2">
      <c r="A42" s="38" t="s">
        <v>48</v>
      </c>
      <c r="B42" s="36" t="str">
        <f t="shared" si="1"/>
        <v>AA2</v>
      </c>
      <c r="C42" s="36" t="str">
        <f t="shared" si="1"/>
        <v>AA2</v>
      </c>
      <c r="D42" s="36" t="str">
        <f t="shared" si="1"/>
        <v>AA2</v>
      </c>
      <c r="E42" s="36" t="str">
        <f t="shared" si="1"/>
        <v>AA2</v>
      </c>
      <c r="F42" s="36" t="str">
        <f t="shared" si="1"/>
        <v>AA2</v>
      </c>
      <c r="G42" s="36" t="str">
        <f t="shared" si="1"/>
        <v>AA2</v>
      </c>
      <c r="H42" s="36" t="str">
        <f t="shared" si="1"/>
        <v>AA2</v>
      </c>
    </row>
    <row r="43" spans="1:8" ht="15" x14ac:dyDescent="0.2">
      <c r="A43" s="38" t="s">
        <v>47</v>
      </c>
      <c r="B43" s="36" t="str">
        <f t="shared" si="1"/>
        <v>AA3</v>
      </c>
      <c r="C43" s="36" t="str">
        <f t="shared" si="1"/>
        <v>AA3</v>
      </c>
      <c r="D43" s="36" t="str">
        <f t="shared" si="1"/>
        <v>AA3</v>
      </c>
      <c r="E43" s="36" t="str">
        <f t="shared" si="1"/>
        <v>AA3</v>
      </c>
      <c r="F43" s="36" t="str">
        <f t="shared" si="1"/>
        <v>AA3</v>
      </c>
      <c r="G43" s="36" t="str">
        <f t="shared" si="1"/>
        <v>AA3</v>
      </c>
      <c r="H43" s="36" t="str">
        <f t="shared" si="1"/>
        <v>AA3</v>
      </c>
    </row>
    <row r="44" spans="1:8" ht="15" x14ac:dyDescent="0.2">
      <c r="A44" s="38" t="s">
        <v>46</v>
      </c>
      <c r="B44" s="36" t="str">
        <f t="shared" si="1"/>
        <v>AA3</v>
      </c>
      <c r="C44" s="36" t="str">
        <f t="shared" si="1"/>
        <v>AA3</v>
      </c>
      <c r="D44" s="36" t="str">
        <f t="shared" si="1"/>
        <v>AA3</v>
      </c>
      <c r="E44" s="36" t="str">
        <f t="shared" si="1"/>
        <v>AA3</v>
      </c>
      <c r="F44" s="36" t="str">
        <f t="shared" si="1"/>
        <v>AA3</v>
      </c>
      <c r="G44" s="36" t="str">
        <f t="shared" si="1"/>
        <v>AA3</v>
      </c>
      <c r="H44" s="36" t="str">
        <f t="shared" si="1"/>
        <v>AA3</v>
      </c>
    </row>
    <row r="45" spans="1:8" ht="15" x14ac:dyDescent="0.2">
      <c r="A45" s="38" t="s">
        <v>32</v>
      </c>
      <c r="B45" s="36" t="str">
        <f t="shared" si="1"/>
        <v>AA3</v>
      </c>
      <c r="C45" s="36" t="str">
        <f t="shared" si="1"/>
        <v>AA3</v>
      </c>
      <c r="D45" s="36" t="str">
        <f t="shared" si="1"/>
        <v>AA3</v>
      </c>
      <c r="E45" s="36" t="str">
        <f t="shared" si="1"/>
        <v>AA3</v>
      </c>
      <c r="F45" s="36" t="str">
        <f t="shared" si="1"/>
        <v>AA3</v>
      </c>
      <c r="G45" s="36" t="str">
        <f t="shared" si="1"/>
        <v>AA3</v>
      </c>
      <c r="H45" s="36" t="str">
        <f t="shared" si="1"/>
        <v>AA3</v>
      </c>
    </row>
    <row r="46" spans="1:8" ht="15" x14ac:dyDescent="0.2">
      <c r="A46" s="38" t="s">
        <v>30</v>
      </c>
      <c r="B46" s="36" t="str">
        <f t="shared" si="1"/>
        <v>A1</v>
      </c>
      <c r="C46" s="36" t="str">
        <f t="shared" si="1"/>
        <v>A1</v>
      </c>
      <c r="D46" s="36" t="str">
        <f t="shared" si="1"/>
        <v>A1</v>
      </c>
      <c r="E46" s="36" t="str">
        <f t="shared" si="1"/>
        <v>A1</v>
      </c>
      <c r="F46" s="36" t="str">
        <f t="shared" si="1"/>
        <v>A1</v>
      </c>
      <c r="G46" s="36" t="str">
        <f t="shared" si="1"/>
        <v>A1</v>
      </c>
      <c r="H46" s="36" t="str">
        <f t="shared" si="1"/>
        <v>A1</v>
      </c>
    </row>
    <row r="47" spans="1:8" ht="15.75" thickBot="1" x14ac:dyDescent="0.25">
      <c r="A47" s="37" t="s">
        <v>28</v>
      </c>
      <c r="B47" s="36" t="str">
        <f t="shared" si="1"/>
        <v>A1</v>
      </c>
      <c r="C47" s="36" t="str">
        <f t="shared" si="1"/>
        <v>A1</v>
      </c>
      <c r="D47" s="36" t="str">
        <f t="shared" si="1"/>
        <v>A1</v>
      </c>
      <c r="E47" s="36" t="str">
        <f t="shared" si="1"/>
        <v>A1</v>
      </c>
      <c r="F47" s="36" t="str">
        <f t="shared" si="1"/>
        <v>A1</v>
      </c>
      <c r="G47" s="36" t="str">
        <f t="shared" si="1"/>
        <v>A1</v>
      </c>
      <c r="H47" s="36" t="str">
        <f t="shared" si="1"/>
        <v>A1</v>
      </c>
    </row>
    <row r="48" spans="1:8" ht="14.25" thickTop="1" thickBot="1" x14ac:dyDescent="0.25">
      <c r="B48" s="35" t="s">
        <v>25</v>
      </c>
      <c r="C48" s="34" t="s">
        <v>45</v>
      </c>
      <c r="D48" s="34" t="s">
        <v>44</v>
      </c>
      <c r="E48" s="34" t="s">
        <v>43</v>
      </c>
      <c r="F48" s="34" t="s">
        <v>42</v>
      </c>
      <c r="G48" s="34" t="s">
        <v>38</v>
      </c>
      <c r="H48" s="33" t="s">
        <v>41</v>
      </c>
    </row>
    <row r="49" spans="1:8" ht="14.25" thickTop="1" thickBot="1" x14ac:dyDescent="0.25">
      <c r="B49" s="32" t="s">
        <v>40</v>
      </c>
      <c r="C49" s="31"/>
      <c r="D49" s="31"/>
      <c r="E49" s="31"/>
      <c r="F49" s="31"/>
      <c r="G49" s="31"/>
      <c r="H49" s="30"/>
    </row>
    <row r="50" spans="1:8" ht="13.5" thickTop="1" x14ac:dyDescent="0.2"/>
    <row r="51" spans="1:8" ht="13.5" thickBot="1" x14ac:dyDescent="0.25"/>
    <row r="52" spans="1:8" ht="14.25" thickTop="1" thickBot="1" x14ac:dyDescent="0.25">
      <c r="B52" s="45" t="s">
        <v>51</v>
      </c>
      <c r="C52" s="44"/>
      <c r="D52" s="44"/>
      <c r="E52" s="44"/>
      <c r="F52" s="44"/>
      <c r="G52" s="44"/>
      <c r="H52" s="43"/>
    </row>
    <row r="53" spans="1:8" ht="14.25" thickTop="1" thickBot="1" x14ac:dyDescent="0.25">
      <c r="A53" s="42" t="s">
        <v>50</v>
      </c>
      <c r="B53" s="41" t="s">
        <v>25</v>
      </c>
      <c r="C53" s="40" t="s">
        <v>45</v>
      </c>
      <c r="D53" s="40" t="s">
        <v>44</v>
      </c>
      <c r="E53" s="40" t="s">
        <v>43</v>
      </c>
      <c r="F53" s="40" t="s">
        <v>42</v>
      </c>
      <c r="G53" s="40" t="s">
        <v>38</v>
      </c>
      <c r="H53" s="39" t="s">
        <v>41</v>
      </c>
    </row>
    <row r="54" spans="1:8" ht="15.75" thickTop="1" x14ac:dyDescent="0.2">
      <c r="A54" s="38" t="s">
        <v>28</v>
      </c>
      <c r="B54" s="36" t="str">
        <f t="shared" ref="B54:H60" si="2">INDEX(CompositeRatings,MATCH(ROUND((INDEX(NumericRatings,MATCH($A54,MoodyRatings,0),1)+INDEX(NumericRatings,MATCH(B$53,SpRatings,0),1)+INDEX(NumericRatings,MATCH(B$61,FitchRatings,0),1))/3,0),NumericRatings,0),1)</f>
        <v>A1</v>
      </c>
      <c r="C54" s="36" t="str">
        <f t="shared" si="2"/>
        <v>A1</v>
      </c>
      <c r="D54" s="36" t="str">
        <f t="shared" si="2"/>
        <v>A1</v>
      </c>
      <c r="E54" s="36" t="str">
        <f t="shared" si="2"/>
        <v>A1</v>
      </c>
      <c r="F54" s="36" t="str">
        <f t="shared" si="2"/>
        <v>A1</v>
      </c>
      <c r="G54" s="36" t="str">
        <f t="shared" si="2"/>
        <v>A1</v>
      </c>
      <c r="H54" s="36" t="str">
        <f t="shared" si="2"/>
        <v>A1</v>
      </c>
    </row>
    <row r="55" spans="1:8" ht="15" x14ac:dyDescent="0.2">
      <c r="A55" s="38" t="s">
        <v>30</v>
      </c>
      <c r="B55" s="36" t="str">
        <f t="shared" si="2"/>
        <v>A1</v>
      </c>
      <c r="C55" s="36" t="str">
        <f t="shared" si="2"/>
        <v>A1</v>
      </c>
      <c r="D55" s="36" t="str">
        <f t="shared" si="2"/>
        <v>A1</v>
      </c>
      <c r="E55" s="36" t="str">
        <f t="shared" si="2"/>
        <v>A1</v>
      </c>
      <c r="F55" s="36" t="str">
        <f t="shared" si="2"/>
        <v>A1</v>
      </c>
      <c r="G55" s="36" t="str">
        <f t="shared" si="2"/>
        <v>A1</v>
      </c>
      <c r="H55" s="36" t="str">
        <f t="shared" si="2"/>
        <v>A1</v>
      </c>
    </row>
    <row r="56" spans="1:8" ht="15" x14ac:dyDescent="0.2">
      <c r="A56" s="38" t="s">
        <v>32</v>
      </c>
      <c r="B56" s="36" t="str">
        <f t="shared" si="2"/>
        <v>AA3</v>
      </c>
      <c r="C56" s="36" t="str">
        <f t="shared" si="2"/>
        <v>AA3</v>
      </c>
      <c r="D56" s="36" t="str">
        <f t="shared" si="2"/>
        <v>AA3</v>
      </c>
      <c r="E56" s="36" t="str">
        <f t="shared" si="2"/>
        <v>AA3</v>
      </c>
      <c r="F56" s="36" t="str">
        <f t="shared" si="2"/>
        <v>AA3</v>
      </c>
      <c r="G56" s="36" t="str">
        <f t="shared" si="2"/>
        <v>AA3</v>
      </c>
      <c r="H56" s="36" t="str">
        <f t="shared" si="2"/>
        <v>AA3</v>
      </c>
    </row>
    <row r="57" spans="1:8" ht="15" x14ac:dyDescent="0.2">
      <c r="A57" s="38" t="s">
        <v>46</v>
      </c>
      <c r="B57" s="36" t="str">
        <f t="shared" si="2"/>
        <v>AA3</v>
      </c>
      <c r="C57" s="36" t="str">
        <f t="shared" si="2"/>
        <v>AA3</v>
      </c>
      <c r="D57" s="36" t="str">
        <f t="shared" si="2"/>
        <v>AA3</v>
      </c>
      <c r="E57" s="36" t="str">
        <f t="shared" si="2"/>
        <v>AA3</v>
      </c>
      <c r="F57" s="36" t="str">
        <f t="shared" si="2"/>
        <v>AA3</v>
      </c>
      <c r="G57" s="36" t="str">
        <f t="shared" si="2"/>
        <v>AA3</v>
      </c>
      <c r="H57" s="36" t="str">
        <f t="shared" si="2"/>
        <v>AA3</v>
      </c>
    </row>
    <row r="58" spans="1:8" ht="15" x14ac:dyDescent="0.2">
      <c r="A58" s="38" t="s">
        <v>47</v>
      </c>
      <c r="B58" s="36" t="str">
        <f t="shared" si="2"/>
        <v>AA3</v>
      </c>
      <c r="C58" s="36" t="str">
        <f t="shared" si="2"/>
        <v>AA3</v>
      </c>
      <c r="D58" s="36" t="str">
        <f t="shared" si="2"/>
        <v>AA3</v>
      </c>
      <c r="E58" s="36" t="str">
        <f t="shared" si="2"/>
        <v>AA3</v>
      </c>
      <c r="F58" s="36" t="str">
        <f t="shared" si="2"/>
        <v>AA3</v>
      </c>
      <c r="G58" s="36" t="str">
        <f t="shared" si="2"/>
        <v>AA3</v>
      </c>
      <c r="H58" s="36" t="str">
        <f t="shared" si="2"/>
        <v>AA3</v>
      </c>
    </row>
    <row r="59" spans="1:8" ht="15" x14ac:dyDescent="0.2">
      <c r="A59" s="38" t="s">
        <v>26</v>
      </c>
      <c r="B59" s="36" t="str">
        <f t="shared" si="2"/>
        <v>AA2</v>
      </c>
      <c r="C59" s="36" t="str">
        <f t="shared" si="2"/>
        <v>AA2</v>
      </c>
      <c r="D59" s="36" t="str">
        <f t="shared" si="2"/>
        <v>AA2</v>
      </c>
      <c r="E59" s="36" t="str">
        <f t="shared" si="2"/>
        <v>AA2</v>
      </c>
      <c r="F59" s="36" t="str">
        <f t="shared" si="2"/>
        <v>AA2</v>
      </c>
      <c r="G59" s="36" t="str">
        <f t="shared" si="2"/>
        <v>AA2</v>
      </c>
      <c r="H59" s="36" t="str">
        <f t="shared" si="2"/>
        <v>AA2</v>
      </c>
    </row>
    <row r="60" spans="1:8" ht="15.75" thickBot="1" x14ac:dyDescent="0.25">
      <c r="A60" s="37" t="s">
        <v>25</v>
      </c>
      <c r="B60" s="36" t="str">
        <f t="shared" si="2"/>
        <v>AA2</v>
      </c>
      <c r="C60" s="36" t="str">
        <f t="shared" si="2"/>
        <v>AA2</v>
      </c>
      <c r="D60" s="36" t="str">
        <f t="shared" si="2"/>
        <v>AA2</v>
      </c>
      <c r="E60" s="36" t="str">
        <f t="shared" si="2"/>
        <v>AA2</v>
      </c>
      <c r="F60" s="36" t="str">
        <f t="shared" si="2"/>
        <v>AA2</v>
      </c>
      <c r="G60" s="36" t="str">
        <f t="shared" si="2"/>
        <v>AA2</v>
      </c>
      <c r="H60" s="36" t="str">
        <f t="shared" si="2"/>
        <v>AA2</v>
      </c>
    </row>
    <row r="61" spans="1:8" ht="14.25" thickTop="1" thickBot="1" x14ac:dyDescent="0.25">
      <c r="B61" s="35" t="s">
        <v>41</v>
      </c>
      <c r="C61" s="34" t="s">
        <v>38</v>
      </c>
      <c r="D61" s="34" t="s">
        <v>42</v>
      </c>
      <c r="E61" s="34" t="s">
        <v>43</v>
      </c>
      <c r="F61" s="34" t="s">
        <v>44</v>
      </c>
      <c r="G61" s="34" t="s">
        <v>45</v>
      </c>
      <c r="H61" s="33" t="s">
        <v>25</v>
      </c>
    </row>
    <row r="62" spans="1:8" ht="14.25" thickTop="1" thickBot="1" x14ac:dyDescent="0.25">
      <c r="B62" s="32" t="s">
        <v>40</v>
      </c>
      <c r="C62" s="31"/>
      <c r="D62" s="31"/>
      <c r="E62" s="31"/>
      <c r="F62" s="31"/>
      <c r="G62" s="31"/>
      <c r="H62" s="30"/>
    </row>
    <row r="63" spans="1:8" ht="13.5" thickTop="1" x14ac:dyDescent="0.2"/>
    <row r="1968" spans="7875:7875" ht="15" x14ac:dyDescent="0.25">
      <c r="KPW1968"/>
    </row>
  </sheetData>
  <printOptions horizontalCentered="1" verticalCentered="1"/>
  <pageMargins left="0.75" right="0.75" top="1" bottom="1" header="0.5" footer="0.5"/>
  <pageSetup scale="79" orientation="landscape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34</vt:i4>
      </vt:variant>
    </vt:vector>
  </HeadingPairs>
  <TitlesOfParts>
    <vt:vector size="37" baseType="lpstr">
      <vt:lpstr>KevinWebb-CFA</vt:lpstr>
      <vt:lpstr>Simulator</vt:lpstr>
      <vt:lpstr>Credit Ratings Matrix</vt:lpstr>
      <vt:lpstr>CompositeRatings</vt:lpstr>
      <vt:lpstr>CorporateMax</vt:lpstr>
      <vt:lpstr>CorporatePercent</vt:lpstr>
      <vt:lpstr>CorporateTotal</vt:lpstr>
      <vt:lpstr>CreditRatingTarget</vt:lpstr>
      <vt:lpstr>EffectiveDuration</vt:lpstr>
      <vt:lpstr>FitchRatings</vt:lpstr>
      <vt:lpstr>MarketRateOfReturn</vt:lpstr>
      <vt:lpstr>MoodyRatings</vt:lpstr>
      <vt:lpstr>NumericRatings</vt:lpstr>
      <vt:lpstr>Plan_CreditRating</vt:lpstr>
      <vt:lpstr>Portfolio_CreditRating</vt:lpstr>
      <vt:lpstr>PrimaryLiquidity</vt:lpstr>
      <vt:lpstr>'Credit Ratings Matrix'!Print_Area</vt:lpstr>
      <vt:lpstr>'KevinWebb-CFA'!Print_Area</vt:lpstr>
      <vt:lpstr>Sec_LiqRating</vt:lpstr>
      <vt:lpstr>SecondaryLiquidity</vt:lpstr>
      <vt:lpstr>Sim_CashDuration</vt:lpstr>
      <vt:lpstr>Sim_CashWeight</vt:lpstr>
      <vt:lpstr>Sim_CashYield</vt:lpstr>
      <vt:lpstr>Sim_DurationMatrix</vt:lpstr>
      <vt:lpstr>Sim_InvestmentsWeight</vt:lpstr>
      <vt:lpstr>Sim_PurchaseYieldMatrix</vt:lpstr>
      <vt:lpstr>Sim_RatingMatrix</vt:lpstr>
      <vt:lpstr>Sim_SecLiqDuration</vt:lpstr>
      <vt:lpstr>Sim_SecLiqWeight</vt:lpstr>
      <vt:lpstr>Sim_SecLiqYield</vt:lpstr>
      <vt:lpstr>Sim_Total_Allocation</vt:lpstr>
      <vt:lpstr>Sim_WeightMatrix</vt:lpstr>
      <vt:lpstr>SpRatings</vt:lpstr>
      <vt:lpstr>TotalLiquidity</vt:lpstr>
      <vt:lpstr>WeightedCreditRating</vt:lpstr>
      <vt:lpstr>WeightedEffectiveDuration</vt:lpstr>
      <vt:lpstr>WeightedPurchaseYield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Webb</dc:creator>
  <cp:lastModifiedBy>Avila, Rose</cp:lastModifiedBy>
  <dcterms:created xsi:type="dcterms:W3CDTF">2017-07-21T22:33:38Z</dcterms:created>
  <dcterms:modified xsi:type="dcterms:W3CDTF">2019-02-28T23:35:38Z</dcterms:modified>
</cp:coreProperties>
</file>