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I:\development\htdocs\cdlac\meeting\2020\20200925\"/>
    </mc:Choice>
  </mc:AlternateContent>
  <bookViews>
    <workbookView xWindow="1920" yWindow="885" windowWidth="20295" windowHeight="12090" tabRatio="863" activeTab="3"/>
  </bookViews>
  <sheets>
    <sheet name="2021 System 9-23-20 WG" sheetId="36" r:id="rId1"/>
    <sheet name="Notes" sheetId="38" r:id="rId2"/>
    <sheet name="Cost Containment" sheetId="34" r:id="rId3"/>
    <sheet name="Tie Breaker 2021" sheetId="33" r:id="rId4"/>
    <sheet name="TB - Basis Limit Delta - 2021" sheetId="32" r:id="rId5"/>
    <sheet name="Benefit Efficiency - 2022" sheetId="39" r:id="rId6"/>
    <sheet name="2021 System 9-12-20 Admin" sheetId="27" r:id="rId7"/>
  </sheets>
  <definedNames>
    <definedName name="_xlnm.Print_Area" localSheetId="6">'2021 System 9-12-20 Admin'!$A$1:$L$46</definedName>
    <definedName name="_xlnm.Print_Area" localSheetId="0">'2021 System 9-23-20 WG'!$A$1:$J$65</definedName>
    <definedName name="_xlnm.Print_Area" localSheetId="3">'Tie Breaker 2021'!$A$1:$H$24</definedName>
    <definedName name="_xlnm.Print_Titles" localSheetId="4">'TB - Basis Limit Delta - 2021'!$1:$6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7" i="33" l="1"/>
  <c r="D61" i="39"/>
  <c r="G57" i="39"/>
  <c r="G56" i="39"/>
  <c r="G55" i="39"/>
  <c r="G54" i="39"/>
  <c r="G53" i="39"/>
  <c r="G43" i="39"/>
  <c r="D43" i="39"/>
  <c r="G42" i="39"/>
  <c r="D42" i="39"/>
  <c r="G41" i="39"/>
  <c r="G40" i="39"/>
  <c r="G39" i="39"/>
  <c r="D39" i="39"/>
  <c r="G38" i="39"/>
  <c r="F34" i="39"/>
  <c r="F33" i="39"/>
  <c r="F32" i="39"/>
  <c r="F31" i="39"/>
  <c r="F30" i="39"/>
  <c r="F29" i="39"/>
  <c r="D25" i="39"/>
  <c r="G25" i="39" s="1"/>
  <c r="D24" i="39"/>
  <c r="G24" i="39" s="1"/>
  <c r="D23" i="39"/>
  <c r="G23" i="39" s="1"/>
  <c r="D22" i="39"/>
  <c r="G22" i="39" s="1"/>
  <c r="D21" i="39"/>
  <c r="G21" i="39" s="1"/>
  <c r="D11" i="39"/>
  <c r="F10" i="39" s="1"/>
  <c r="F8" i="39"/>
  <c r="F7" i="39"/>
  <c r="F6" i="39"/>
  <c r="I35" i="39" l="1"/>
  <c r="H43" i="39"/>
  <c r="I59" i="39"/>
  <c r="I62" i="39" s="1"/>
  <c r="E67" i="39" s="1"/>
  <c r="H39" i="39"/>
  <c r="H42" i="39"/>
  <c r="E22" i="39"/>
  <c r="H22" i="39" s="1"/>
  <c r="E24" i="39"/>
  <c r="H24" i="39" s="1"/>
  <c r="F9" i="39"/>
  <c r="F11" i="39" s="1"/>
  <c r="E21" i="39"/>
  <c r="H21" i="39" s="1"/>
  <c r="E23" i="39"/>
  <c r="H23" i="39" s="1"/>
  <c r="E25" i="39"/>
  <c r="H25" i="39" s="1"/>
  <c r="D40" i="39" l="1"/>
  <c r="H40" i="39" s="1"/>
  <c r="D41" i="39"/>
  <c r="H41" i="39" s="1"/>
  <c r="D16" i="39"/>
  <c r="F16" i="39" s="1"/>
  <c r="I17" i="39" s="1"/>
  <c r="D38" i="39"/>
  <c r="H38" i="39" s="1"/>
  <c r="I26" i="39"/>
  <c r="I44" i="39" l="1"/>
  <c r="I45" i="39"/>
  <c r="E66" i="39" s="1"/>
  <c r="I69" i="39" s="1"/>
  <c r="G46" i="36" l="1"/>
  <c r="F14" i="36"/>
  <c r="F23" i="36" s="1"/>
  <c r="F12" i="36"/>
  <c r="F11" i="36"/>
  <c r="F10" i="36"/>
  <c r="F8" i="36"/>
  <c r="F7" i="36"/>
  <c r="F6" i="36"/>
  <c r="F5" i="36"/>
  <c r="D2" i="32" l="1"/>
  <c r="E8" i="34" l="1"/>
  <c r="E7" i="34"/>
  <c r="E6" i="34"/>
  <c r="E9" i="34" s="1"/>
  <c r="E65" i="33"/>
  <c r="D65" i="33"/>
  <c r="C65" i="33"/>
  <c r="E64" i="33"/>
  <c r="D64" i="33"/>
  <c r="F64" i="33" s="1"/>
  <c r="C64" i="33"/>
  <c r="E63" i="33"/>
  <c r="D63" i="33"/>
  <c r="C63" i="33"/>
  <c r="E62" i="33"/>
  <c r="E68" i="33" s="1"/>
  <c r="F68" i="33" s="1"/>
  <c r="D62" i="33"/>
  <c r="F62" i="33" s="1"/>
  <c r="C62" i="33"/>
  <c r="E61" i="33"/>
  <c r="D61" i="33"/>
  <c r="C61" i="33"/>
  <c r="D57" i="33"/>
  <c r="F56" i="33"/>
  <c r="F55" i="33"/>
  <c r="F54" i="33"/>
  <c r="F53" i="33"/>
  <c r="F52" i="33"/>
  <c r="D49" i="33"/>
  <c r="F48" i="33"/>
  <c r="F47" i="33"/>
  <c r="F46" i="33"/>
  <c r="F45" i="33"/>
  <c r="F44" i="33"/>
  <c r="E40" i="33"/>
  <c r="F40" i="33" s="1"/>
  <c r="E39" i="33"/>
  <c r="F39" i="33" s="1"/>
  <c r="E38" i="33"/>
  <c r="F38" i="33" s="1"/>
  <c r="E37" i="33"/>
  <c r="F37" i="33" s="1"/>
  <c r="F36" i="33"/>
  <c r="D33" i="33"/>
  <c r="F32" i="33"/>
  <c r="F31" i="33"/>
  <c r="F30" i="33"/>
  <c r="F29" i="33"/>
  <c r="F28" i="33"/>
  <c r="D17" i="33"/>
  <c r="F16" i="33" s="1"/>
  <c r="E16" i="33"/>
  <c r="E15" i="33"/>
  <c r="F14" i="33"/>
  <c r="F13" i="33"/>
  <c r="F12" i="33"/>
  <c r="D20" i="33"/>
  <c r="B65" i="32"/>
  <c r="C64" i="32"/>
  <c r="D64" i="32" s="1"/>
  <c r="C63" i="32"/>
  <c r="D63" i="32" s="1"/>
  <c r="C62" i="32"/>
  <c r="D62" i="32" s="1"/>
  <c r="C61" i="32"/>
  <c r="D61" i="32" s="1"/>
  <c r="C60" i="32"/>
  <c r="D60" i="32" s="1"/>
  <c r="C59" i="32"/>
  <c r="D59" i="32" s="1"/>
  <c r="C58" i="32"/>
  <c r="D58" i="32" s="1"/>
  <c r="C57" i="32"/>
  <c r="D57" i="32" s="1"/>
  <c r="C56" i="32"/>
  <c r="D56" i="32" s="1"/>
  <c r="C55" i="32"/>
  <c r="D55" i="32" s="1"/>
  <c r="C54" i="32"/>
  <c r="D54" i="32" s="1"/>
  <c r="C53" i="32"/>
  <c r="D53" i="32" s="1"/>
  <c r="C52" i="32"/>
  <c r="D52" i="32" s="1"/>
  <c r="C51" i="32"/>
  <c r="D51" i="32" s="1"/>
  <c r="C50" i="32"/>
  <c r="D50" i="32" s="1"/>
  <c r="C49" i="32"/>
  <c r="D49" i="32" s="1"/>
  <c r="C48" i="32"/>
  <c r="D48" i="32" s="1"/>
  <c r="C47" i="32"/>
  <c r="D47" i="32" s="1"/>
  <c r="C46" i="32"/>
  <c r="D46" i="32" s="1"/>
  <c r="C45" i="32"/>
  <c r="D45" i="32" s="1"/>
  <c r="C44" i="32"/>
  <c r="D44" i="32" s="1"/>
  <c r="C43" i="32"/>
  <c r="D43" i="32" s="1"/>
  <c r="C42" i="32"/>
  <c r="D42" i="32" s="1"/>
  <c r="C41" i="32"/>
  <c r="D41" i="32" s="1"/>
  <c r="C40" i="32"/>
  <c r="D40" i="32" s="1"/>
  <c r="C39" i="32"/>
  <c r="D39" i="32" s="1"/>
  <c r="C38" i="32"/>
  <c r="D38" i="32" s="1"/>
  <c r="C37" i="32"/>
  <c r="D37" i="32" s="1"/>
  <c r="C36" i="32"/>
  <c r="D36" i="32" s="1"/>
  <c r="C35" i="32"/>
  <c r="D35" i="32" s="1"/>
  <c r="C34" i="32"/>
  <c r="D34" i="32" s="1"/>
  <c r="C33" i="32"/>
  <c r="D33" i="32" s="1"/>
  <c r="C32" i="32"/>
  <c r="D32" i="32" s="1"/>
  <c r="C31" i="32"/>
  <c r="D31" i="32" s="1"/>
  <c r="C30" i="32"/>
  <c r="D30" i="32" s="1"/>
  <c r="C29" i="32"/>
  <c r="D29" i="32" s="1"/>
  <c r="C28" i="32"/>
  <c r="D28" i="32" s="1"/>
  <c r="C27" i="32"/>
  <c r="D27" i="32" s="1"/>
  <c r="C26" i="32"/>
  <c r="D26" i="32" s="1"/>
  <c r="C25" i="32"/>
  <c r="D25" i="32" s="1"/>
  <c r="C24" i="32"/>
  <c r="D24" i="32" s="1"/>
  <c r="C23" i="32"/>
  <c r="D23" i="32" s="1"/>
  <c r="C22" i="32"/>
  <c r="D22" i="32" s="1"/>
  <c r="C21" i="32"/>
  <c r="D21" i="32" s="1"/>
  <c r="C20" i="32"/>
  <c r="D20" i="32" s="1"/>
  <c r="C19" i="32"/>
  <c r="D19" i="32" s="1"/>
  <c r="C18" i="32"/>
  <c r="D18" i="32" s="1"/>
  <c r="C17" i="32"/>
  <c r="D17" i="32" s="1"/>
  <c r="C16" i="32"/>
  <c r="D16" i="32" s="1"/>
  <c r="C15" i="32"/>
  <c r="D15" i="32" s="1"/>
  <c r="C14" i="32"/>
  <c r="D14" i="32" s="1"/>
  <c r="C13" i="32"/>
  <c r="D13" i="32" s="1"/>
  <c r="C12" i="32"/>
  <c r="D12" i="32" s="1"/>
  <c r="C11" i="32"/>
  <c r="D11" i="32" s="1"/>
  <c r="C10" i="32"/>
  <c r="D10" i="32" s="1"/>
  <c r="C9" i="32"/>
  <c r="D9" i="32" s="1"/>
  <c r="C8" i="32"/>
  <c r="D8" i="32" s="1"/>
  <c r="C7" i="32"/>
  <c r="D7" i="32" s="1"/>
  <c r="F57" i="33" l="1"/>
  <c r="F63" i="33"/>
  <c r="F49" i="33"/>
  <c r="F33" i="33"/>
  <c r="F15" i="33"/>
  <c r="F17" i="33" s="1"/>
  <c r="F61" i="33"/>
  <c r="F65" i="33"/>
  <c r="E10" i="34"/>
  <c r="E12" i="34" s="1"/>
  <c r="E16" i="34" s="1"/>
  <c r="F41" i="33"/>
  <c r="F66" i="33" l="1"/>
  <c r="F70" i="33" s="1"/>
  <c r="F71" i="33"/>
  <c r="D22" i="33"/>
  <c r="D24" i="33" s="1"/>
  <c r="F8" i="27"/>
  <c r="G44" i="27" l="1"/>
  <c r="F13" i="27" l="1"/>
  <c r="F12" i="27"/>
  <c r="F11" i="27"/>
  <c r="F9" i="27"/>
  <c r="F7" i="27"/>
  <c r="F6" i="27"/>
  <c r="F15" i="27" l="1"/>
  <c r="F24" i="27" s="1"/>
</calcChain>
</file>

<file path=xl/sharedStrings.xml><?xml version="1.0" encoding="utf-8"?>
<sst xmlns="http://schemas.openxmlformats.org/spreadsheetml/2006/main" count="630" uniqueCount="447">
  <si>
    <t>City of Los Angeles</t>
  </si>
  <si>
    <t>Balance of LA County</t>
  </si>
  <si>
    <t>Est. QRRP PAB Volume Cap</t>
  </si>
  <si>
    <t>Location</t>
  </si>
  <si>
    <t>Inland Region</t>
  </si>
  <si>
    <t>Bay Area Region</t>
  </si>
  <si>
    <t>Coastal Region</t>
  </si>
  <si>
    <t>Pts.</t>
  </si>
  <si>
    <t>Service Amenities</t>
  </si>
  <si>
    <t>Readiness to Proceed</t>
  </si>
  <si>
    <t>Sacramento County</t>
  </si>
  <si>
    <t>1-Bedroom</t>
  </si>
  <si>
    <t>2-Bedroom</t>
  </si>
  <si>
    <t>3-Bedroom</t>
  </si>
  <si>
    <t>Units</t>
  </si>
  <si>
    <t>Base Limit</t>
  </si>
  <si>
    <t>Total Base Limit</t>
  </si>
  <si>
    <t>4% TCAC</t>
  </si>
  <si>
    <t>Basis Limits</t>
  </si>
  <si>
    <t>Points (1 pt. for every 1%, round down)</t>
  </si>
  <si>
    <t>Notes</t>
  </si>
  <si>
    <t>High Resource Area</t>
  </si>
  <si>
    <t>Northern Region</t>
  </si>
  <si>
    <t>Pools</t>
  </si>
  <si>
    <t>Rural</t>
  </si>
  <si>
    <t>Total Pools and Set-Asides</t>
  </si>
  <si>
    <t>New Construction Remainder</t>
  </si>
  <si>
    <t>Leveraged Soft Resources</t>
  </si>
  <si>
    <t>Use TCAC 9% criteria (keep same for both programs)</t>
  </si>
  <si>
    <t>New Construction Set-Asides</t>
  </si>
  <si>
    <t>Deeper Income Targeting</t>
  </si>
  <si>
    <t>Prevailing Wages</t>
  </si>
  <si>
    <t>Project Labor Agreement</t>
  </si>
  <si>
    <t>Day Care</t>
  </si>
  <si>
    <t>100% Special Needs</t>
  </si>
  <si>
    <t>Elevator Serviced Building</t>
  </si>
  <si>
    <t>Current TCAC Basis Boosts - Section 10327(c)(5)(B) through (F)</t>
  </si>
  <si>
    <t>Varies</t>
  </si>
  <si>
    <t>Seismic Upgrade/Toxic Mitigation</t>
  </si>
  <si>
    <t>Local Development Impact Fees</t>
  </si>
  <si>
    <t>+ Various Basis Boosts (Per TCAC Allowances)</t>
  </si>
  <si>
    <t>+ Impact Fees</t>
  </si>
  <si>
    <t>Depreciable Basis Cost Limit (A)</t>
  </si>
  <si>
    <t>Project's Budgeted Depreciable Basis (B)</t>
  </si>
  <si>
    <t>% Below (Above) Basis Limit (A - B / A)</t>
  </si>
  <si>
    <t>Energy/Green Features</t>
  </si>
  <si>
    <t xml:space="preserve">Central Coast (5.2%), Orange (7.3%), San Diego (8.6%)    </t>
  </si>
  <si>
    <t>City of Los Angeles (17.6%)</t>
  </si>
  <si>
    <t>Balance of Los Angeles County (17.2%)</t>
  </si>
  <si>
    <t>San Francisco (3.7%), South and West Bay (6.0%), East Bay (7.4%)</t>
  </si>
  <si>
    <t>Central Valley (8.6%), Inland Empire (8.3%)</t>
  </si>
  <si>
    <t>Capital (5.7%), Northern (4.4%)</t>
  </si>
  <si>
    <t>Cost Containment</t>
  </si>
  <si>
    <t>These basis limits all need to be adjusted - some too high, some too low</t>
  </si>
  <si>
    <t>Proposed New Basis Boosts</t>
  </si>
  <si>
    <t>Type I Building</t>
  </si>
  <si>
    <t>Type III Building</t>
  </si>
  <si>
    <t>Current TCAC Basis Boosts - Section 10327(c)(5)(A)</t>
  </si>
  <si>
    <t>Preservation Priorities (Acq. &amp; Rehab.)</t>
  </si>
  <si>
    <t>May now be duplicative boost when adding Type I and Type III</t>
  </si>
  <si>
    <t>Energy/Green Feature boost recommended for elimination</t>
  </si>
  <si>
    <t>Recommended for addition</t>
  </si>
  <si>
    <t>See below for current basis boosts plus proposed changes.</t>
  </si>
  <si>
    <t>CDLAC Allocation System for 2021</t>
  </si>
  <si>
    <t>1A</t>
  </si>
  <si>
    <t>1B</t>
  </si>
  <si>
    <t>Exceeding Minimum Rent Restrictions (% below Market)</t>
  </si>
  <si>
    <t>1 point for each 1% the average affordability is greater than 10% below market (measure bond/tax credit units only)</t>
  </si>
  <si>
    <t>Eliminate from scoring and make a threshold requirement</t>
  </si>
  <si>
    <t>Total Scoring Potential</t>
  </si>
  <si>
    <t>Housing Types (replaces Large-Family points)</t>
  </si>
  <si>
    <t>Eliminate to avoid determining factor that drives production into existing low-income areas</t>
  </si>
  <si>
    <t>Gross Rents (5 points)</t>
  </si>
  <si>
    <t>Sustainable Methods (10 pts.)</t>
  </si>
  <si>
    <t>Forgone Developer Fee (10 pts.)</t>
  </si>
  <si>
    <t>Exceeding Minimum Term of Restriction (10 pts.)</t>
  </si>
  <si>
    <t>Use TCAC 9% criteria for Large Family, Senior, Special Needs, SRO (must be Special Needs or 100% at 40% AMI or below) and At-Risk, but add a High Density housing type that meets conditions in 1B; waiver of criteria available for New Construction projects with land-use approvals obtained prior to January 1, 2022</t>
  </si>
  <si>
    <t>Eliminate to reduce costs and recognize California's already highly efficient building code</t>
  </si>
  <si>
    <t>Projects funded in pools don't count toward geographic regions; projects in pools do not spill to set-asides or geographic regions</t>
  </si>
  <si>
    <t>All set-asides spill to geographic regions; new construction includes adaptive re-use</t>
  </si>
  <si>
    <t>TB</t>
  </si>
  <si>
    <t>Eliminate from scoring and make 55-year regulatory period a threshold requirement</t>
  </si>
  <si>
    <t>Scoring (120 Points)</t>
  </si>
  <si>
    <t>Uncapped scoring category measuring value of public benefit relative to adjusted state resources used</t>
  </si>
  <si>
    <t>STEP 2:  Calculate Bedroom Adjusted Units</t>
  </si>
  <si>
    <t>Adj.</t>
  </si>
  <si>
    <t>Adjusted</t>
  </si>
  <si>
    <t>Unit Type</t>
  </si>
  <si>
    <t>Proposed</t>
  </si>
  <si>
    <t>Factor</t>
  </si>
  <si>
    <t>Studio</t>
  </si>
  <si>
    <t>Up to 30% of total units counted, then counted as a two-bedroom</t>
  </si>
  <si>
    <t>4-Bedroom or larger</t>
  </si>
  <si>
    <t>Up to 10% of total units counted, then counted as a two-bedroom</t>
  </si>
  <si>
    <t>Bedroom-Adjusted Units</t>
  </si>
  <si>
    <t>Equals</t>
  </si>
  <si>
    <t>Approaches to Bedroom-Adjusted Formula</t>
  </si>
  <si>
    <t>Studio / SRO</t>
  </si>
  <si>
    <t>4-Bedroom</t>
  </si>
  <si>
    <t>Sq. Ft. Delta Approach using TCAC minimums</t>
  </si>
  <si>
    <t>RDA Household Size Approach</t>
  </si>
  <si>
    <t>TCAC 1.5 Persons / Bdrm. Approach</t>
  </si>
  <si>
    <t>Adjustment Factors for Statewide Basis Delta</t>
  </si>
  <si>
    <t>Basis Delta</t>
  </si>
  <si>
    <t>Statewide</t>
  </si>
  <si>
    <t>2 Bed</t>
  </si>
  <si>
    <t>Basis</t>
  </si>
  <si>
    <t>County</t>
  </si>
  <si>
    <t>Delta</t>
  </si>
  <si>
    <t>Alameda</t>
  </si>
  <si>
    <t>Alpine</t>
  </si>
  <si>
    <t>Amador</t>
  </si>
  <si>
    <t>Butte</t>
  </si>
  <si>
    <t>Calaveras</t>
  </si>
  <si>
    <t>Colusa</t>
  </si>
  <si>
    <t>Contra Costa</t>
  </si>
  <si>
    <t>Del Norte</t>
  </si>
  <si>
    <t>El Dorado</t>
  </si>
  <si>
    <t>Fresno</t>
  </si>
  <si>
    <t>Glen</t>
  </si>
  <si>
    <t>Humboldt</t>
  </si>
  <si>
    <t>Imperial</t>
  </si>
  <si>
    <t>Inyo</t>
  </si>
  <si>
    <t>Kern</t>
  </si>
  <si>
    <t>Kings</t>
  </si>
  <si>
    <t>Lake</t>
  </si>
  <si>
    <t>Lassen</t>
  </si>
  <si>
    <t>Los Angeles</t>
  </si>
  <si>
    <t>Madera</t>
  </si>
  <si>
    <t>Marin</t>
  </si>
  <si>
    <t>Mariposa</t>
  </si>
  <si>
    <t>Mendocino</t>
  </si>
  <si>
    <t>Merced</t>
  </si>
  <si>
    <t>Modoc</t>
  </si>
  <si>
    <t>Mono</t>
  </si>
  <si>
    <t>Monterey</t>
  </si>
  <si>
    <t>Napa</t>
  </si>
  <si>
    <t>Nevada</t>
  </si>
  <si>
    <t>Orange</t>
  </si>
  <si>
    <t>Placer</t>
  </si>
  <si>
    <t>Plumas</t>
  </si>
  <si>
    <t>Riverside</t>
  </si>
  <si>
    <t>Sacramento</t>
  </si>
  <si>
    <t>San Benito</t>
  </si>
  <si>
    <t>San Bernardino</t>
  </si>
  <si>
    <t>San Diego</t>
  </si>
  <si>
    <t>San Francisco</t>
  </si>
  <si>
    <t>San Joaquin</t>
  </si>
  <si>
    <t>San Luis Obispo</t>
  </si>
  <si>
    <t>San Mateo</t>
  </si>
  <si>
    <t>Santa Barbara</t>
  </si>
  <si>
    <t>Santa Clara</t>
  </si>
  <si>
    <t>Santa Cruz</t>
  </si>
  <si>
    <t>Shasta</t>
  </si>
  <si>
    <t>Sierra</t>
  </si>
  <si>
    <t>Siskiyou</t>
  </si>
  <si>
    <t>Solano</t>
  </si>
  <si>
    <t>Sonoma</t>
  </si>
  <si>
    <t>Stanislaus</t>
  </si>
  <si>
    <t>Sutter</t>
  </si>
  <si>
    <t>Tehama</t>
  </si>
  <si>
    <t>Trinity</t>
  </si>
  <si>
    <t>Tulare</t>
  </si>
  <si>
    <t>Tuolumne</t>
  </si>
  <si>
    <t>Ventura</t>
  </si>
  <si>
    <t>Yolo</t>
  </si>
  <si>
    <t>Yuba</t>
  </si>
  <si>
    <t>Tie Breaker</t>
  </si>
  <si>
    <t>STEP 3:  Calculate Tie Breaker</t>
  </si>
  <si>
    <t>Cost-Adjusted Bond Request</t>
  </si>
  <si>
    <t>Divided by</t>
  </si>
  <si>
    <t>Lower is better</t>
  </si>
  <si>
    <t>Total of Above</t>
  </si>
  <si>
    <t>CDLAC Tie-Breaker for 2021</t>
  </si>
  <si>
    <t>1 point for every 1% below TCAC basis limits, with permitted adjustments - See attached "Cost Containment" worksheet</t>
  </si>
  <si>
    <t>Eliminate since it is no longer necessary to award points for this with creation of pools, set-asides and geographic regions</t>
  </si>
  <si>
    <t>Rev. 8/18/20</t>
  </si>
  <si>
    <t>New Cons. / Adaptive Re-Use / Subs. Renovation (10 pts.)</t>
  </si>
  <si>
    <t>Community Revitalization Areas (5 pts.)</t>
  </si>
  <si>
    <r>
      <t xml:space="preserve">Federally-Assisted At-Risk or any other </t>
    </r>
    <r>
      <rPr>
        <sz val="12"/>
        <color theme="1"/>
        <rFont val="Calibri"/>
        <family val="2"/>
        <scheme val="minor"/>
      </rPr>
      <t>project in which at least 50 percent of the units receive governmental assistance and the rent and income restrictions will terminate or be eligible for termination within five years of application, with no other restrictions remaining</t>
    </r>
  </si>
  <si>
    <r>
      <t>A p</t>
    </r>
    <r>
      <rPr>
        <sz val="12"/>
        <color rgb="FF201F1E"/>
        <rFont val="Calibri"/>
        <family val="2"/>
        <scheme val="minor"/>
      </rPr>
      <t xml:space="preserve">roperty that receives governmental assistance on at least 50 percent of the units pursuant to either (i) Project-Based Section 8 or Rent Supplement, (ii) USDA Rent Supplement, (iii) Section 236 Financing, (iv) Section 221(d)(3) Financing,  (v) USDA 514 or 515 Financing, or (vi) Department of Housing and Community Development Financing (other than AB 1699 projects), </t>
    </r>
    <r>
      <rPr>
        <sz val="12"/>
        <color rgb="FF000000"/>
        <rFont val="Calibri"/>
        <family val="2"/>
        <scheme val="minor"/>
      </rPr>
      <t>that has not previously received an allocation of Low-Income Housing Tax Credits.</t>
    </r>
  </si>
  <si>
    <t>% (TBD)</t>
  </si>
  <si>
    <t>Exceeding Minimum Income Restrictions (TBD)</t>
  </si>
  <si>
    <t>Cost Containment (TBD)</t>
  </si>
  <si>
    <t>(A)</t>
  </si>
  <si>
    <t>(B)</t>
  </si>
  <si>
    <t>Bond Request</t>
  </si>
  <si>
    <t>Statewide Basis Delta</t>
  </si>
  <si>
    <t>Use TCAC 9% criteria (keep same for both programs) - TCAC staff requests recommendations for simplifying this category, especially for PSH projects</t>
  </si>
  <si>
    <t>$332M to $369M</t>
  </si>
  <si>
    <t>$280M to $301M</t>
  </si>
  <si>
    <t>$308M to $367M</t>
  </si>
  <si>
    <t>$299M to $420M</t>
  </si>
  <si>
    <t>$210M to $296M</t>
  </si>
  <si>
    <t>$140M to $177M</t>
  </si>
  <si>
    <t>19% to 21%</t>
  </si>
  <si>
    <t>18% to 21%</t>
  </si>
  <si>
    <t>16% to 17%</t>
  </si>
  <si>
    <t>17% to 24%</t>
  </si>
  <si>
    <t>12% to 17%</t>
  </si>
  <si>
    <t>8% to 10%</t>
  </si>
  <si>
    <t>Amount (TBD)</t>
  </si>
  <si>
    <t>1) No carryforward from year to year of deficits / surpluses like 9%;  2) A waiting list structure would be used for the last round of the year to use regional leftovers;  3) Projects funded in pools and set-asides do not count toward regional goals;  4) %'s below are from the 9% geographic system with no adjustments</t>
  </si>
  <si>
    <t>CDCs / CBOs</t>
  </si>
  <si>
    <t>Pool for Community Development Corporations and Community Based Organizations led and/or owned by persons of color.</t>
  </si>
  <si>
    <t>Management Structure and Equity Share</t>
  </si>
  <si>
    <t>Density &amp; Local Incentives (New Construction)</t>
  </si>
  <si>
    <t>Preservation</t>
  </si>
  <si>
    <t>Other Affordable</t>
  </si>
  <si>
    <t>Over Lowest</t>
  </si>
  <si>
    <t>Limit</t>
  </si>
  <si>
    <t>Lowest Limit</t>
  </si>
  <si>
    <t>Adjustment Cap</t>
  </si>
  <si>
    <t>This is the difference between the project's county threshold basis limit and the lowest county basis limit in the state.</t>
  </si>
  <si>
    <t># of Bedrooms Approach</t>
  </si>
  <si>
    <t>Analysis</t>
  </si>
  <si>
    <t>Current Proposed Sq. Ft. at Min.</t>
  </si>
  <si>
    <t>Sq. Ft.</t>
  </si>
  <si>
    <t>Base-Line of 100 1-bedrooms</t>
  </si>
  <si>
    <t>Additional Sq. Ft. Built</t>
  </si>
  <si>
    <t>Additional Point Value of Units Built</t>
  </si>
  <si>
    <t>Concrete Podium</t>
  </si>
  <si>
    <t>Increase from 7% to 10%; podium must be &gt;= 80% of building footprint</t>
  </si>
  <si>
    <t>Capped at 80%; eliminate boost if basis limits are reformed</t>
  </si>
  <si>
    <t>Definition of "Homeless" to qualify for the Homeless Set-Aside</t>
  </si>
  <si>
    <t>Preservation Criteria and Scoring</t>
  </si>
  <si>
    <t>Minimum of 25% of the units shall be permanent supportive housing for the formerly homeless; projects with 100% of the units as permanent supportive housing shall have priority in the set-aside</t>
  </si>
  <si>
    <t>Points (Maximum of 10 - Points awarded in only 1 of the 3 categories)</t>
  </si>
  <si>
    <t>See Note 3.</t>
  </si>
  <si>
    <t>Projects not meeting New Construction or Preservation definitions compete in this pool.</t>
  </si>
  <si>
    <t>Maximum of 12 points</t>
  </si>
  <si>
    <t>Adjusted tax-exempt bonds (numerator) divided by bedroom-adjusted units (denominator) - See attached "Tie Breaker" worksheet</t>
  </si>
  <si>
    <t>Adjusted Bonds per Adjusted Units - 2021</t>
  </si>
  <si>
    <t>State Benefit and Efficiency Measure (SCO Proposal) - 2022</t>
  </si>
  <si>
    <t xml:space="preserve">General Partner &amp; Management Co. Experience </t>
  </si>
  <si>
    <t>6A</t>
  </si>
  <si>
    <t>"Green Highlight" indicates State Administration's recommended changes to 8/18/2020 framework proposed by Working Group.</t>
  </si>
  <si>
    <t>Added new pool.</t>
  </si>
  <si>
    <t>Specify policy goal to clarify set-aside.</t>
  </si>
  <si>
    <r>
      <t xml:space="preserve">Homeless </t>
    </r>
    <r>
      <rPr>
        <b/>
        <sz val="11"/>
        <color rgb="FF00B050"/>
        <rFont val="Calibri"/>
        <family val="2"/>
        <scheme val="minor"/>
      </rPr>
      <t>Units</t>
    </r>
  </si>
  <si>
    <t>Admin Change</t>
  </si>
  <si>
    <t>Increased from 10 to 20 total points. Adjusted internal point math.</t>
  </si>
  <si>
    <r>
      <rPr>
        <sz val="11"/>
        <color rgb="FF00B050"/>
        <rFont val="Calibri"/>
        <family val="2"/>
        <scheme val="minor"/>
      </rPr>
      <t>2</t>
    </r>
    <r>
      <rPr>
        <sz val="11"/>
        <color theme="1"/>
        <rFont val="Calibri"/>
        <family val="2"/>
        <scheme val="minor"/>
      </rPr>
      <t xml:space="preserve"> points for each 1% the average affordability is below 60% AMI (average affordability of 50% AMI = </t>
    </r>
    <r>
      <rPr>
        <sz val="11"/>
        <color rgb="FF00B050"/>
        <rFont val="Calibri"/>
        <family val="2"/>
        <scheme val="minor"/>
      </rPr>
      <t>20</t>
    </r>
    <r>
      <rPr>
        <sz val="11"/>
        <color theme="1"/>
        <rFont val="Calibri"/>
        <family val="2"/>
        <scheme val="minor"/>
      </rPr>
      <t xml:space="preserve"> points </t>
    </r>
    <r>
      <rPr>
        <u/>
        <sz val="11"/>
        <color theme="1"/>
        <rFont val="Calibri"/>
        <family val="2"/>
        <scheme val="minor"/>
      </rPr>
      <t>OR</t>
    </r>
    <r>
      <rPr>
        <sz val="11"/>
        <color theme="1"/>
        <rFont val="Calibri"/>
        <family val="2"/>
        <scheme val="minor"/>
      </rPr>
      <t xml:space="preserve"> full points earned with an average affordability of 60% AMI or less with a minimum of 10% at 30% AMI and 10% at 50% AMI - only bond/tax credit units measured in both scenarios</t>
    </r>
  </si>
  <si>
    <t>Added new scoring criteria.</t>
  </si>
  <si>
    <t>Increased from 10 to 12 points</t>
  </si>
  <si>
    <r>
      <t xml:space="preserve">1 point for every 1% of Residential TDC; Use TCAC 9% definition, but expand to include private non-related party soft money and eliminate taxable tail provisions. </t>
    </r>
    <r>
      <rPr>
        <b/>
        <sz val="11"/>
        <color rgb="FF00B050"/>
        <rFont val="Calibri"/>
        <family val="2"/>
        <scheme val="minor"/>
      </rPr>
      <t xml:space="preserve">Include recycled bonds as an option for leverage. </t>
    </r>
  </si>
  <si>
    <t xml:space="preserve">Move to threshold criteria and change definition. </t>
  </si>
  <si>
    <r>
      <rPr>
        <b/>
        <sz val="11"/>
        <color rgb="FF00B050"/>
        <rFont val="Calibri"/>
        <family val="2"/>
        <scheme val="minor"/>
      </rPr>
      <t xml:space="preserve">State/Local Funded: </t>
    </r>
    <r>
      <rPr>
        <sz val="11"/>
        <color theme="1"/>
        <rFont val="Calibri"/>
        <family val="2"/>
        <scheme val="minor"/>
      </rPr>
      <t xml:space="preserve">Extremely-Low / Very-Low Units </t>
    </r>
  </si>
  <si>
    <r>
      <rPr>
        <b/>
        <sz val="11"/>
        <color rgb="FF00B050"/>
        <rFont val="Calibri"/>
        <family val="2"/>
        <scheme val="minor"/>
      </rPr>
      <t>State Funded:</t>
    </r>
    <r>
      <rPr>
        <sz val="11"/>
        <color theme="1"/>
        <rFont val="Calibri"/>
        <family val="2"/>
        <scheme val="minor"/>
      </rPr>
      <t xml:space="preserve"> Mixed-Income </t>
    </r>
    <r>
      <rPr>
        <sz val="11"/>
        <color rgb="FF00B050"/>
        <rFont val="Calibri"/>
        <family val="2"/>
        <scheme val="minor"/>
      </rPr>
      <t>Units</t>
    </r>
  </si>
  <si>
    <t>Decreased from 10 to 8 points. Include Recycled Bonds in definition of leverage.</t>
  </si>
  <si>
    <t xml:space="preserve">Need to define the parameters of CDCs/CBOs in the Regulations </t>
  </si>
  <si>
    <r>
      <t xml:space="preserve">Geographic Regions (New Construction Only) - </t>
    </r>
    <r>
      <rPr>
        <b/>
        <u/>
        <sz val="11"/>
        <color rgb="FFFF0000"/>
        <rFont val="Calibri"/>
        <family val="2"/>
        <scheme val="minor"/>
      </rPr>
      <t>Jan 21 Review</t>
    </r>
  </si>
  <si>
    <t>Specificity of % will be based on January 21 decisions and actual bond allocation</t>
  </si>
  <si>
    <t xml:space="preserve">Move experience to threshold requirement and change definition of experience: blend of experience of key people and the organization based on risk to program. </t>
  </si>
  <si>
    <t>% Set in Jan 22</t>
  </si>
  <si>
    <t>1, 3</t>
  </si>
  <si>
    <t>1, 2</t>
  </si>
  <si>
    <t>Note or Flag for Regulations</t>
  </si>
  <si>
    <t xml:space="preserve">Goal is to have initial allocation of bonds  go to affordable low income units restricted at 80 AMI.  </t>
  </si>
  <si>
    <t xml:space="preserve">Point structure and accompanying definitions to be detailed in the Regulations </t>
  </si>
  <si>
    <t>Define terms and relationships in the regulations.</t>
  </si>
  <si>
    <r>
      <rPr>
        <b/>
        <sz val="11"/>
        <color theme="1"/>
        <rFont val="Calibri"/>
        <family val="2"/>
        <scheme val="minor"/>
      </rPr>
      <t xml:space="preserve">See Note 2: </t>
    </r>
    <r>
      <rPr>
        <sz val="11"/>
        <color theme="1"/>
        <rFont val="Calibri"/>
        <family val="2"/>
        <scheme val="minor"/>
      </rPr>
      <t xml:space="preserve"> Projects must have HCD or local funding of 15% or more of total dev. costs. </t>
    </r>
    <r>
      <rPr>
        <b/>
        <sz val="11"/>
        <color rgb="FF00B050"/>
        <rFont val="Calibri"/>
        <family val="2"/>
        <scheme val="minor"/>
      </rPr>
      <t xml:space="preserve">Policy target is to focus on units vs developments. Developments do not need to be 100% ELI/VLI; focus is on the creation of these units with the policy goal of inclusive communities and projects. </t>
    </r>
  </si>
  <si>
    <r>
      <t>Project includes any one of the following:  (1) Local jurisdiction has approved the project at a density greater than that allowed by the general plan through the use of state/local density bonus law, SB 35, concession and/or waivers;  (2) Project is being developed at a per net acre density as follows:  A) 100 bedrooms in Urban areas; B) 60 bedrooms in Suburban areas; C) 40 bedrooms in Rural areas;  Net acre defined as parcel boundaries after dedication of any public right-of-way, the presence of restrictive easements, and non-buildable areas.  Possible grandfather clause:  Projects with land-use approvals obtained prior to January 1, 2022 shall earn full points in this category; or</t>
    </r>
    <r>
      <rPr>
        <b/>
        <sz val="11"/>
        <color theme="1"/>
        <rFont val="Calibri"/>
        <family val="2"/>
        <scheme val="minor"/>
      </rPr>
      <t xml:space="preserve"> </t>
    </r>
    <r>
      <rPr>
        <b/>
        <sz val="11"/>
        <color rgb="FF00B050"/>
        <rFont val="Calibri"/>
        <family val="2"/>
        <scheme val="minor"/>
      </rPr>
      <t xml:space="preserve">(3) Jurisdiction has met HCD's "Pro-Housing" designation requirements. </t>
    </r>
  </si>
  <si>
    <t>Link to Policy Goal*</t>
  </si>
  <si>
    <t>* Policy Goals outlined in 9/12/2020 Memo from Secretary Lourdes Castro Ramirez to Treasurer Fiona Ma:</t>
  </si>
  <si>
    <r>
      <t>Projects may only use new bonds</t>
    </r>
    <r>
      <rPr>
        <sz val="11"/>
        <color rgb="FF00B050"/>
        <rFont val="Calibri"/>
        <family val="2"/>
        <scheme val="minor"/>
      </rPr>
      <t xml:space="preserve"> for</t>
    </r>
    <r>
      <rPr>
        <sz val="11"/>
        <color theme="1"/>
        <rFont val="Calibri"/>
        <family val="2"/>
        <scheme val="minor"/>
      </rPr>
      <t xml:space="preserve"> </t>
    </r>
    <r>
      <rPr>
        <strike/>
        <sz val="11"/>
        <color theme="1"/>
        <rFont val="Calibri"/>
        <family val="2"/>
        <scheme val="minor"/>
      </rPr>
      <t>relative to their bond/tax credit affordable % if bond/tax credit</t>
    </r>
    <r>
      <rPr>
        <sz val="11"/>
        <color theme="1"/>
        <rFont val="Calibri"/>
        <family val="2"/>
        <scheme val="minor"/>
      </rPr>
      <t xml:space="preserve"> units </t>
    </r>
    <r>
      <rPr>
        <b/>
        <sz val="11"/>
        <color rgb="FF00B050"/>
        <rFont val="Calibri"/>
        <family val="2"/>
        <scheme val="minor"/>
      </rPr>
      <t>that are 80% AMI or below</t>
    </r>
    <r>
      <rPr>
        <sz val="11"/>
        <color theme="1"/>
        <rFont val="Calibri"/>
        <family val="2"/>
        <scheme val="minor"/>
      </rPr>
      <t xml:space="preserve"> </t>
    </r>
    <r>
      <rPr>
        <strike/>
        <sz val="11"/>
        <color theme="1"/>
        <rFont val="Calibri"/>
        <family val="2"/>
        <scheme val="minor"/>
      </rPr>
      <t>of total units</t>
    </r>
    <r>
      <rPr>
        <sz val="11"/>
        <color theme="1"/>
        <rFont val="Calibri"/>
        <family val="2"/>
        <scheme val="minor"/>
      </rPr>
      <t>. Partnerships with state and local included.</t>
    </r>
  </si>
  <si>
    <t>Decreased 1A/1B category from 20 to 10 points. Adjusted tab to reflect cap at 10 vs 20.</t>
  </si>
  <si>
    <t>Shifted Opportunity Maps to Sct 2. Added Pro-Housing option.</t>
  </si>
  <si>
    <t>Added category and new criteria. Combined with Working Group's 'Site Amenities' category given significant overlap between methods to achieve AFFH and those in "Site Amenities" category.  Link to Service Amenities category to achieve maximum points reflects priority of upward mobility for tenants.</t>
  </si>
  <si>
    <t>Affirmatively Furthering Fair Housing</t>
  </si>
  <si>
    <t>Establish truly integrated, inclusive and balanced living patterns that offer opportunity and upward mobility for residents, by creating units of housing that stretch widely across the income brackets in lower income communities AND by building more deeply affordable units in well-resourced areas with higher opportunities</t>
  </si>
  <si>
    <r>
      <rPr>
        <sz val="7"/>
        <color theme="1"/>
        <rFont val="Calibri"/>
        <family val="2"/>
      </rPr>
      <t xml:space="preserve"> </t>
    </r>
    <r>
      <rPr>
        <sz val="11"/>
        <color theme="1"/>
        <rFont val="Calibri"/>
        <family val="2"/>
      </rPr>
      <t>Prioritize cost containment solutions that enable our public resources to stretch further; and</t>
    </r>
  </si>
  <si>
    <t xml:space="preserve">Removal of barriers and inclusion of new development partners, specifically Black and Brown development partners in the affordable housing space </t>
  </si>
  <si>
    <t>Homeless Units</t>
  </si>
  <si>
    <t xml:space="preserve">State/Local Funded: Extremely-Low / Very-Low Units </t>
  </si>
  <si>
    <t>State Funded: Mixed-Income Units</t>
  </si>
  <si>
    <t xml:space="preserve">Project includes any one of the following:  (1) Local jurisdiction has approved the project at a density greater than that allowed by the general plan through the use of state/local density bonus law, SB 35, concession and/or waivers;  (2) Project is being developed at a per net acre density as follows:  A) 100 bedrooms in Urban areas; B) 60 bedrooms in Suburban areas; C) 40 bedrooms in Rural areas;  Net acre defined as parcel boundaries after dedication of any public right-of-way, the presence of restrictive easements, and non-buildable areas.  Possible grandfather clause:  Projects with land-use approvals obtained prior to January 1, 2022 shall earn full points in this category; or (3) Jurisdiction has met HCD's "Pro-Housing" designation requirements. </t>
  </si>
  <si>
    <t>Projects may only use new bonds for units that are 80% AMI or below. Partnerships with state and local included.</t>
  </si>
  <si>
    <r>
      <rPr>
        <b/>
        <sz val="11"/>
        <rFont val="Calibri"/>
        <family val="2"/>
        <scheme val="minor"/>
      </rPr>
      <t>See Note 2:</t>
    </r>
    <r>
      <rPr>
        <sz val="11"/>
        <rFont val="Calibri"/>
        <family val="2"/>
        <scheme val="minor"/>
      </rPr>
      <t xml:space="preserve">  Projects must have HCD or local funding of 15% or more of total dev. costs. </t>
    </r>
  </si>
  <si>
    <t>% Set in Jan '21</t>
  </si>
  <si>
    <t>If project qualifies using local funding:</t>
  </si>
  <si>
    <t>Project must have income targeting with a range that is at least 30% apart from the low to the high (i.e. if units are targeted at 30% AMI, there would need to also be units targeted at least up to 60% AMI) and there must be at least 10% of the units at each end of the range.</t>
  </si>
  <si>
    <t>Income targeting shall remain consistent with HCD award</t>
  </si>
  <si>
    <t>If project qualifies using HCD funding:</t>
  </si>
  <si>
    <t>Project must have at least 10% of the units at 30% AMI and 10% of the units at 50% AMI</t>
  </si>
  <si>
    <t>Project must achieve full 20 points in scoring category #4 Exceeding Minimum Income Restrictions</t>
  </si>
  <si>
    <t>Criteria to qualify for the State Local Funded: Extremely-Low Income / Very-Low Income Units:</t>
  </si>
  <si>
    <r>
      <t xml:space="preserve">Geographic Regions (New Construction Only) - </t>
    </r>
    <r>
      <rPr>
        <b/>
        <u/>
        <sz val="11"/>
        <color rgb="FFFF0000"/>
        <rFont val="Calibri"/>
        <family val="2"/>
        <scheme val="minor"/>
      </rPr>
      <t>Jan '21 Review</t>
    </r>
  </si>
  <si>
    <t>6B</t>
  </si>
  <si>
    <t>6C</t>
  </si>
  <si>
    <t>1,3</t>
  </si>
  <si>
    <r>
      <t>Preservation properties shall be a) required to complete rehabilitation work at a minimum of</t>
    </r>
    <r>
      <rPr>
        <sz val="12"/>
        <color theme="1"/>
        <rFont val="Calibri"/>
        <family val="2"/>
        <scheme val="minor"/>
      </rPr>
      <t> $50,000 </t>
    </r>
    <r>
      <rPr>
        <sz val="12"/>
        <color rgb="FF222222"/>
        <rFont val="Calibri"/>
        <family val="2"/>
        <scheme val="minor"/>
      </rPr>
      <t>in hard construction costs per unit, as defined in TCAC Regulation Section 10302(u), subject to the provisions of IRC Section 42(e)(3)(A)(ii)(I), and b) increase energy efficiency by a minimum of 10% over existing conditions.</t>
    </r>
  </si>
  <si>
    <t>(1)</t>
  </si>
  <si>
    <t>(2)</t>
  </si>
  <si>
    <t>(3)</t>
  </si>
  <si>
    <t>(4)</t>
  </si>
  <si>
    <t>Affirmatively Furthering Fair Housing Scoring Details (Maximum of 20 points awarded in only 1 of 4 categories)</t>
  </si>
  <si>
    <t>If large-family and in Highest / High Resource areas:</t>
  </si>
  <si>
    <t>For all other housing types and project areas:</t>
  </si>
  <si>
    <t>A property that meets at least one of the following: (i) any replacement or rehabilitation project approved by HUD pursuant to a Section 18 or 22 Demolition/Disposition authorization; (ii) any project being rehabilitated under the HUD Rental Assistance Demonstration (RAD) Program; or (iii) a property with a pre-2000 HCD loan that is being restructured pursuant to Section 50560 of the Health and Safety Code (AB 1699) that has not previously received an allocation of Low-Income Housing Tax Credits.</t>
  </si>
  <si>
    <t>General Partner and Management Company Experience (Maximum of 10 points awarded in 1 of 3 categories)</t>
  </si>
  <si>
    <t>Project fees and economics split 50/50</t>
  </si>
  <si>
    <t>Developer fee limit increased from 15% to 20% of eligible basis, or in cases where fee is limited, the limit shall be increased by 1/3rd, all subject to developer fee limitations imposed by other funding sources</t>
  </si>
  <si>
    <t>Experienced internal staff or support from experienced housing consultant</t>
  </si>
  <si>
    <t>Completed or will complete TCAC/CDLAC training</t>
  </si>
  <si>
    <t>May either self-manage property or hire an experienced 3rd party manager meeting conditions in 6A</t>
  </si>
  <si>
    <t>General Partner and Management Company Experience - 10 points</t>
  </si>
  <si>
    <t>Meets general partner and management company experience per 9% LIHTC program</t>
  </si>
  <si>
    <t>Management Structure and Equity Share - 10 points</t>
  </si>
  <si>
    <t>Completed 1 affordable housing project in last 5 years with no defaults or uncorrected non-compliance</t>
  </si>
  <si>
    <r>
      <t xml:space="preserve">Projects funded in pools don't count toward geographic regions; </t>
    </r>
    <r>
      <rPr>
        <u/>
        <sz val="11"/>
        <color theme="1"/>
        <rFont val="Calibri"/>
        <family val="2"/>
        <scheme val="minor"/>
      </rPr>
      <t>projects in pools don't spill to geographic region except CDC / CBO New Construction projects</t>
    </r>
  </si>
  <si>
    <t>CDLAC Allocation System for 2021 (Administration Framework with Working Group Proposed Edits) 9-23-20 - Substantive changes highlighted in yellow</t>
  </si>
  <si>
    <t>Rural new construction projects compete in this pool. Rural acquisition/rehabilitation projects compete in the Preservation / Other Affordable Pools.</t>
  </si>
  <si>
    <r>
      <rPr>
        <b/>
        <sz val="11"/>
        <rFont val="Calibri"/>
        <family val="2"/>
        <scheme val="minor"/>
      </rPr>
      <t xml:space="preserve">See Note 1:  </t>
    </r>
    <r>
      <rPr>
        <sz val="11"/>
        <rFont val="Calibri"/>
        <family val="2"/>
        <scheme val="minor"/>
      </rPr>
      <t>Homeless projects with HCD / Local only funding spill down to Extremely Low/Very Low Set-Aside if not funded in Homeless Set-Aside. Policy target is to focus on units vs developments to encourage inclusive communities and projects vs projects exclusively for homeless tenants.</t>
    </r>
  </si>
  <si>
    <t>Eliminate to align programs and recognize proposed reduction in developer fee limits (recommendations forthcoming)</t>
  </si>
  <si>
    <t>Notes 9-23-20</t>
  </si>
  <si>
    <t>(Yellow highlighted areas represent Working Group comments to Administration proposal)</t>
  </si>
  <si>
    <t>STEP 1:  Calculate Bedroom Adjusted Units</t>
  </si>
  <si>
    <t>Adjustment</t>
  </si>
  <si>
    <t>For all units, only count government regulated units at 120% AMI and below</t>
  </si>
  <si>
    <t>Limited to 30% of total units, any in excess counted as 2 bedroom units</t>
  </si>
  <si>
    <t>Limited to 10% of total units, any in excess counted as 2 bedroom units</t>
  </si>
  <si>
    <t>STEP 2:  Calculate Total Public Benefit</t>
  </si>
  <si>
    <t>Total</t>
  </si>
  <si>
    <t>Value</t>
  </si>
  <si>
    <t>Unit Production Benefit</t>
  </si>
  <si>
    <t>Market rate units not included</t>
  </si>
  <si>
    <t>Total Unit Production Benefit</t>
  </si>
  <si>
    <t>Monthly Net</t>
  </si>
  <si>
    <t>Small Area</t>
  </si>
  <si>
    <t>Monthly</t>
  </si>
  <si>
    <t>30-Year Rent</t>
  </si>
  <si>
    <t>Rent Savings Benefit</t>
  </si>
  <si>
    <t>Restricted Rents</t>
  </si>
  <si>
    <t>FMR</t>
  </si>
  <si>
    <t>SAFMR</t>
  </si>
  <si>
    <t>Savings</t>
  </si>
  <si>
    <r>
      <t>Use TCAC restricted rents</t>
    </r>
    <r>
      <rPr>
        <sz val="11"/>
        <rFont val="Calibri"/>
        <family val="2"/>
        <scheme val="minor"/>
      </rPr>
      <t xml:space="preserve"> - county average utility allowance</t>
    </r>
  </si>
  <si>
    <t>Total Rent Savings Benefit</t>
  </si>
  <si>
    <t>Special Population Benefit</t>
  </si>
  <si>
    <t>Units can be counted in multiple categories</t>
  </si>
  <si>
    <t>Veterans</t>
  </si>
  <si>
    <t>Physically/Mentally Disabled</t>
  </si>
  <si>
    <t>Homeless</t>
  </si>
  <si>
    <t>Seniors</t>
  </si>
  <si>
    <t>Farmworkers</t>
  </si>
  <si>
    <t>Other Special Needs</t>
  </si>
  <si>
    <t>Total Special Population Benefit</t>
  </si>
  <si>
    <t>Base</t>
  </si>
  <si>
    <t>Location Benefit</t>
  </si>
  <si>
    <t>"x"</t>
  </si>
  <si>
    <t>x</t>
  </si>
  <si>
    <t>NA</t>
  </si>
  <si>
    <t>Highest Resource Area</t>
  </si>
  <si>
    <t>TOD Emphasis</t>
  </si>
  <si>
    <t>Per transit amenity points</t>
  </si>
  <si>
    <t>Job Rich Census Tract</t>
  </si>
  <si>
    <t>Within = 3, within 1 mile of border = 2, within 5 miles of border = 1</t>
  </si>
  <si>
    <t>Other</t>
  </si>
  <si>
    <t>Total Location Benefit</t>
  </si>
  <si>
    <t>Total Public Benefit</t>
  </si>
  <si>
    <t>STEP 3:  Calculate Total State Investment</t>
  </si>
  <si>
    <t>Does not include federal funds distributed by HCD or local government</t>
  </si>
  <si>
    <t>Discount</t>
  </si>
  <si>
    <t>Net</t>
  </si>
  <si>
    <t>Amount</t>
  </si>
  <si>
    <t>Private Activity Tax-Exempt Bonds</t>
  </si>
  <si>
    <t>Recycled bonds are not included. Bond value is less than value of state credits and other soft funds</t>
  </si>
  <si>
    <t>State Tax Credits</t>
  </si>
  <si>
    <t>State Grants</t>
  </si>
  <si>
    <t>State Loans</t>
  </si>
  <si>
    <t>Total State Investment</t>
  </si>
  <si>
    <t>Prevailing Wage</t>
  </si>
  <si>
    <t>Adjusted State Investment</t>
  </si>
  <si>
    <t>STEP 4:  Calculate State Benefit and Efficiency Score</t>
  </si>
  <si>
    <t>Total Public Benefit /</t>
  </si>
  <si>
    <t>Multiplied by Conversion Factor</t>
  </si>
  <si>
    <t>State Benefit and Efficiency Score</t>
  </si>
  <si>
    <t>State Benefit and Efficiency Measure - Scoring Category #11</t>
  </si>
  <si>
    <t>Includes discount factor because loans must be repaid, state can recycle all loan payments</t>
  </si>
  <si>
    <t>Rev. 9/23/20</t>
  </si>
  <si>
    <r>
      <rPr>
        <b/>
        <sz val="11"/>
        <color theme="1"/>
        <rFont val="Calibri"/>
        <family val="2"/>
        <scheme val="minor"/>
      </rPr>
      <t>See Note 5.</t>
    </r>
    <r>
      <rPr>
        <sz val="11"/>
        <color theme="1"/>
        <rFont val="Calibri"/>
        <family val="2"/>
        <scheme val="minor"/>
      </rPr>
      <t xml:space="preserve">  Review this criteria carefully so it does not penalize new entrants or create an unnecessary obstacle. Consider a more flexible method to reduce risk in project failure. For example, look at key staff on the project versus organizational experience.</t>
    </r>
  </si>
  <si>
    <r>
      <rPr>
        <b/>
        <sz val="11"/>
        <color theme="1"/>
        <rFont val="Calibri"/>
        <family val="2"/>
        <scheme val="minor"/>
      </rPr>
      <t xml:space="preserve">See Note 5.  </t>
    </r>
    <r>
      <rPr>
        <sz val="11"/>
        <color theme="1"/>
        <rFont val="Calibri"/>
        <family val="2"/>
        <scheme val="minor"/>
      </rPr>
      <t>Points for true equity split on fees and other cash flow revenue 50/50, small/large development Joint Ventures or JV’s with community-based organizations when such organization exists. Demonstrate equitable share of work to support capacity building for newer or less experienced entrant.</t>
    </r>
  </si>
  <si>
    <t>See Note 5.</t>
  </si>
  <si>
    <t>Highest / High Resource Area</t>
  </si>
  <si>
    <t>(C)</t>
  </si>
  <si>
    <t>(A - (A x (B+C)))</t>
  </si>
  <si>
    <t>STEP 1:  Calculate Cost and Resource Area-Adjusted Bond Request</t>
  </si>
  <si>
    <t>Tie Breaker - Cost &amp; Resource Area-Adjusted Bond Request / Bedroom Adjusted Units</t>
  </si>
  <si>
    <t>Cost/RA-Adjusted Bond Request</t>
  </si>
  <si>
    <t>See Note 4.</t>
  </si>
  <si>
    <r>
      <t xml:space="preserve">2 points for each 1% the average affordability is below 60% AMI (average affordability of 50% AMI = 20 points </t>
    </r>
    <r>
      <rPr>
        <u/>
        <sz val="11"/>
        <rFont val="Calibri"/>
        <family val="2"/>
        <scheme val="minor"/>
      </rPr>
      <t>OR</t>
    </r>
    <r>
      <rPr>
        <sz val="11"/>
        <rFont val="Calibri"/>
        <family val="2"/>
        <scheme val="minor"/>
      </rPr>
      <t xml:space="preserve"> full points earned with an average affordability of 60% AMI or less with a minimum of 10% at 30% AMI and 10% at 50% AMI - only bond/tax credit units measured in both scenarios</t>
    </r>
  </si>
  <si>
    <t>Exceeding Minimum Income Restrictions</t>
  </si>
  <si>
    <r>
      <rPr>
        <b/>
        <sz val="12"/>
        <color theme="1"/>
        <rFont val="Calibri"/>
        <family val="2"/>
        <scheme val="minor"/>
      </rPr>
      <t>AND</t>
    </r>
    <r>
      <rPr>
        <sz val="12"/>
        <color theme="1"/>
        <rFont val="Calibri"/>
        <family val="2"/>
        <scheme val="minor"/>
      </rPr>
      <t xml:space="preserve"> up to 10 points available in the 9% LIHTC Site Amenity category:  </t>
    </r>
    <r>
      <rPr>
        <b/>
        <sz val="12"/>
        <color theme="1"/>
        <rFont val="Calibri"/>
        <family val="2"/>
        <scheme val="minor"/>
      </rPr>
      <t>10 Points</t>
    </r>
  </si>
  <si>
    <r>
      <t xml:space="preserve">If a large-family project located in a Highest or High Resource Area with a minimum of 10% of the units at 30% AMI and 10% of the units at 50% AMI: </t>
    </r>
    <r>
      <rPr>
        <b/>
        <sz val="12"/>
        <rFont val="Calibri"/>
        <family val="2"/>
        <scheme val="minor"/>
      </rPr>
      <t>20 Points</t>
    </r>
  </si>
  <si>
    <t>If large-family and In Low or High Segregation and Poverty Resources areas:</t>
  </si>
  <si>
    <t>Note:  Projects located in census tracts designated as "Missing/Insufficient Data" shall be considered to be located in the resource area that most frequently touches the boundary of the project's census tract as measured by total perimeter length.</t>
  </si>
  <si>
    <r>
      <rPr>
        <b/>
        <sz val="11"/>
        <color theme="1"/>
        <rFont val="Calibri"/>
        <family val="2"/>
        <scheme val="minor"/>
      </rPr>
      <t>See Note 4.</t>
    </r>
    <r>
      <rPr>
        <sz val="11"/>
        <color theme="1"/>
        <rFont val="Calibri"/>
        <family val="2"/>
        <scheme val="minor"/>
      </rPr>
      <t xml:space="preserve">  </t>
    </r>
    <r>
      <rPr>
        <u/>
        <sz val="11"/>
        <color theme="1"/>
        <rFont val="Calibri"/>
        <family val="2"/>
        <scheme val="minor"/>
      </rPr>
      <t>Guiding statement to CDLAC staff / Working Group to inform measurable criteria</t>
    </r>
    <r>
      <rPr>
        <sz val="11"/>
        <color theme="1"/>
        <rFont val="Calibri"/>
        <family val="2"/>
        <scheme val="minor"/>
      </rPr>
      <t xml:space="preserve">: </t>
    </r>
    <r>
      <rPr>
        <i/>
        <sz val="11"/>
        <color theme="1"/>
        <rFont val="Calibri"/>
        <family val="2"/>
        <scheme val="minor"/>
      </rPr>
      <t xml:space="preserve">State financed affordable housing should be issued consistently with Affirmatively Furthering Fair Housing Principles – taking meaningful actions that overcome patterns of segregation and foster inclusive communities free from barriers that restrict access to opportunity based on protected characteristics. The state should seek to replace segregated living patterns with truly integrated and balanced living patterns, transforming racially and ethnically concentrated areas of poverty into areas of opportunity, and fostering and maintaining compliance with civil rights and fair housing laws. State should look for solutions to remove barriers that inhibit community-based developers’ success in accessing funds for development within their communities. 
</t>
    </r>
    <r>
      <rPr>
        <sz val="11"/>
        <color theme="1"/>
        <rFont val="Calibri"/>
        <family val="2"/>
        <scheme val="minor"/>
      </rPr>
      <t>Points shall be awarded as follows (Maximum of 20):  
(1) If lower AMI Project is located in a High or Highest Resource Area: 10 Points; 
(a) AND has also received full points for Service Amenities:  +10 Points;
(b) OR received points Site Amenity Scoring as defined in the TCAC 9% Program: up to 10 points
OR 
(2) Project located in lower-income communities with broad spectrum of income units: 10 Points; 
(a) AND has also received full points for Service Amenities:  +10 Points;
(b) AND received points Site Amenity Scoring as defined in the TCAC 9% Program: up to 10 points</t>
    </r>
  </si>
  <si>
    <r>
      <rPr>
        <b/>
        <sz val="11"/>
        <color theme="1"/>
        <rFont val="Calibri"/>
        <family val="2"/>
        <scheme val="minor"/>
      </rPr>
      <t>See Note 5.</t>
    </r>
    <r>
      <rPr>
        <sz val="11"/>
        <color theme="1"/>
        <rFont val="Calibri"/>
        <family val="2"/>
        <scheme val="minor"/>
      </rPr>
      <t xml:space="preserve">  Points for true equity split on fees and other cash flow revenue 50/50, small/large development Joint Ventures or JV’s with community-based organizations when such organization exists. Demonstrate equitable share of work to support capacity building for newer or less experienced entrant.</t>
    </r>
  </si>
  <si>
    <t>Evaluate if 9% has unintended consequences before use</t>
  </si>
  <si>
    <t>Evaluate Cost Containment measure for efficacy as part of regulations</t>
  </si>
  <si>
    <r>
      <rPr>
        <b/>
        <sz val="11"/>
        <color theme="1"/>
        <rFont val="Calibri"/>
        <family val="2"/>
        <scheme val="minor"/>
      </rPr>
      <t>See Note 1:</t>
    </r>
    <r>
      <rPr>
        <sz val="11"/>
        <color theme="1"/>
        <rFont val="Calibri"/>
        <family val="2"/>
        <scheme val="minor"/>
      </rPr>
      <t xml:space="preserve">  Homeless projects with HCD / Local only funding spill down to Extremely Low/Very Low Set-Aside if not funded in Homeless Set-Aside. </t>
    </r>
    <r>
      <rPr>
        <b/>
        <sz val="11"/>
        <color rgb="FF00B050"/>
        <rFont val="Calibri"/>
        <family val="2"/>
        <scheme val="minor"/>
      </rPr>
      <t>Policy target is to focus on units vs developments to encourage inclusive communities and projects vs projects exclusively for homeless tenants.</t>
    </r>
  </si>
  <si>
    <r>
      <t xml:space="preserve">1 point for every 1% below TCAC basis limits, with permitted adjustments - See attached "Cost Containment" worksheet.  </t>
    </r>
    <r>
      <rPr>
        <u/>
        <sz val="11"/>
        <color theme="1"/>
        <rFont val="Calibri"/>
        <family val="2"/>
        <scheme val="minor"/>
      </rPr>
      <t>Projects in Highest and High Resource Areas earn 2 points for every 1%.</t>
    </r>
  </si>
  <si>
    <r>
      <t xml:space="preserve">1 point for every 1% of Residential TDC; Use TCAC 9% definition, but expand to include recycled bonds and private non-related party soft money and eliminate taxable tail provisions.  </t>
    </r>
    <r>
      <rPr>
        <u/>
        <sz val="11"/>
        <color theme="1"/>
        <rFont val="Calibri"/>
        <family val="2"/>
        <scheme val="minor"/>
      </rPr>
      <t>Projects in Highest and High Resource Areas earn 2 points for every 1%.</t>
    </r>
  </si>
  <si>
    <r>
      <t xml:space="preserve">Pool for Community Development Corporations and Community Based Organizations led and/or owned by persons of color. </t>
    </r>
    <r>
      <rPr>
        <u/>
        <sz val="11"/>
        <color theme="1"/>
        <rFont val="Calibri"/>
        <family val="2"/>
        <scheme val="minor"/>
      </rPr>
      <t xml:space="preserve"> Specific criteria and CBO/CDC definition TBD.  Project type may be Rural, Preservation, Other Affordable or New Construction</t>
    </r>
  </si>
  <si>
    <t>“The total state subsidy provided”</t>
  </si>
  <si>
    <t>“The delivery of housing affordable to very low and extremely low income households by the development”</t>
  </si>
  <si>
    <t>“The location of the development”</t>
  </si>
  <si>
    <t>“The proximity to amenities, jobs and public transportation”</t>
  </si>
  <si>
    <t>“The number and size of units developed, including local incentives provided to increase density”</t>
  </si>
  <si>
    <r>
      <rPr>
        <sz val="12"/>
        <color theme="1"/>
        <rFont val="Calibri"/>
        <family val="2"/>
        <scheme val="minor"/>
      </rPr>
      <t>“</t>
    </r>
    <r>
      <rPr>
        <i/>
        <sz val="12"/>
        <color theme="1"/>
        <rFont val="Calibri"/>
        <family val="2"/>
        <scheme val="minor"/>
      </rPr>
      <t>Align the programs of both committees with the objective of increasing production and containing costs</t>
    </r>
    <r>
      <rPr>
        <sz val="12"/>
        <color theme="1"/>
        <rFont val="Calibri"/>
        <family val="2"/>
        <scheme val="minor"/>
      </rPr>
      <t>” as follows:</t>
    </r>
  </si>
  <si>
    <r>
      <rPr>
        <i/>
        <sz val="12"/>
        <color theme="1"/>
        <rFont val="Calibri"/>
        <family val="2"/>
        <scheme val="minor"/>
      </rPr>
      <t>“Prioritize”</t>
    </r>
    <r>
      <rPr>
        <sz val="12"/>
        <color theme="1"/>
        <rFont val="Calibri"/>
        <family val="2"/>
        <scheme val="minor"/>
      </rPr>
      <t xml:space="preserve"> a) </t>
    </r>
    <r>
      <rPr>
        <i/>
        <sz val="12"/>
        <color theme="1"/>
        <rFont val="Calibri"/>
        <family val="2"/>
        <scheme val="minor"/>
      </rPr>
      <t>“cost containment”</t>
    </r>
  </si>
  <si>
    <r>
      <rPr>
        <i/>
        <sz val="12"/>
        <color theme="1"/>
        <rFont val="Calibri"/>
        <family val="2"/>
        <scheme val="minor"/>
      </rPr>
      <t>“Prioritize”</t>
    </r>
    <r>
      <rPr>
        <sz val="12"/>
        <color theme="1"/>
        <rFont val="Calibri"/>
        <family val="2"/>
        <scheme val="minor"/>
      </rPr>
      <t xml:space="preserve"> </t>
    </r>
    <r>
      <rPr>
        <sz val="12"/>
        <color theme="1"/>
        <rFont val="Calibri"/>
        <family val="2"/>
        <scheme val="minor"/>
      </rPr>
      <t>b) “</t>
    </r>
    <r>
      <rPr>
        <i/>
        <sz val="12"/>
        <color theme="1"/>
        <rFont val="Calibri"/>
        <family val="2"/>
        <scheme val="minor"/>
      </rPr>
      <t>increased unit production</t>
    </r>
    <r>
      <rPr>
        <sz val="12"/>
        <color theme="1"/>
        <rFont val="Calibri"/>
        <family val="2"/>
        <scheme val="minor"/>
      </rPr>
      <t>”</t>
    </r>
  </si>
  <si>
    <r>
      <t xml:space="preserve">       “</t>
    </r>
    <r>
      <rPr>
        <i/>
        <sz val="12"/>
        <color theme="1"/>
        <rFont val="Calibri"/>
        <family val="2"/>
        <scheme val="minor"/>
      </rPr>
      <t>maximize</t>
    </r>
    <r>
      <rPr>
        <sz val="12"/>
        <color theme="1"/>
        <rFont val="Calibri"/>
        <family val="2"/>
        <scheme val="minor"/>
      </rPr>
      <t>” a) “</t>
    </r>
    <r>
      <rPr>
        <i/>
        <sz val="12"/>
        <color theme="1"/>
        <rFont val="Calibri"/>
        <family val="2"/>
        <scheme val="minor"/>
      </rPr>
      <t>the efficient use of public subsidy</t>
    </r>
    <r>
      <rPr>
        <sz val="12"/>
        <color theme="1"/>
        <rFont val="Calibri"/>
        <family val="2"/>
        <scheme val="minor"/>
      </rPr>
      <t>”, and b) “</t>
    </r>
    <r>
      <rPr>
        <i/>
        <sz val="12"/>
        <color theme="1"/>
        <rFont val="Calibri"/>
        <family val="2"/>
        <scheme val="minor"/>
      </rPr>
      <t>benefit</t>
    </r>
    <r>
      <rPr>
        <sz val="12"/>
        <color theme="1"/>
        <rFont val="Calibri"/>
        <family val="2"/>
        <scheme val="minor"/>
      </rPr>
      <t xml:space="preserve">” using at least the following </t>
    </r>
    <r>
      <rPr>
        <i/>
        <sz val="12"/>
        <color theme="1"/>
        <rFont val="Calibri"/>
        <family val="2"/>
        <scheme val="minor"/>
      </rPr>
      <t>“factors”</t>
    </r>
    <r>
      <rPr>
        <sz val="12"/>
        <color theme="1"/>
        <rFont val="Calibri"/>
        <family val="2"/>
        <scheme val="minor"/>
      </rPr>
      <t>:</t>
    </r>
  </si>
  <si>
    <r>
      <t>“</t>
    </r>
    <r>
      <rPr>
        <i/>
        <sz val="12"/>
        <color theme="1"/>
        <rFont val="Calibri"/>
        <family val="2"/>
        <scheme val="minor"/>
      </rPr>
      <t>maximize</t>
    </r>
    <r>
      <rPr>
        <sz val="12"/>
        <color theme="1"/>
        <rFont val="Calibri"/>
        <family val="2"/>
        <scheme val="minor"/>
      </rPr>
      <t xml:space="preserve">” </t>
    </r>
    <r>
      <rPr>
        <sz val="12"/>
        <color theme="1"/>
        <rFont val="Calibri"/>
        <family val="2"/>
        <scheme val="minor"/>
      </rPr>
      <t>b) “</t>
    </r>
    <r>
      <rPr>
        <i/>
        <sz val="12"/>
        <color theme="1"/>
        <rFont val="Calibri"/>
        <family val="2"/>
        <scheme val="minor"/>
      </rPr>
      <t>benefit</t>
    </r>
    <r>
      <rPr>
        <sz val="12"/>
        <color theme="1"/>
        <rFont val="Calibri"/>
        <family val="2"/>
        <scheme val="minor"/>
      </rPr>
      <t xml:space="preserve">” using at least the following </t>
    </r>
    <r>
      <rPr>
        <i/>
        <sz val="12"/>
        <color theme="1"/>
        <rFont val="Calibri"/>
        <family val="2"/>
        <scheme val="minor"/>
      </rPr>
      <t>“factors”</t>
    </r>
    <r>
      <rPr>
        <sz val="12"/>
        <color theme="1"/>
        <rFont val="Calibri"/>
        <family val="2"/>
        <scheme val="minor"/>
      </rPr>
      <t>:</t>
    </r>
  </si>
  <si>
    <r>
      <t>“</t>
    </r>
    <r>
      <rPr>
        <i/>
        <sz val="12"/>
        <color theme="1"/>
        <rFont val="Calibri"/>
        <family val="2"/>
        <scheme val="minor"/>
      </rPr>
      <t>maximize</t>
    </r>
    <r>
      <rPr>
        <sz val="12"/>
        <color theme="1"/>
        <rFont val="Calibri"/>
        <family val="2"/>
        <scheme val="minor"/>
      </rPr>
      <t>” a) “</t>
    </r>
    <r>
      <rPr>
        <i/>
        <sz val="12"/>
        <color theme="1"/>
        <rFont val="Calibri"/>
        <family val="2"/>
        <scheme val="minor"/>
      </rPr>
      <t>the efficient use of public subsidy</t>
    </r>
    <r>
      <rPr>
        <sz val="12"/>
        <color theme="1"/>
        <rFont val="Calibri"/>
        <family val="2"/>
        <scheme val="minor"/>
      </rPr>
      <t>”, and</t>
    </r>
  </si>
  <si>
    <t xml:space="preserve">     “The number and size of units developed, including local incentives provided to increase density”</t>
  </si>
  <si>
    <t xml:space="preserve">     “The proximity to amenities, jobs and public transportation”</t>
  </si>
  <si>
    <t xml:space="preserve">     “The location of the development”</t>
  </si>
  <si>
    <t xml:space="preserve">     “The delivery of housing affordable to very low and extremely low income households by the development”</t>
  </si>
  <si>
    <t xml:space="preserve">     “The total state subsidy provided”</t>
  </si>
  <si>
    <r>
      <t xml:space="preserve">     </t>
    </r>
    <r>
      <rPr>
        <i/>
        <sz val="12"/>
        <color theme="1"/>
        <rFont val="Calibri"/>
        <family val="2"/>
        <scheme val="minor"/>
      </rPr>
      <t>“Prioritize”</t>
    </r>
    <r>
      <rPr>
        <sz val="12"/>
        <color theme="1"/>
        <rFont val="Calibri"/>
        <family val="2"/>
        <scheme val="minor"/>
      </rPr>
      <t xml:space="preserve"> a) </t>
    </r>
    <r>
      <rPr>
        <i/>
        <sz val="12"/>
        <color theme="1"/>
        <rFont val="Calibri"/>
        <family val="2"/>
        <scheme val="minor"/>
      </rPr>
      <t>“cost containment”</t>
    </r>
  </si>
  <si>
    <r>
      <t xml:space="preserve">     </t>
    </r>
    <r>
      <rPr>
        <i/>
        <sz val="12"/>
        <color theme="1"/>
        <rFont val="Calibri"/>
        <family val="2"/>
        <scheme val="minor"/>
      </rPr>
      <t>“Prioritize”</t>
    </r>
    <r>
      <rPr>
        <sz val="12"/>
        <color theme="1"/>
        <rFont val="Calibri"/>
        <family val="2"/>
        <scheme val="minor"/>
      </rPr>
      <t xml:space="preserve"> b) “</t>
    </r>
    <r>
      <rPr>
        <i/>
        <sz val="12"/>
        <color theme="1"/>
        <rFont val="Calibri"/>
        <family val="2"/>
        <scheme val="minor"/>
      </rPr>
      <t>increased unit production</t>
    </r>
    <r>
      <rPr>
        <sz val="12"/>
        <color theme="1"/>
        <rFont val="Calibri"/>
        <family val="2"/>
        <scheme val="minor"/>
      </rPr>
      <t>”</t>
    </r>
  </si>
  <si>
    <t>*Policy Goals specified in AB 83</t>
  </si>
  <si>
    <t>1,2,6</t>
  </si>
  <si>
    <t>1,2,5,9</t>
  </si>
  <si>
    <t>1,5</t>
  </si>
  <si>
    <t>1,9</t>
  </si>
  <si>
    <t>2,4</t>
  </si>
  <si>
    <t>2,4,11</t>
  </si>
  <si>
    <t>1,3,7,8,9</t>
  </si>
  <si>
    <t>2,6,11,12</t>
  </si>
  <si>
    <t>4,5,6,10,12</t>
  </si>
  <si>
    <t>Administration's Notes 9/24</t>
  </si>
  <si>
    <r>
      <t xml:space="preserve">If a large-family project located in a Moderate (Rapidly Changing) or Moderate Resource Area with a minimum of 10% of the units at 30% AMI and 10% of the units at 50% AMI: </t>
    </r>
    <r>
      <rPr>
        <b/>
        <strike/>
        <sz val="12"/>
        <rFont val="Calibri"/>
        <family val="2"/>
        <scheme val="minor"/>
      </rPr>
      <t>10</t>
    </r>
    <r>
      <rPr>
        <b/>
        <sz val="12"/>
        <rFont val="Calibri"/>
        <family val="2"/>
        <scheme val="minor"/>
      </rPr>
      <t xml:space="preserve"> </t>
    </r>
    <r>
      <rPr>
        <b/>
        <sz val="12"/>
        <color rgb="FF0000FF"/>
        <rFont val="Calibri"/>
        <family val="2"/>
        <scheme val="minor"/>
      </rPr>
      <t>9</t>
    </r>
    <r>
      <rPr>
        <b/>
        <sz val="12"/>
        <rFont val="Calibri"/>
        <family val="2"/>
        <scheme val="minor"/>
      </rPr>
      <t xml:space="preserve"> Points</t>
    </r>
  </si>
  <si>
    <r>
      <t xml:space="preserve">All other project types and locations:  Project scores maximum points in scoring #4 Exceeding Min. Income Restrictions:  </t>
    </r>
    <r>
      <rPr>
        <b/>
        <strike/>
        <sz val="12"/>
        <rFont val="Calibri"/>
        <family val="2"/>
        <scheme val="minor"/>
      </rPr>
      <t>10</t>
    </r>
    <r>
      <rPr>
        <sz val="12"/>
        <rFont val="Calibri"/>
        <family val="2"/>
        <scheme val="minor"/>
      </rPr>
      <t xml:space="preserve"> </t>
    </r>
    <r>
      <rPr>
        <b/>
        <sz val="12"/>
        <color rgb="FF0000FF"/>
        <rFont val="Calibri"/>
        <family val="2"/>
        <scheme val="minor"/>
      </rPr>
      <t>9</t>
    </r>
    <r>
      <rPr>
        <b/>
        <sz val="12"/>
        <rFont val="Calibri"/>
        <family val="2"/>
        <scheme val="minor"/>
      </rPr>
      <t xml:space="preserve"> Points</t>
    </r>
  </si>
  <si>
    <r>
      <t xml:space="preserve">This bond request scoring discount is meant to give a purposeful advantage to Highest and High Resource Area large family </t>
    </r>
    <r>
      <rPr>
        <b/>
        <sz val="11"/>
        <color rgb="FF0000FF"/>
        <rFont val="Calibri"/>
        <family val="2"/>
        <scheme val="minor"/>
      </rPr>
      <t>and permanent supportive housing</t>
    </r>
    <r>
      <rPr>
        <sz val="11"/>
        <color theme="1"/>
        <rFont val="Calibri"/>
        <family val="2"/>
        <scheme val="minor"/>
      </rPr>
      <t xml:space="preserve"> projects.</t>
    </r>
  </si>
  <si>
    <t>Increased from 10% to 20% to give differentiation to this category. Added permanent supporive housing projects into this category.</t>
  </si>
  <si>
    <r>
      <t xml:space="preserve">If a large-family project located in a Low / High Segregation and Poverty Resource Area and project has an income targeting range of at least </t>
    </r>
    <r>
      <rPr>
        <strike/>
        <sz val="12"/>
        <rFont val="Calibri"/>
        <family val="2"/>
        <scheme val="minor"/>
      </rPr>
      <t>30%</t>
    </r>
    <r>
      <rPr>
        <strike/>
        <sz val="12"/>
        <color rgb="FF0000FF"/>
        <rFont val="Calibri"/>
        <family val="2"/>
        <scheme val="minor"/>
      </rPr>
      <t xml:space="preserve"> </t>
    </r>
    <r>
      <rPr>
        <b/>
        <sz val="12"/>
        <color rgb="FF0000FF"/>
        <rFont val="Calibri"/>
        <family val="2"/>
        <scheme val="minor"/>
      </rPr>
      <t>40%</t>
    </r>
    <r>
      <rPr>
        <strike/>
        <sz val="12"/>
        <color rgb="FF0000FF"/>
        <rFont val="Calibri"/>
        <family val="2"/>
        <scheme val="minor"/>
      </rPr>
      <t xml:space="preserve"> </t>
    </r>
    <r>
      <rPr>
        <sz val="12"/>
        <rFont val="Calibri"/>
        <family val="2"/>
        <scheme val="minor"/>
      </rPr>
      <t xml:space="preserve">from the low to the high (i.e. if units are targeted at 30% AMI, there must also be units targeted at </t>
    </r>
    <r>
      <rPr>
        <strike/>
        <sz val="12"/>
        <rFont val="Calibri"/>
        <family val="2"/>
        <scheme val="minor"/>
      </rPr>
      <t>60%</t>
    </r>
    <r>
      <rPr>
        <b/>
        <sz val="12"/>
        <color rgb="FF0000FF"/>
        <rFont val="Calibri"/>
        <family val="2"/>
        <scheme val="minor"/>
      </rPr>
      <t xml:space="preserve"> 70% AMI as markets allow</t>
    </r>
    <r>
      <rPr>
        <sz val="12"/>
        <rFont val="Calibri"/>
        <family val="2"/>
        <scheme val="minor"/>
      </rPr>
      <t xml:space="preserve">), and has at least 10% of the units at each end of the range - </t>
    </r>
    <r>
      <rPr>
        <b/>
        <sz val="12"/>
        <color rgb="FF0000FF"/>
        <rFont val="Calibri"/>
        <family val="2"/>
        <scheme val="minor"/>
      </rPr>
      <t>with units allowable up to 80% AMI</t>
    </r>
    <r>
      <rPr>
        <sz val="12"/>
        <rFont val="Calibri"/>
        <family val="2"/>
        <scheme val="minor"/>
      </rPr>
      <t xml:space="preserve">, and is done by a CDC/CBO located in that neighborhood and/or is part of a formal government revitalization plan :  </t>
    </r>
    <r>
      <rPr>
        <b/>
        <strike/>
        <sz val="12"/>
        <rFont val="Calibri"/>
        <family val="2"/>
        <scheme val="minor"/>
      </rPr>
      <t>10</t>
    </r>
    <r>
      <rPr>
        <b/>
        <sz val="12"/>
        <rFont val="Calibri"/>
        <family val="2"/>
        <scheme val="minor"/>
      </rPr>
      <t xml:space="preserve"> </t>
    </r>
    <r>
      <rPr>
        <b/>
        <sz val="12"/>
        <color rgb="FF0000FF"/>
        <rFont val="Calibri"/>
        <family val="2"/>
        <scheme val="minor"/>
      </rPr>
      <t>9</t>
    </r>
    <r>
      <rPr>
        <b/>
        <sz val="12"/>
        <rFont val="Calibri"/>
        <family val="2"/>
        <scheme val="minor"/>
      </rPr>
      <t xml:space="preserve"> points</t>
    </r>
  </si>
  <si>
    <t>Reduction from possible total 20 to 19 points to differentiate between options (1) and (2-4)</t>
  </si>
  <si>
    <r>
      <rPr>
        <b/>
        <sz val="12"/>
        <color rgb="FF0000FF"/>
        <rFont val="Calibri"/>
        <family val="2"/>
        <scheme val="minor"/>
      </rPr>
      <t xml:space="preserve">In the case of a </t>
    </r>
    <r>
      <rPr>
        <sz val="12"/>
        <color theme="1"/>
        <rFont val="Calibri"/>
        <family val="2"/>
        <scheme val="minor"/>
      </rPr>
      <t>Joint venture between CDC/CBO/</t>
    </r>
    <r>
      <rPr>
        <b/>
        <sz val="12"/>
        <color rgb="FF0000FF"/>
        <rFont val="Calibri"/>
        <family val="2"/>
        <scheme val="minor"/>
      </rPr>
      <t xml:space="preserve">BLO/Female </t>
    </r>
    <r>
      <rPr>
        <sz val="12"/>
        <rFont val="Calibri"/>
        <family val="2"/>
        <scheme val="minor"/>
      </rPr>
      <t xml:space="preserve">and a general partner meeting 6A </t>
    </r>
  </si>
  <si>
    <r>
      <t>No experience required for CDC/CBO/</t>
    </r>
    <r>
      <rPr>
        <b/>
        <sz val="12"/>
        <color rgb="FF0000FF"/>
        <rFont val="Calibri"/>
        <family val="2"/>
        <scheme val="minor"/>
      </rPr>
      <t>BLO/Female owned</t>
    </r>
  </si>
  <si>
    <r>
      <t>ROFR available to CDC/CBO/</t>
    </r>
    <r>
      <rPr>
        <b/>
        <sz val="12"/>
        <color rgb="FF0000FF"/>
        <rFont val="Calibri"/>
        <family val="2"/>
        <scheme val="minor"/>
      </rPr>
      <t>BLO/Female owned</t>
    </r>
  </si>
  <si>
    <t xml:space="preserve">Note: This does not prohibit or limit JV partners between CDC/CBO/BLO/Female owned where one serves as minor JV partner. </t>
  </si>
  <si>
    <r>
      <t>CDC / CBO/</t>
    </r>
    <r>
      <rPr>
        <b/>
        <u/>
        <sz val="11"/>
        <color rgb="FF0000FF"/>
        <rFont val="Calibri"/>
        <family val="2"/>
        <scheme val="minor"/>
      </rPr>
      <t>BLO/FEMALE</t>
    </r>
    <r>
      <rPr>
        <u/>
        <sz val="11"/>
        <color theme="1"/>
        <rFont val="Calibri"/>
        <family val="2"/>
        <scheme val="minor"/>
      </rPr>
      <t xml:space="preserve"> Experience</t>
    </r>
  </si>
  <si>
    <r>
      <t>CDC / CBO/</t>
    </r>
    <r>
      <rPr>
        <sz val="12"/>
        <color rgb="FF0000FF"/>
        <rFont val="Calibri"/>
        <family val="2"/>
        <scheme val="minor"/>
      </rPr>
      <t>BLO/FEMALE</t>
    </r>
    <r>
      <rPr>
        <sz val="12"/>
        <color theme="1"/>
        <rFont val="Calibri"/>
        <family val="2"/>
        <scheme val="minor"/>
      </rPr>
      <t xml:space="preserve">  Sole Sponsor - 10 points</t>
    </r>
  </si>
  <si>
    <t>Reduction from possible total 20 to 19 points to differentiate between options (1) and (2-4). 
To achieve the goals of AFFH, recommend increasing the range from 30% to 40% from the low to the high. Note statutory requirements of HCD pipeline.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</si>
</sst>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3" formatCode="_(* #,##0.00_);_(* \(#,##0.00\);_(* &quot;-&quot;??_);_(@_)"/>
    <numFmt numFmtId="164" formatCode="0.0%"/>
    <numFmt numFmtId="165" formatCode="_(* #,##0_);_(* \(#,##0\);_(* &quot;-&quot;??_);_(@_)"/>
    <numFmt numFmtId="166" formatCode="_(* #,##0_);_(* \(#,##0\);_(* &quot;-&quot;?_);_(@_)"/>
    <numFmt numFmtId="167" formatCode="_(* #,##0.00_);_(* \(#,##0.00\);_(* &quot;-&quot;?_);_(@_)"/>
    <numFmt numFmtId="168" formatCode="#,##0.000"/>
  </numFmts>
  <fonts count="40" x14ac:knownFonts="1">
    <font>
      <sz val="11"/>
      <color theme="1"/>
      <name val="Calibri"/>
      <family val="2"/>
      <scheme val="minor"/>
    </font>
    <font>
      <sz val="11"/>
      <color theme="1"/>
      <name val="Calibri"/>
      <family val="2"/>
      <scheme val="minor"/>
    </font>
    <font>
      <b/>
      <sz val="11"/>
      <color theme="1"/>
      <name val="Calibri"/>
      <family val="2"/>
      <scheme val="minor"/>
    </font>
    <font>
      <b/>
      <u/>
      <sz val="11"/>
      <color theme="1"/>
      <name val="Calibri"/>
      <family val="2"/>
      <scheme val="minor"/>
    </font>
    <font>
      <sz val="11"/>
      <color rgb="FF0000FF"/>
      <name val="Calibri"/>
      <family val="2"/>
      <scheme val="minor"/>
    </font>
    <font>
      <u/>
      <sz val="11"/>
      <color theme="1"/>
      <name val="Calibri"/>
      <family val="2"/>
      <scheme val="minor"/>
    </font>
    <font>
      <sz val="11"/>
      <name val="Calibri"/>
      <family val="2"/>
      <scheme val="minor"/>
    </font>
    <font>
      <b/>
      <sz val="12"/>
      <color theme="1"/>
      <name val="Calibri"/>
      <family val="2"/>
      <scheme val="minor"/>
    </font>
    <font>
      <sz val="12"/>
      <color theme="1"/>
      <name val="Calibri"/>
      <family val="2"/>
      <scheme val="minor"/>
    </font>
    <font>
      <sz val="12"/>
      <color rgb="FF222222"/>
      <name val="Calibri"/>
      <family val="2"/>
      <scheme val="minor"/>
    </font>
    <font>
      <sz val="12"/>
      <color rgb="FF201F1E"/>
      <name val="Calibri"/>
      <family val="2"/>
      <scheme val="minor"/>
    </font>
    <font>
      <i/>
      <sz val="12"/>
      <color theme="1"/>
      <name val="Calibri"/>
      <family val="2"/>
      <scheme val="minor"/>
    </font>
    <font>
      <strike/>
      <sz val="11"/>
      <color theme="1"/>
      <name val="Calibri"/>
      <family val="2"/>
      <scheme val="minor"/>
    </font>
    <font>
      <b/>
      <strike/>
      <sz val="11"/>
      <color theme="1"/>
      <name val="Calibri"/>
      <family val="2"/>
      <scheme val="minor"/>
    </font>
    <font>
      <sz val="12"/>
      <color rgb="FF000000"/>
      <name val="Calibri"/>
      <family val="2"/>
      <scheme val="minor"/>
    </font>
    <font>
      <sz val="11"/>
      <color rgb="FFFF0000"/>
      <name val="Calibri"/>
      <family val="2"/>
      <scheme val="minor"/>
    </font>
    <font>
      <b/>
      <sz val="12"/>
      <color rgb="FF222222"/>
      <name val="Calibri"/>
      <family val="2"/>
      <scheme val="minor"/>
    </font>
    <font>
      <u/>
      <sz val="12"/>
      <color rgb="FF222222"/>
      <name val="Calibri"/>
      <family val="2"/>
      <scheme val="minor"/>
    </font>
    <font>
      <sz val="11"/>
      <color rgb="FF00B050"/>
      <name val="Calibri"/>
      <family val="2"/>
      <scheme val="minor"/>
    </font>
    <font>
      <b/>
      <sz val="11"/>
      <color rgb="FF00B050"/>
      <name val="Calibri"/>
      <family val="2"/>
      <scheme val="minor"/>
    </font>
    <font>
      <i/>
      <sz val="11"/>
      <color theme="1"/>
      <name val="Calibri"/>
      <family val="2"/>
      <scheme val="minor"/>
    </font>
    <font>
      <sz val="11"/>
      <color theme="0"/>
      <name val="Calibri"/>
      <family val="2"/>
      <scheme val="minor"/>
    </font>
    <font>
      <b/>
      <u/>
      <sz val="11"/>
      <color rgb="FFFF0000"/>
      <name val="Calibri"/>
      <family val="2"/>
      <scheme val="minor"/>
    </font>
    <font>
      <sz val="8"/>
      <name val="Calibri"/>
      <family val="2"/>
      <scheme val="minor"/>
    </font>
    <font>
      <b/>
      <i/>
      <sz val="11"/>
      <color theme="1"/>
      <name val="Calibri"/>
      <family val="2"/>
      <scheme val="minor"/>
    </font>
    <font>
      <sz val="11"/>
      <color theme="1"/>
      <name val="Calibri"/>
      <family val="2"/>
    </font>
    <font>
      <sz val="7"/>
      <color theme="1"/>
      <name val="Calibri"/>
      <family val="2"/>
    </font>
    <font>
      <b/>
      <sz val="11"/>
      <name val="Calibri"/>
      <family val="2"/>
      <scheme val="minor"/>
    </font>
    <font>
      <u/>
      <sz val="11"/>
      <name val="Calibri"/>
      <family val="2"/>
      <scheme val="minor"/>
    </font>
    <font>
      <sz val="12"/>
      <name val="Calibri"/>
      <family val="2"/>
      <scheme val="minor"/>
    </font>
    <font>
      <i/>
      <sz val="12"/>
      <name val="Calibri"/>
      <family val="2"/>
      <scheme val="minor"/>
    </font>
    <font>
      <b/>
      <sz val="12"/>
      <name val="Calibri"/>
      <family val="2"/>
      <scheme val="minor"/>
    </font>
    <font>
      <b/>
      <i/>
      <sz val="12"/>
      <color theme="1"/>
      <name val="Calibri"/>
      <family val="2"/>
      <scheme val="minor"/>
    </font>
    <font>
      <strike/>
      <sz val="12"/>
      <name val="Calibri"/>
      <family val="2"/>
      <scheme val="minor"/>
    </font>
    <font>
      <strike/>
      <sz val="12"/>
      <color rgb="FF0000FF"/>
      <name val="Calibri"/>
      <family val="2"/>
      <scheme val="minor"/>
    </font>
    <font>
      <b/>
      <sz val="12"/>
      <color rgb="FF0000FF"/>
      <name val="Calibri"/>
      <family val="2"/>
      <scheme val="minor"/>
    </font>
    <font>
      <b/>
      <strike/>
      <sz val="12"/>
      <name val="Calibri"/>
      <family val="2"/>
      <scheme val="minor"/>
    </font>
    <font>
      <b/>
      <sz val="11"/>
      <color rgb="FF0000FF"/>
      <name val="Calibri"/>
      <family val="2"/>
      <scheme val="minor"/>
    </font>
    <font>
      <b/>
      <u/>
      <sz val="11"/>
      <color rgb="FF0000FF"/>
      <name val="Calibri"/>
      <family val="2"/>
      <scheme val="minor"/>
    </font>
    <font>
      <sz val="12"/>
      <color rgb="FF0000FF"/>
      <name val="Calibri"/>
      <family val="2"/>
      <scheme val="minor"/>
    </font>
  </fonts>
  <fills count="13">
    <fill>
      <patternFill patternType="none"/>
    </fill>
    <fill>
      <patternFill patternType="gray125"/>
    </fill>
    <fill>
      <patternFill patternType="solid">
        <fgColor theme="8" tint="0.79998168889431442"/>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7" tint="0.59999389629810485"/>
        <bgColor indexed="64"/>
      </patternFill>
    </fill>
    <fill>
      <patternFill patternType="solid">
        <fgColor theme="0"/>
        <bgColor indexed="64"/>
      </patternFill>
    </fill>
    <fill>
      <patternFill patternType="solid">
        <fgColor rgb="FF92D050"/>
        <bgColor indexed="64"/>
      </patternFill>
    </fill>
    <fill>
      <patternFill patternType="solid">
        <fgColor theme="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rgb="FFFFFF00"/>
        <bgColor indexed="64"/>
      </patternFill>
    </fill>
    <fill>
      <patternFill patternType="solid">
        <fgColor theme="9" tint="0.59999389629810485"/>
        <bgColor indexed="64"/>
      </patternFill>
    </fill>
  </fills>
  <borders count="37">
    <border>
      <left/>
      <right/>
      <top/>
      <bottom/>
      <diagonal/>
    </border>
    <border>
      <left/>
      <right/>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medium">
        <color indexed="64"/>
      </right>
      <top/>
      <bottom/>
      <diagonal/>
    </border>
    <border>
      <left style="medium">
        <color indexed="64"/>
      </left>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style="medium">
        <color indexed="64"/>
      </left>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343">
    <xf numFmtId="0" fontId="0" fillId="0" borderId="0" xfId="0"/>
    <xf numFmtId="0" fontId="5" fillId="0" borderId="0" xfId="0" applyFont="1"/>
    <xf numFmtId="164" fontId="6" fillId="0" borderId="0" xfId="2" applyNumberFormat="1" applyFont="1"/>
    <xf numFmtId="164" fontId="0" fillId="0" borderId="0" xfId="2" applyNumberFormat="1" applyFont="1"/>
    <xf numFmtId="165" fontId="0" fillId="0" borderId="0" xfId="1" applyNumberFormat="1" applyFont="1"/>
    <xf numFmtId="165" fontId="0" fillId="0" borderId="0" xfId="0" applyNumberFormat="1"/>
    <xf numFmtId="166" fontId="0" fillId="0" borderId="0" xfId="0" applyNumberFormat="1"/>
    <xf numFmtId="0" fontId="2" fillId="0" borderId="0" xfId="0" applyFont="1"/>
    <xf numFmtId="165" fontId="0" fillId="0" borderId="0" xfId="0" applyNumberFormat="1" applyBorder="1"/>
    <xf numFmtId="164" fontId="4" fillId="0" borderId="0" xfId="2" applyNumberFormat="1" applyFont="1"/>
    <xf numFmtId="165" fontId="4" fillId="0" borderId="0" xfId="1" applyNumberFormat="1" applyFont="1"/>
    <xf numFmtId="0" fontId="2" fillId="0" borderId="0" xfId="0" applyFont="1" applyAlignment="1">
      <alignment horizontal="right"/>
    </xf>
    <xf numFmtId="0" fontId="0" fillId="0" borderId="0" xfId="0" applyFill="1"/>
    <xf numFmtId="3" fontId="0" fillId="0" borderId="0" xfId="0" applyNumberFormat="1"/>
    <xf numFmtId="0" fontId="2" fillId="0" borderId="3" xfId="0" applyFont="1" applyBorder="1"/>
    <xf numFmtId="0" fontId="0" fillId="0" borderId="3" xfId="0" applyBorder="1"/>
    <xf numFmtId="0" fontId="0" fillId="0" borderId="3" xfId="0" applyFill="1" applyBorder="1"/>
    <xf numFmtId="10" fontId="0" fillId="0" borderId="0" xfId="2" applyNumberFormat="1" applyFont="1"/>
    <xf numFmtId="9" fontId="0" fillId="0" borderId="0" xfId="2" applyFont="1"/>
    <xf numFmtId="166" fontId="0" fillId="0" borderId="1" xfId="0" applyNumberFormat="1" applyBorder="1"/>
    <xf numFmtId="165" fontId="0" fillId="0" borderId="4" xfId="0" applyNumberFormat="1" applyBorder="1"/>
    <xf numFmtId="165" fontId="0" fillId="0" borderId="0" xfId="0" applyNumberFormat="1" applyBorder="1" applyAlignment="1">
      <alignment horizontal="center"/>
    </xf>
    <xf numFmtId="0" fontId="0" fillId="0" borderId="0" xfId="0" applyFill="1" applyBorder="1"/>
    <xf numFmtId="0" fontId="0" fillId="0" borderId="3" xfId="0" applyFill="1" applyBorder="1" applyAlignment="1">
      <alignment wrapText="1"/>
    </xf>
    <xf numFmtId="166" fontId="0" fillId="0" borderId="5" xfId="0" applyNumberFormat="1" applyBorder="1"/>
    <xf numFmtId="0" fontId="0" fillId="0" borderId="0" xfId="0" quotePrefix="1"/>
    <xf numFmtId="9" fontId="0" fillId="0" borderId="0" xfId="2" applyFont="1" applyFill="1" applyAlignment="1">
      <alignment horizontal="center"/>
    </xf>
    <xf numFmtId="165" fontId="0" fillId="0" borderId="0" xfId="0" applyNumberFormat="1" applyFill="1"/>
    <xf numFmtId="164" fontId="0" fillId="0" borderId="0" xfId="2" applyNumberFormat="1" applyFont="1" applyFill="1"/>
    <xf numFmtId="0" fontId="0" fillId="0" borderId="0" xfId="0" applyFill="1" applyAlignment="1">
      <alignment horizontal="center"/>
    </xf>
    <xf numFmtId="0" fontId="0" fillId="0" borderId="0" xfId="0"/>
    <xf numFmtId="0" fontId="0" fillId="0" borderId="0" xfId="0" applyAlignment="1">
      <alignment horizontal="center"/>
    </xf>
    <xf numFmtId="0" fontId="8" fillId="0" borderId="0" xfId="0" applyFont="1" applyAlignment="1">
      <alignment horizontal="justify" vertical="center"/>
    </xf>
    <xf numFmtId="0" fontId="8" fillId="0" borderId="0" xfId="0" applyFont="1" applyAlignment="1">
      <alignment vertical="center"/>
    </xf>
    <xf numFmtId="0" fontId="11" fillId="0" borderId="0" xfId="0" applyFont="1" applyAlignment="1">
      <alignment horizontal="justify" vertical="center"/>
    </xf>
    <xf numFmtId="0" fontId="12" fillId="0" borderId="0" xfId="0" applyFont="1" applyFill="1"/>
    <xf numFmtId="164" fontId="12" fillId="0" borderId="0" xfId="2" applyNumberFormat="1" applyFont="1" applyFill="1"/>
    <xf numFmtId="0" fontId="0" fillId="0" borderId="0" xfId="0" applyFill="1" applyAlignment="1">
      <alignment vertical="center"/>
    </xf>
    <xf numFmtId="0" fontId="0" fillId="0" borderId="0" xfId="0" applyFill="1" applyAlignment="1">
      <alignment horizontal="right"/>
    </xf>
    <xf numFmtId="0" fontId="0" fillId="0" borderId="1" xfId="0" applyBorder="1" applyAlignment="1">
      <alignment horizontal="center"/>
    </xf>
    <xf numFmtId="164" fontId="0" fillId="0" borderId="0" xfId="0" applyNumberFormat="1" applyFill="1" applyAlignment="1">
      <alignment horizontal="right" vertical="center"/>
    </xf>
    <xf numFmtId="0" fontId="2" fillId="0" borderId="1" xfId="0" applyFont="1" applyBorder="1"/>
    <xf numFmtId="0" fontId="0" fillId="0" borderId="1" xfId="0" applyBorder="1"/>
    <xf numFmtId="0" fontId="2" fillId="0" borderId="0" xfId="0" applyFont="1" applyAlignment="1">
      <alignment vertical="center"/>
    </xf>
    <xf numFmtId="0" fontId="0" fillId="0" borderId="0" xfId="0" applyAlignment="1">
      <alignment vertical="center"/>
    </xf>
    <xf numFmtId="0" fontId="3" fillId="0" borderId="0" xfId="0" applyFont="1" applyFill="1"/>
    <xf numFmtId="0" fontId="5" fillId="0" borderId="0" xfId="0" applyFont="1" applyFill="1"/>
    <xf numFmtId="0" fontId="0" fillId="0" borderId="0" xfId="0" applyFont="1"/>
    <xf numFmtId="166" fontId="0" fillId="0" borderId="0" xfId="0" applyNumberFormat="1" applyFill="1" applyAlignment="1">
      <alignment horizontal="center"/>
    </xf>
    <xf numFmtId="0" fontId="0" fillId="0" borderId="0" xfId="0" applyAlignment="1">
      <alignment horizontal="left"/>
    </xf>
    <xf numFmtId="2" fontId="0" fillId="0" borderId="0" xfId="0" applyNumberFormat="1"/>
    <xf numFmtId="0" fontId="6" fillId="0" borderId="3" xfId="0" applyFont="1" applyFill="1" applyBorder="1"/>
    <xf numFmtId="0" fontId="0" fillId="0" borderId="2" xfId="0" applyBorder="1"/>
    <xf numFmtId="2" fontId="0" fillId="3" borderId="2" xfId="0" applyNumberFormat="1" applyFill="1" applyBorder="1"/>
    <xf numFmtId="0" fontId="0" fillId="0" borderId="0" xfId="0" applyBorder="1"/>
    <xf numFmtId="166" fontId="0" fillId="2" borderId="0" xfId="0" applyNumberFormat="1" applyFill="1"/>
    <xf numFmtId="167" fontId="0" fillId="3" borderId="0" xfId="2" applyNumberFormat="1" applyFont="1" applyFill="1"/>
    <xf numFmtId="2" fontId="0" fillId="0" borderId="2" xfId="0" applyNumberFormat="1" applyFill="1" applyBorder="1"/>
    <xf numFmtId="165" fontId="0" fillId="0" borderId="0" xfId="1" applyNumberFormat="1" applyFont="1" applyAlignment="1">
      <alignment horizontal="left"/>
    </xf>
    <xf numFmtId="2" fontId="0" fillId="0" borderId="0" xfId="0" applyNumberFormat="1" applyFill="1" applyBorder="1"/>
    <xf numFmtId="165" fontId="0" fillId="0" borderId="0" xfId="1" applyNumberFormat="1" applyFont="1" applyAlignment="1">
      <alignment horizontal="center"/>
    </xf>
    <xf numFmtId="9" fontId="0" fillId="0" borderId="0" xfId="2" applyNumberFormat="1" applyFont="1"/>
    <xf numFmtId="165" fontId="0" fillId="0" borderId="0" xfId="1" applyNumberFormat="1" applyFont="1" applyFill="1"/>
    <xf numFmtId="9" fontId="0" fillId="0" borderId="0" xfId="2" applyNumberFormat="1" applyFont="1" applyFill="1"/>
    <xf numFmtId="0" fontId="0" fillId="0" borderId="0" xfId="0" applyFill="1" applyAlignment="1">
      <alignment horizontal="left"/>
    </xf>
    <xf numFmtId="2" fontId="0" fillId="0" borderId="0" xfId="0" applyNumberFormat="1" applyFill="1"/>
    <xf numFmtId="166" fontId="0" fillId="4" borderId="0" xfId="0" applyNumberFormat="1" applyFill="1"/>
    <xf numFmtId="166" fontId="0" fillId="5" borderId="0" xfId="0" applyNumberFormat="1" applyFill="1"/>
    <xf numFmtId="0" fontId="0" fillId="0" borderId="0" xfId="0" applyFont="1" applyAlignment="1">
      <alignment vertical="center"/>
    </xf>
    <xf numFmtId="9" fontId="0" fillId="0" borderId="0" xfId="2" applyFont="1" applyAlignment="1">
      <alignment vertical="center"/>
    </xf>
    <xf numFmtId="0" fontId="0" fillId="0" borderId="3" xfId="0" applyFill="1" applyBorder="1" applyAlignment="1">
      <alignment vertical="center" wrapText="1"/>
    </xf>
    <xf numFmtId="9" fontId="0" fillId="0" borderId="0" xfId="0" applyNumberFormat="1"/>
    <xf numFmtId="164" fontId="0" fillId="0" borderId="0" xfId="0" applyNumberFormat="1"/>
    <xf numFmtId="0" fontId="14" fillId="0" borderId="0" xfId="0" applyFont="1" applyAlignment="1">
      <alignment horizontal="justify" vertical="center"/>
    </xf>
    <xf numFmtId="0" fontId="0" fillId="6" borderId="0" xfId="0" applyFill="1"/>
    <xf numFmtId="9" fontId="0" fillId="6" borderId="0" xfId="2" applyFont="1" applyFill="1" applyBorder="1" applyAlignment="1">
      <alignment horizontal="center"/>
    </xf>
    <xf numFmtId="0" fontId="0" fillId="6" borderId="5" xfId="0" applyFill="1" applyBorder="1" applyAlignment="1">
      <alignment vertical="center"/>
    </xf>
    <xf numFmtId="0" fontId="0" fillId="6" borderId="5" xfId="0" applyFill="1" applyBorder="1" applyAlignment="1">
      <alignment horizontal="center" vertical="center"/>
    </xf>
    <xf numFmtId="0" fontId="4" fillId="6" borderId="3" xfId="0" applyFont="1" applyFill="1" applyBorder="1" applyAlignment="1">
      <alignment vertical="center"/>
    </xf>
    <xf numFmtId="0" fontId="12" fillId="6" borderId="5" xfId="0" applyFont="1" applyFill="1" applyBorder="1" applyAlignment="1">
      <alignment vertical="center"/>
    </xf>
    <xf numFmtId="0" fontId="0" fillId="6" borderId="0" xfId="0" applyFill="1" applyBorder="1"/>
    <xf numFmtId="0" fontId="2" fillId="6" borderId="0" xfId="0" applyFont="1" applyFill="1" applyBorder="1" applyAlignment="1">
      <alignment horizontal="right"/>
    </xf>
    <xf numFmtId="0" fontId="2" fillId="6" borderId="0" xfId="0" applyFont="1" applyFill="1" applyBorder="1"/>
    <xf numFmtId="0" fontId="0" fillId="6" borderId="5" xfId="0" applyFill="1" applyBorder="1"/>
    <xf numFmtId="0" fontId="0" fillId="6" borderId="9" xfId="0" applyFill="1" applyBorder="1" applyAlignment="1">
      <alignment horizontal="right"/>
    </xf>
    <xf numFmtId="9" fontId="2" fillId="6" borderId="0" xfId="2" applyFont="1" applyFill="1" applyBorder="1" applyAlignment="1">
      <alignment horizontal="center"/>
    </xf>
    <xf numFmtId="0" fontId="0" fillId="6" borderId="8" xfId="0" applyFill="1" applyBorder="1" applyAlignment="1">
      <alignment vertical="center"/>
    </xf>
    <xf numFmtId="0" fontId="12" fillId="6" borderId="8" xfId="0" applyFont="1" applyFill="1" applyBorder="1" applyAlignment="1">
      <alignment vertical="center"/>
    </xf>
    <xf numFmtId="0" fontId="0" fillId="6" borderId="8" xfId="0" applyFill="1" applyBorder="1"/>
    <xf numFmtId="0" fontId="0" fillId="0" borderId="0" xfId="0" applyFill="1" applyAlignment="1">
      <alignment wrapText="1"/>
    </xf>
    <xf numFmtId="0" fontId="0" fillId="0" borderId="0" xfId="0" applyAlignment="1">
      <alignment wrapText="1"/>
    </xf>
    <xf numFmtId="0" fontId="0" fillId="6" borderId="0" xfId="0" applyFill="1" applyAlignment="1">
      <alignment wrapText="1"/>
    </xf>
    <xf numFmtId="0" fontId="4" fillId="7" borderId="6" xfId="0" applyFont="1" applyFill="1" applyBorder="1" applyAlignment="1">
      <alignment vertical="center"/>
    </xf>
    <xf numFmtId="0" fontId="4" fillId="7" borderId="3" xfId="0" applyFont="1" applyFill="1" applyBorder="1" applyAlignment="1">
      <alignment vertical="center"/>
    </xf>
    <xf numFmtId="0" fontId="0" fillId="7" borderId="8" xfId="0" applyFill="1" applyBorder="1" applyAlignment="1">
      <alignment vertical="center"/>
    </xf>
    <xf numFmtId="0" fontId="0" fillId="7" borderId="5" xfId="0" applyFill="1" applyBorder="1" applyAlignment="1">
      <alignment vertical="center"/>
    </xf>
    <xf numFmtId="0" fontId="0" fillId="7" borderId="5" xfId="0" applyFill="1" applyBorder="1" applyAlignment="1">
      <alignment horizontal="center" vertical="center"/>
    </xf>
    <xf numFmtId="0" fontId="0" fillId="6" borderId="10" xfId="0" applyFill="1" applyBorder="1" applyAlignment="1">
      <alignment vertical="center"/>
    </xf>
    <xf numFmtId="0" fontId="0" fillId="6" borderId="1" xfId="0" applyFill="1" applyBorder="1" applyAlignment="1">
      <alignment vertical="center"/>
    </xf>
    <xf numFmtId="0" fontId="0" fillId="6" borderId="1" xfId="0" applyFill="1" applyBorder="1" applyAlignment="1">
      <alignment horizontal="center" vertical="center"/>
    </xf>
    <xf numFmtId="0" fontId="0" fillId="0" borderId="4" xfId="0" applyFill="1" applyBorder="1"/>
    <xf numFmtId="0" fontId="0" fillId="6" borderId="4" xfId="0" applyFill="1" applyBorder="1"/>
    <xf numFmtId="0" fontId="0" fillId="6" borderId="11" xfId="0" applyFill="1" applyBorder="1"/>
    <xf numFmtId="0" fontId="0" fillId="6" borderId="12" xfId="0" applyFill="1" applyBorder="1"/>
    <xf numFmtId="0" fontId="0" fillId="6" borderId="0" xfId="0" applyFill="1" applyBorder="1" applyAlignment="1">
      <alignment horizontal="center"/>
    </xf>
    <xf numFmtId="0" fontId="0" fillId="6" borderId="1" xfId="0" applyFill="1" applyBorder="1"/>
    <xf numFmtId="0" fontId="0" fillId="6" borderId="13" xfId="0" applyFill="1" applyBorder="1" applyAlignment="1">
      <alignment horizontal="center"/>
    </xf>
    <xf numFmtId="0" fontId="4" fillId="7" borderId="7" xfId="0" applyFont="1" applyFill="1" applyBorder="1" applyAlignment="1">
      <alignment vertical="center"/>
    </xf>
    <xf numFmtId="0" fontId="15" fillId="6" borderId="4" xfId="0" applyFont="1" applyFill="1" applyBorder="1"/>
    <xf numFmtId="164" fontId="0" fillId="0" borderId="0" xfId="2" applyNumberFormat="1" applyFont="1" applyFill="1" applyAlignment="1">
      <alignment horizontal="right"/>
    </xf>
    <xf numFmtId="164" fontId="0" fillId="0" borderId="0" xfId="2" applyNumberFormat="1" applyFont="1" applyFill="1" applyAlignment="1">
      <alignment horizontal="center"/>
    </xf>
    <xf numFmtId="9" fontId="4" fillId="0" borderId="0" xfId="2" applyFont="1"/>
    <xf numFmtId="0" fontId="0" fillId="0" borderId="0" xfId="0" applyFont="1" applyFill="1"/>
    <xf numFmtId="9" fontId="0" fillId="0" borderId="0" xfId="0" applyNumberFormat="1" applyAlignment="1">
      <alignment horizontal="left"/>
    </xf>
    <xf numFmtId="0" fontId="2" fillId="9" borderId="0" xfId="0" applyFont="1" applyFill="1"/>
    <xf numFmtId="0" fontId="0" fillId="9" borderId="0" xfId="0" applyFill="1"/>
    <xf numFmtId="0" fontId="5" fillId="9" borderId="0" xfId="0" applyFont="1" applyFill="1"/>
    <xf numFmtId="0" fontId="5" fillId="9" borderId="0" xfId="0" applyFont="1" applyFill="1" applyAlignment="1">
      <alignment horizontal="center"/>
    </xf>
    <xf numFmtId="0" fontId="0" fillId="9" borderId="0" xfId="0" applyFill="1" applyAlignment="1">
      <alignment horizontal="center"/>
    </xf>
    <xf numFmtId="165" fontId="0" fillId="9" borderId="0" xfId="1" applyNumberFormat="1" applyFont="1" applyFill="1"/>
    <xf numFmtId="164" fontId="0" fillId="9" borderId="0" xfId="2" applyNumberFormat="1" applyFont="1" applyFill="1"/>
    <xf numFmtId="0" fontId="7" fillId="0" borderId="0" xfId="0" applyFont="1" applyAlignment="1">
      <alignment vertical="center"/>
    </xf>
    <xf numFmtId="0" fontId="8" fillId="0" borderId="0" xfId="0" applyFont="1" applyAlignment="1">
      <alignment horizontal="center" vertical="center"/>
    </xf>
    <xf numFmtId="0" fontId="7" fillId="0" borderId="0" xfId="0" applyFont="1" applyAlignment="1">
      <alignment horizontal="center" vertical="center"/>
    </xf>
    <xf numFmtId="0" fontId="16" fillId="0" borderId="0" xfId="0" applyFont="1" applyAlignment="1">
      <alignment horizontal="left" vertical="center"/>
    </xf>
    <xf numFmtId="0" fontId="9" fillId="0" borderId="0" xfId="0" applyFont="1" applyAlignment="1">
      <alignment horizontal="left" vertical="center"/>
    </xf>
    <xf numFmtId="0" fontId="17" fillId="0" borderId="0" xfId="0" applyFont="1" applyAlignment="1">
      <alignment horizontal="left" vertical="center"/>
    </xf>
    <xf numFmtId="0" fontId="14" fillId="0" borderId="0" xfId="0" applyFont="1" applyFill="1" applyAlignment="1">
      <alignment horizontal="justify" vertical="center"/>
    </xf>
    <xf numFmtId="0" fontId="12" fillId="6" borderId="8" xfId="0" applyFont="1" applyFill="1" applyBorder="1" applyAlignment="1"/>
    <xf numFmtId="0" fontId="0" fillId="6" borderId="5" xfId="0" applyFill="1" applyBorder="1" applyAlignment="1"/>
    <xf numFmtId="0" fontId="4" fillId="6" borderId="3" xfId="0" applyFont="1" applyFill="1" applyBorder="1" applyAlignment="1"/>
    <xf numFmtId="0" fontId="0" fillId="0" borderId="0" xfId="0" applyFill="1" applyAlignment="1"/>
    <xf numFmtId="0" fontId="0" fillId="10" borderId="3" xfId="0" applyFill="1" applyBorder="1" applyAlignment="1">
      <alignment wrapText="1"/>
    </xf>
    <xf numFmtId="0" fontId="0" fillId="10" borderId="3" xfId="0" applyFill="1" applyBorder="1" applyAlignment="1">
      <alignment vertical="center" wrapText="1"/>
    </xf>
    <xf numFmtId="0" fontId="12" fillId="10" borderId="3" xfId="0" applyFont="1" applyFill="1" applyBorder="1" applyAlignment="1">
      <alignment wrapText="1"/>
    </xf>
    <xf numFmtId="0" fontId="6" fillId="10" borderId="3" xfId="0" applyFont="1" applyFill="1" applyBorder="1" applyAlignment="1">
      <alignment vertical="center" wrapText="1"/>
    </xf>
    <xf numFmtId="0" fontId="15" fillId="10" borderId="3" xfId="0" applyFont="1" applyFill="1" applyBorder="1" applyAlignment="1">
      <alignment vertical="center" wrapText="1"/>
    </xf>
    <xf numFmtId="0" fontId="2" fillId="10" borderId="9" xfId="0" applyFont="1" applyFill="1" applyBorder="1" applyAlignment="1">
      <alignment horizontal="center" wrapText="1"/>
    </xf>
    <xf numFmtId="0" fontId="0" fillId="10" borderId="9" xfId="0" applyFill="1" applyBorder="1" applyAlignment="1">
      <alignment wrapText="1"/>
    </xf>
    <xf numFmtId="0" fontId="0" fillId="10" borderId="9" xfId="0" applyFill="1" applyBorder="1"/>
    <xf numFmtId="0" fontId="0" fillId="10" borderId="9" xfId="0" applyFill="1" applyBorder="1" applyAlignment="1">
      <alignment horizontal="left" wrapText="1"/>
    </xf>
    <xf numFmtId="0" fontId="0" fillId="10" borderId="9" xfId="0" applyFont="1" applyFill="1" applyBorder="1" applyAlignment="1">
      <alignment wrapText="1"/>
    </xf>
    <xf numFmtId="0" fontId="0" fillId="10" borderId="9" xfId="0" applyFont="1" applyFill="1" applyBorder="1" applyAlignment="1">
      <alignment vertical="top" wrapText="1"/>
    </xf>
    <xf numFmtId="0" fontId="2" fillId="8" borderId="14" xfId="0" applyFont="1" applyFill="1" applyBorder="1"/>
    <xf numFmtId="0" fontId="0" fillId="8" borderId="15" xfId="0" applyFill="1" applyBorder="1"/>
    <xf numFmtId="9" fontId="0" fillId="8" borderId="15" xfId="2" applyFont="1" applyFill="1" applyBorder="1" applyAlignment="1">
      <alignment horizontal="center"/>
    </xf>
    <xf numFmtId="0" fontId="2" fillId="8" borderId="16" xfId="0" applyFont="1" applyFill="1" applyBorder="1" applyAlignment="1">
      <alignment horizontal="right" wrapText="1"/>
    </xf>
    <xf numFmtId="0" fontId="0" fillId="0" borderId="17" xfId="0" applyFill="1" applyBorder="1"/>
    <xf numFmtId="0" fontId="2" fillId="6" borderId="18" xfId="0" applyFont="1" applyFill="1" applyBorder="1" applyAlignment="1">
      <alignment horizontal="center" wrapText="1"/>
    </xf>
    <xf numFmtId="0" fontId="2" fillId="6" borderId="19" xfId="0" applyFont="1" applyFill="1" applyBorder="1"/>
    <xf numFmtId="0" fontId="0" fillId="7" borderId="18" xfId="0" applyFill="1" applyBorder="1" applyAlignment="1">
      <alignment wrapText="1"/>
    </xf>
    <xf numFmtId="0" fontId="0" fillId="6" borderId="18" xfId="0" applyFill="1" applyBorder="1" applyAlignment="1">
      <alignment wrapText="1"/>
    </xf>
    <xf numFmtId="0" fontId="0" fillId="6" borderId="19" xfId="0" applyFill="1" applyBorder="1"/>
    <xf numFmtId="0" fontId="0" fillId="0" borderId="18" xfId="0" applyFill="1" applyBorder="1" applyAlignment="1">
      <alignment wrapText="1"/>
    </xf>
    <xf numFmtId="0" fontId="0" fillId="0" borderId="18" xfId="0" applyFill="1" applyBorder="1"/>
    <xf numFmtId="0" fontId="2" fillId="6" borderId="22" xfId="0" applyFont="1" applyFill="1" applyBorder="1"/>
    <xf numFmtId="0" fontId="2" fillId="6" borderId="19" xfId="0" applyFont="1" applyFill="1" applyBorder="1" applyAlignment="1">
      <alignment vertical="center"/>
    </xf>
    <xf numFmtId="0" fontId="2" fillId="0" borderId="18" xfId="0" applyFont="1" applyFill="1" applyBorder="1" applyAlignment="1">
      <alignment wrapText="1"/>
    </xf>
    <xf numFmtId="0" fontId="0" fillId="6" borderId="18" xfId="0" applyFont="1" applyFill="1" applyBorder="1" applyAlignment="1">
      <alignment wrapText="1"/>
    </xf>
    <xf numFmtId="0" fontId="0" fillId="7" borderId="18" xfId="0" applyFont="1" applyFill="1" applyBorder="1" applyAlignment="1">
      <alignment vertical="top" wrapText="1"/>
    </xf>
    <xf numFmtId="0" fontId="2" fillId="0" borderId="19" xfId="0" applyFont="1" applyFill="1" applyBorder="1" applyAlignment="1">
      <alignment vertical="center"/>
    </xf>
    <xf numFmtId="0" fontId="13" fillId="6" borderId="19" xfId="0" applyFont="1" applyFill="1" applyBorder="1" applyAlignment="1">
      <alignment vertical="center"/>
    </xf>
    <xf numFmtId="0" fontId="13" fillId="6" borderId="19" xfId="0" applyFont="1" applyFill="1" applyBorder="1"/>
    <xf numFmtId="0" fontId="13" fillId="6" borderId="19" xfId="0" applyFont="1" applyFill="1" applyBorder="1" applyAlignment="1"/>
    <xf numFmtId="0" fontId="0" fillId="6" borderId="23" xfId="0" applyFill="1" applyBorder="1" applyAlignment="1">
      <alignment wrapText="1"/>
    </xf>
    <xf numFmtId="0" fontId="2" fillId="6" borderId="24" xfId="0" applyFont="1" applyFill="1" applyBorder="1" applyAlignment="1">
      <alignment vertical="center"/>
    </xf>
    <xf numFmtId="0" fontId="0" fillId="6" borderId="25" xfId="0" applyFill="1" applyBorder="1"/>
    <xf numFmtId="0" fontId="0" fillId="6" borderId="26" xfId="0" applyFill="1" applyBorder="1"/>
    <xf numFmtId="0" fontId="0" fillId="6" borderId="27" xfId="0" applyFill="1" applyBorder="1" applyAlignment="1">
      <alignment horizontal="right"/>
    </xf>
    <xf numFmtId="9" fontId="2" fillId="6" borderId="28" xfId="2" applyFont="1" applyFill="1" applyBorder="1" applyAlignment="1">
      <alignment horizontal="center"/>
    </xf>
    <xf numFmtId="0" fontId="0" fillId="6" borderId="29" xfId="0" applyFill="1" applyBorder="1" applyAlignment="1">
      <alignment wrapText="1"/>
    </xf>
    <xf numFmtId="0" fontId="0" fillId="6" borderId="9" xfId="0" applyFill="1" applyBorder="1"/>
    <xf numFmtId="0" fontId="21" fillId="6" borderId="4" xfId="0" applyFont="1" applyFill="1" applyBorder="1"/>
    <xf numFmtId="164" fontId="21" fillId="6" borderId="5" xfId="2" applyNumberFormat="1" applyFont="1" applyFill="1" applyBorder="1"/>
    <xf numFmtId="165" fontId="21" fillId="6" borderId="5" xfId="0" applyNumberFormat="1" applyFont="1" applyFill="1" applyBorder="1"/>
    <xf numFmtId="164" fontId="21" fillId="6" borderId="4" xfId="2" applyNumberFormat="1" applyFont="1" applyFill="1" applyBorder="1"/>
    <xf numFmtId="165" fontId="21" fillId="6" borderId="4" xfId="0" applyNumberFormat="1" applyFont="1" applyFill="1" applyBorder="1"/>
    <xf numFmtId="0" fontId="0" fillId="7" borderId="30" xfId="0" applyFill="1" applyBorder="1"/>
    <xf numFmtId="0" fontId="0" fillId="7" borderId="4" xfId="0" applyFill="1" applyBorder="1"/>
    <xf numFmtId="0" fontId="2" fillId="6" borderId="5" xfId="0" applyFont="1" applyFill="1" applyBorder="1"/>
    <xf numFmtId="9" fontId="0" fillId="6" borderId="9" xfId="2" applyFont="1" applyFill="1" applyBorder="1" applyAlignment="1">
      <alignment horizontal="center"/>
    </xf>
    <xf numFmtId="164" fontId="6" fillId="6" borderId="0" xfId="2" applyNumberFormat="1" applyFont="1" applyFill="1" applyBorder="1" applyAlignment="1">
      <alignment horizontal="center"/>
    </xf>
    <xf numFmtId="166" fontId="6" fillId="6" borderId="0" xfId="0" applyNumberFormat="1" applyFont="1" applyFill="1" applyBorder="1"/>
    <xf numFmtId="164" fontId="6" fillId="6" borderId="2" xfId="0" applyNumberFormat="1" applyFont="1" applyFill="1" applyBorder="1" applyAlignment="1">
      <alignment horizontal="center"/>
    </xf>
    <xf numFmtId="0" fontId="15" fillId="6" borderId="0" xfId="0" applyFont="1" applyFill="1" applyBorder="1"/>
    <xf numFmtId="165" fontId="15" fillId="6" borderId="0" xfId="1" applyNumberFormat="1" applyFont="1" applyFill="1" applyBorder="1"/>
    <xf numFmtId="0" fontId="15" fillId="6" borderId="12" xfId="0" applyFont="1" applyFill="1" applyBorder="1"/>
    <xf numFmtId="165" fontId="15" fillId="6" borderId="5" xfId="0" applyNumberFormat="1" applyFont="1" applyFill="1" applyBorder="1"/>
    <xf numFmtId="166" fontId="15" fillId="6" borderId="2" xfId="0" applyNumberFormat="1" applyFont="1" applyFill="1" applyBorder="1" applyAlignment="1">
      <alignment horizontal="center"/>
    </xf>
    <xf numFmtId="0" fontId="15" fillId="10" borderId="3" xfId="0" applyFont="1" applyFill="1" applyBorder="1" applyAlignment="1">
      <alignment wrapText="1"/>
    </xf>
    <xf numFmtId="0" fontId="2" fillId="10" borderId="3" xfId="0" applyFont="1" applyFill="1" applyBorder="1" applyAlignment="1">
      <alignment horizontal="center" wrapText="1"/>
    </xf>
    <xf numFmtId="0" fontId="0" fillId="10" borderId="9" xfId="0" applyFill="1" applyBorder="1" applyAlignment="1">
      <alignment horizontal="right" wrapText="1"/>
    </xf>
    <xf numFmtId="0" fontId="0" fillId="10" borderId="9" xfId="0" applyFont="1" applyFill="1" applyBorder="1" applyAlignment="1">
      <alignment horizontal="right" wrapText="1"/>
    </xf>
    <xf numFmtId="0" fontId="0" fillId="10" borderId="9" xfId="0" applyFont="1" applyFill="1" applyBorder="1" applyAlignment="1">
      <alignment horizontal="right" vertical="top" wrapText="1"/>
    </xf>
    <xf numFmtId="0" fontId="24" fillId="0" borderId="0" xfId="0" applyFont="1"/>
    <xf numFmtId="0" fontId="2" fillId="6" borderId="17" xfId="0" applyFont="1" applyFill="1" applyBorder="1"/>
    <xf numFmtId="0" fontId="0" fillId="6" borderId="17" xfId="0" applyFill="1" applyBorder="1"/>
    <xf numFmtId="0" fontId="2" fillId="6" borderId="31" xfId="0" applyFont="1" applyFill="1" applyBorder="1"/>
    <xf numFmtId="0" fontId="0" fillId="0" borderId="0" xfId="0" applyAlignment="1">
      <alignment vertical="top"/>
    </xf>
    <xf numFmtId="0" fontId="25" fillId="0" borderId="0" xfId="0" applyFont="1" applyAlignment="1">
      <alignment horizontal="left" vertical="center"/>
    </xf>
    <xf numFmtId="0" fontId="0" fillId="0" borderId="30" xfId="0" applyFill="1" applyBorder="1"/>
    <xf numFmtId="0" fontId="6" fillId="6" borderId="8" xfId="0" applyFont="1" applyFill="1" applyBorder="1"/>
    <xf numFmtId="9" fontId="0" fillId="0" borderId="0" xfId="2" applyFont="1" applyFill="1" applyBorder="1" applyAlignment="1">
      <alignment horizontal="center"/>
    </xf>
    <xf numFmtId="0" fontId="6" fillId="0" borderId="3" xfId="0" applyFont="1" applyFill="1" applyBorder="1" applyAlignment="1">
      <alignment horizontal="center" vertical="center"/>
    </xf>
    <xf numFmtId="0" fontId="6" fillId="6" borderId="3"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6" xfId="0" applyFont="1" applyFill="1" applyBorder="1" applyAlignment="1">
      <alignment horizontal="center" vertical="center"/>
    </xf>
    <xf numFmtId="0" fontId="27" fillId="6" borderId="0" xfId="0" applyFont="1" applyFill="1" applyBorder="1" applyAlignment="1">
      <alignment horizontal="center" vertical="center"/>
    </xf>
    <xf numFmtId="0" fontId="6" fillId="6" borderId="18" xfId="0" applyFont="1" applyFill="1" applyBorder="1" applyAlignment="1">
      <alignment wrapText="1"/>
    </xf>
    <xf numFmtId="165" fontId="6" fillId="6" borderId="5" xfId="0" applyNumberFormat="1" applyFont="1" applyFill="1" applyBorder="1"/>
    <xf numFmtId="0" fontId="15" fillId="6" borderId="1" xfId="0" applyFont="1" applyFill="1" applyBorder="1"/>
    <xf numFmtId="0" fontId="0" fillId="11" borderId="18" xfId="0" applyFill="1" applyBorder="1" applyAlignment="1">
      <alignment wrapText="1"/>
    </xf>
    <xf numFmtId="0" fontId="0" fillId="11" borderId="5" xfId="0" applyFill="1" applyBorder="1" applyAlignment="1">
      <alignment vertical="center"/>
    </xf>
    <xf numFmtId="0" fontId="0" fillId="11" borderId="5" xfId="0" applyFill="1" applyBorder="1" applyAlignment="1">
      <alignment horizontal="center" vertical="center"/>
    </xf>
    <xf numFmtId="0" fontId="5" fillId="11" borderId="8" xfId="0" applyFont="1" applyFill="1" applyBorder="1" applyAlignment="1">
      <alignment vertical="center"/>
    </xf>
    <xf numFmtId="0" fontId="3" fillId="11" borderId="19" xfId="0" applyFont="1" applyFill="1" applyBorder="1" applyAlignment="1">
      <alignment vertical="center"/>
    </xf>
    <xf numFmtId="0" fontId="0" fillId="6" borderId="3" xfId="0" applyFill="1" applyBorder="1" applyAlignment="1">
      <alignment wrapText="1"/>
    </xf>
    <xf numFmtId="0" fontId="6" fillId="11" borderId="6" xfId="0" applyFont="1" applyFill="1" applyBorder="1" applyAlignment="1">
      <alignment wrapText="1"/>
    </xf>
    <xf numFmtId="0" fontId="6" fillId="11" borderId="7" xfId="0" applyFont="1" applyFill="1" applyBorder="1" applyAlignment="1">
      <alignment wrapText="1"/>
    </xf>
    <xf numFmtId="0" fontId="29" fillId="0" borderId="0" xfId="0" applyFont="1" applyFill="1" applyBorder="1" applyAlignment="1"/>
    <xf numFmtId="0" fontId="9" fillId="11" borderId="0" xfId="0" applyFont="1" applyFill="1" applyAlignment="1">
      <alignment horizontal="left" vertical="center"/>
    </xf>
    <xf numFmtId="0" fontId="16" fillId="11" borderId="0" xfId="0" applyFont="1" applyFill="1" applyAlignment="1">
      <alignment horizontal="left" vertical="center"/>
    </xf>
    <xf numFmtId="0" fontId="9" fillId="11" borderId="0" xfId="0" applyFont="1" applyFill="1" applyAlignment="1">
      <alignment horizontal="left" vertical="center" wrapText="1"/>
    </xf>
    <xf numFmtId="0" fontId="8" fillId="11" borderId="0" xfId="0" applyFont="1" applyFill="1" applyAlignment="1">
      <alignment vertical="center"/>
    </xf>
    <xf numFmtId="0" fontId="29" fillId="11" borderId="0" xfId="0" applyFont="1" applyFill="1" applyBorder="1" applyAlignment="1">
      <alignment vertical="center"/>
    </xf>
    <xf numFmtId="0" fontId="8" fillId="11" borderId="0" xfId="0" applyFont="1" applyFill="1" applyBorder="1" applyAlignment="1">
      <alignment vertical="center"/>
    </xf>
    <xf numFmtId="0" fontId="9" fillId="0" borderId="0" xfId="0" applyFont="1" applyFill="1" applyAlignment="1">
      <alignment horizontal="left" vertical="center" wrapText="1"/>
    </xf>
    <xf numFmtId="0" fontId="29" fillId="11" borderId="0" xfId="0" applyFont="1" applyFill="1" applyBorder="1" applyAlignment="1">
      <alignment horizontal="left" vertical="center" wrapText="1"/>
    </xf>
    <xf numFmtId="0" fontId="0" fillId="10" borderId="9" xfId="0" applyFill="1" applyBorder="1" applyAlignment="1">
      <alignment horizontal="center" wrapText="1"/>
    </xf>
    <xf numFmtId="0" fontId="0" fillId="10" borderId="9" xfId="0" applyFill="1" applyBorder="1" applyAlignment="1">
      <alignment horizontal="center"/>
    </xf>
    <xf numFmtId="0" fontId="0" fillId="10" borderId="3" xfId="0" applyFill="1" applyBorder="1" applyAlignment="1">
      <alignment horizontal="center" wrapText="1"/>
    </xf>
    <xf numFmtId="0" fontId="0" fillId="10" borderId="9" xfId="0" applyFont="1" applyFill="1" applyBorder="1" applyAlignment="1">
      <alignment horizontal="center" wrapText="1"/>
    </xf>
    <xf numFmtId="0" fontId="0" fillId="0" borderId="0" xfId="0" applyAlignment="1">
      <alignment horizontal="center" wrapText="1"/>
    </xf>
    <xf numFmtId="0" fontId="0" fillId="0" borderId="0" xfId="0" applyFill="1" applyAlignment="1">
      <alignment horizontal="center" wrapText="1"/>
    </xf>
    <xf numFmtId="0" fontId="8" fillId="11" borderId="8" xfId="0" quotePrefix="1" applyFont="1" applyFill="1" applyBorder="1" applyAlignment="1">
      <alignment horizontal="center" vertical="center"/>
    </xf>
    <xf numFmtId="0" fontId="8" fillId="11" borderId="30" xfId="0" quotePrefix="1" applyFont="1" applyFill="1" applyBorder="1" applyAlignment="1">
      <alignment horizontal="center" vertical="center"/>
    </xf>
    <xf numFmtId="0" fontId="8" fillId="11" borderId="33" xfId="0" applyFont="1" applyFill="1" applyBorder="1" applyAlignment="1">
      <alignment vertical="center"/>
    </xf>
    <xf numFmtId="0" fontId="8" fillId="11" borderId="12" xfId="0" applyFont="1" applyFill="1" applyBorder="1" applyAlignment="1">
      <alignment vertical="center"/>
    </xf>
    <xf numFmtId="0" fontId="8" fillId="11" borderId="10" xfId="0" quotePrefix="1" applyFont="1" applyFill="1" applyBorder="1" applyAlignment="1">
      <alignment horizontal="center" vertical="center"/>
    </xf>
    <xf numFmtId="0" fontId="8" fillId="11" borderId="1" xfId="0" applyFont="1" applyFill="1" applyBorder="1" applyAlignment="1">
      <alignment vertical="center"/>
    </xf>
    <xf numFmtId="0" fontId="29" fillId="11" borderId="13" xfId="0" applyFont="1" applyFill="1" applyBorder="1" applyAlignment="1">
      <alignment horizontal="left" vertical="center" wrapText="1"/>
    </xf>
    <xf numFmtId="0" fontId="8" fillId="11" borderId="30" xfId="0" applyFont="1" applyFill="1" applyBorder="1" applyAlignment="1">
      <alignment vertical="center"/>
    </xf>
    <xf numFmtId="0" fontId="29" fillId="11" borderId="4" xfId="0" applyFont="1" applyFill="1" applyBorder="1" applyAlignment="1"/>
    <xf numFmtId="0" fontId="8" fillId="11" borderId="11" xfId="0" applyFont="1" applyFill="1" applyBorder="1" applyAlignment="1">
      <alignment vertical="center"/>
    </xf>
    <xf numFmtId="0" fontId="29" fillId="11" borderId="10" xfId="0" applyFont="1" applyFill="1" applyBorder="1" applyAlignment="1"/>
    <xf numFmtId="0" fontId="29" fillId="11" borderId="1" xfId="0" applyFont="1" applyFill="1" applyBorder="1" applyAlignment="1"/>
    <xf numFmtId="0" fontId="29" fillId="11" borderId="13" xfId="0" applyFont="1" applyFill="1" applyBorder="1" applyAlignment="1"/>
    <xf numFmtId="0" fontId="8" fillId="11" borderId="4" xfId="0" applyFont="1" applyFill="1" applyBorder="1" applyAlignment="1">
      <alignment vertical="center"/>
    </xf>
    <xf numFmtId="0" fontId="8" fillId="11" borderId="10" xfId="0" applyFont="1" applyFill="1" applyBorder="1" applyAlignment="1">
      <alignment vertical="center"/>
    </xf>
    <xf numFmtId="0" fontId="8" fillId="11" borderId="13" xfId="0" applyFont="1" applyFill="1" applyBorder="1" applyAlignment="1">
      <alignment vertical="center" wrapText="1"/>
    </xf>
    <xf numFmtId="0" fontId="8" fillId="11" borderId="13" xfId="0" applyFont="1" applyFill="1" applyBorder="1" applyAlignment="1">
      <alignment vertical="center"/>
    </xf>
    <xf numFmtId="14" fontId="2" fillId="0" borderId="0" xfId="0" applyNumberFormat="1" applyFont="1"/>
    <xf numFmtId="2" fontId="2" fillId="0" borderId="0" xfId="0" applyNumberFormat="1" applyFont="1"/>
    <xf numFmtId="0" fontId="4" fillId="0" borderId="0" xfId="0" applyFont="1"/>
    <xf numFmtId="4" fontId="4" fillId="12" borderId="0" xfId="0" applyNumberFormat="1" applyFont="1" applyFill="1"/>
    <xf numFmtId="3" fontId="4" fillId="12" borderId="0" xfId="0" applyNumberFormat="1" applyFont="1" applyFill="1"/>
    <xf numFmtId="3" fontId="0" fillId="0" borderId="1" xfId="0" applyNumberFormat="1" applyBorder="1"/>
    <xf numFmtId="3" fontId="4" fillId="0" borderId="0" xfId="0" applyNumberFormat="1" applyFont="1"/>
    <xf numFmtId="0" fontId="4" fillId="0" borderId="0" xfId="0" applyFont="1" applyAlignment="1">
      <alignment horizontal="center"/>
    </xf>
    <xf numFmtId="2" fontId="6" fillId="0" borderId="0" xfId="0" applyNumberFormat="1" applyFont="1"/>
    <xf numFmtId="3" fontId="6" fillId="0" borderId="0" xfId="0" applyNumberFormat="1" applyFont="1"/>
    <xf numFmtId="3" fontId="0" fillId="2" borderId="2" xfId="0" applyNumberFormat="1" applyFill="1" applyBorder="1"/>
    <xf numFmtId="0" fontId="6" fillId="0" borderId="3" xfId="0" applyFont="1" applyBorder="1"/>
    <xf numFmtId="9" fontId="4" fillId="12" borderId="0" xfId="2" applyFont="1" applyFill="1" applyAlignment="1">
      <alignment horizontal="center"/>
    </xf>
    <xf numFmtId="3" fontId="4" fillId="0" borderId="0" xfId="0" applyNumberFormat="1" applyFont="1" applyBorder="1"/>
    <xf numFmtId="3" fontId="6" fillId="0" borderId="1" xfId="0" applyNumberFormat="1" applyFont="1" applyBorder="1"/>
    <xf numFmtId="3" fontId="0" fillId="10" borderId="0" xfId="0" applyNumberFormat="1" applyFill="1"/>
    <xf numFmtId="3" fontId="0" fillId="0" borderId="0" xfId="0" applyNumberFormat="1" applyFill="1"/>
    <xf numFmtId="3" fontId="6" fillId="2" borderId="0" xfId="0" applyNumberFormat="1" applyFont="1" applyFill="1"/>
    <xf numFmtId="3" fontId="6" fillId="10" borderId="0" xfId="0" applyNumberFormat="1" applyFont="1" applyFill="1"/>
    <xf numFmtId="0" fontId="2" fillId="0" borderId="0" xfId="0" applyFont="1" applyFill="1" applyBorder="1"/>
    <xf numFmtId="168" fontId="27" fillId="0" borderId="0" xfId="0" applyNumberFormat="1" applyFont="1"/>
    <xf numFmtId="0" fontId="15" fillId="0" borderId="0" xfId="0" applyFont="1"/>
    <xf numFmtId="0" fontId="2" fillId="11" borderId="18" xfId="0" applyFont="1" applyFill="1" applyBorder="1" applyAlignment="1">
      <alignment wrapText="1"/>
    </xf>
    <xf numFmtId="0" fontId="0" fillId="11" borderId="0" xfId="0" applyFont="1" applyFill="1" applyAlignment="1">
      <alignment vertical="center"/>
    </xf>
    <xf numFmtId="0" fontId="0" fillId="11" borderId="0" xfId="0" applyFill="1" applyAlignment="1">
      <alignment vertical="center"/>
    </xf>
    <xf numFmtId="0" fontId="0" fillId="11" borderId="3" xfId="0" applyFill="1" applyBorder="1" applyAlignment="1">
      <alignment vertical="center" wrapText="1"/>
    </xf>
    <xf numFmtId="0" fontId="27" fillId="11" borderId="32" xfId="0" applyFont="1" applyFill="1" applyBorder="1" applyAlignment="1">
      <alignment wrapText="1"/>
    </xf>
    <xf numFmtId="0" fontId="6" fillId="0" borderId="18" xfId="0" applyFont="1" applyFill="1" applyBorder="1" applyAlignment="1">
      <alignment wrapText="1"/>
    </xf>
    <xf numFmtId="0" fontId="8" fillId="11" borderId="33" xfId="0" quotePrefix="1" applyFont="1" applyFill="1" applyBorder="1" applyAlignment="1">
      <alignment horizontal="center" vertical="center"/>
    </xf>
    <xf numFmtId="0" fontId="29" fillId="11" borderId="12" xfId="0" applyFont="1" applyFill="1" applyBorder="1" applyAlignment="1">
      <alignment horizontal="left" vertical="center" wrapText="1"/>
    </xf>
    <xf numFmtId="0" fontId="29" fillId="11" borderId="4" xfId="0" applyFont="1" applyFill="1" applyBorder="1" applyAlignment="1">
      <alignment vertical="center"/>
    </xf>
    <xf numFmtId="0" fontId="29" fillId="11" borderId="11" xfId="0" applyFont="1" applyFill="1" applyBorder="1" applyAlignment="1">
      <alignment horizontal="left" vertical="center" wrapText="1"/>
    </xf>
    <xf numFmtId="0" fontId="29" fillId="11" borderId="1" xfId="0" applyFont="1" applyFill="1" applyBorder="1" applyAlignment="1">
      <alignment vertical="center"/>
    </xf>
    <xf numFmtId="0" fontId="8" fillId="0" borderId="0" xfId="0" applyFont="1" applyAlignment="1">
      <alignment horizontal="left" vertical="center" indent="10"/>
    </xf>
    <xf numFmtId="0" fontId="11" fillId="0" borderId="0" xfId="0" applyFont="1" applyAlignment="1">
      <alignment horizontal="left" vertical="center" indent="10"/>
    </xf>
    <xf numFmtId="0" fontId="8" fillId="0" borderId="0" xfId="0" applyFont="1" applyAlignment="1">
      <alignment horizontal="left" vertical="center" indent="5"/>
    </xf>
    <xf numFmtId="0" fontId="8" fillId="0" borderId="0" xfId="0" applyFont="1" applyAlignment="1">
      <alignment horizontal="left" vertical="center"/>
    </xf>
    <xf numFmtId="0" fontId="11" fillId="0" borderId="0" xfId="0" applyFont="1" applyAlignment="1">
      <alignment vertical="center"/>
    </xf>
    <xf numFmtId="0" fontId="2" fillId="8" borderId="14" xfId="0" applyFont="1" applyFill="1" applyBorder="1" applyAlignment="1">
      <alignment vertical="center"/>
    </xf>
    <xf numFmtId="0" fontId="0" fillId="8" borderId="15" xfId="0" applyFill="1" applyBorder="1" applyAlignment="1">
      <alignment vertical="center"/>
    </xf>
    <xf numFmtId="9" fontId="0" fillId="8" borderId="15" xfId="2" applyFont="1" applyFill="1" applyBorder="1" applyAlignment="1">
      <alignment horizontal="center" vertical="center"/>
    </xf>
    <xf numFmtId="0" fontId="2" fillId="8" borderId="16" xfId="0" applyFont="1" applyFill="1" applyBorder="1" applyAlignment="1">
      <alignment horizontal="right" vertical="center" wrapText="1"/>
    </xf>
    <xf numFmtId="0" fontId="2" fillId="10" borderId="9" xfId="0" applyFont="1" applyFill="1" applyBorder="1" applyAlignment="1">
      <alignment horizontal="center" vertical="center" wrapText="1"/>
    </xf>
    <xf numFmtId="0" fontId="13" fillId="6" borderId="35" xfId="0" applyFont="1" applyFill="1" applyBorder="1"/>
    <xf numFmtId="0" fontId="2" fillId="6" borderId="36" xfId="0" applyFont="1" applyFill="1" applyBorder="1" applyAlignment="1">
      <alignment vertical="center"/>
    </xf>
    <xf numFmtId="0" fontId="32" fillId="0" borderId="0" xfId="0" applyFont="1" applyAlignment="1">
      <alignment vertical="center"/>
    </xf>
    <xf numFmtId="0" fontId="15" fillId="0" borderId="3" xfId="0" applyFont="1" applyBorder="1"/>
    <xf numFmtId="0" fontId="8" fillId="0" borderId="0" xfId="0" applyFont="1" applyAlignment="1">
      <alignment vertical="center" wrapText="1"/>
    </xf>
    <xf numFmtId="0" fontId="7" fillId="0" borderId="0" xfId="0" applyFont="1" applyAlignment="1">
      <alignment vertical="center" wrapText="1"/>
    </xf>
    <xf numFmtId="9" fontId="37" fillId="11" borderId="0" xfId="2" applyFont="1" applyFill="1" applyAlignment="1">
      <alignment vertical="center"/>
    </xf>
    <xf numFmtId="0" fontId="35" fillId="0" borderId="0" xfId="0" applyFont="1" applyAlignment="1">
      <alignment vertical="center" wrapText="1"/>
    </xf>
    <xf numFmtId="0" fontId="0" fillId="0" borderId="0" xfId="0" applyAlignment="1">
      <alignment vertical="center" wrapText="1"/>
    </xf>
    <xf numFmtId="167" fontId="0" fillId="0" borderId="0" xfId="0" applyNumberFormat="1" applyAlignment="1">
      <alignment wrapText="1"/>
    </xf>
    <xf numFmtId="166" fontId="0" fillId="0" borderId="0" xfId="0" applyNumberFormat="1" applyAlignment="1">
      <alignment wrapText="1"/>
    </xf>
    <xf numFmtId="0" fontId="35" fillId="11" borderId="12" xfId="0" applyFont="1" applyFill="1" applyBorder="1" applyAlignment="1">
      <alignment vertical="center" wrapText="1"/>
    </xf>
    <xf numFmtId="0" fontId="25" fillId="0" borderId="0" xfId="0" applyFont="1" applyAlignment="1">
      <alignment horizontal="left" vertical="center"/>
    </xf>
    <xf numFmtId="0" fontId="6" fillId="6" borderId="8" xfId="0" applyFont="1" applyFill="1" applyBorder="1" applyAlignment="1">
      <alignment horizontal="left" wrapText="1"/>
    </xf>
    <xf numFmtId="0" fontId="6" fillId="6" borderId="5" xfId="0" applyFont="1" applyFill="1" applyBorder="1" applyAlignment="1">
      <alignment horizontal="left" wrapText="1"/>
    </xf>
    <xf numFmtId="0" fontId="3" fillId="6" borderId="0" xfId="0" applyFont="1" applyFill="1" applyBorder="1" applyAlignment="1">
      <alignment horizontal="center"/>
    </xf>
    <xf numFmtId="0" fontId="0" fillId="6" borderId="20" xfId="0" applyFill="1" applyBorder="1" applyAlignment="1">
      <alignment horizontal="left" wrapText="1"/>
    </xf>
    <xf numFmtId="0" fontId="0" fillId="6" borderId="21" xfId="0" applyFill="1" applyBorder="1" applyAlignment="1">
      <alignment horizontal="left" wrapText="1"/>
    </xf>
    <xf numFmtId="0" fontId="6" fillId="0" borderId="6" xfId="0" applyFont="1" applyFill="1" applyBorder="1" applyAlignment="1">
      <alignment horizontal="center" vertical="center"/>
    </xf>
    <xf numFmtId="0" fontId="6" fillId="0" borderId="7" xfId="0" applyFont="1" applyFill="1" applyBorder="1" applyAlignment="1">
      <alignment horizontal="center" vertical="center"/>
    </xf>
    <xf numFmtId="0" fontId="25" fillId="0" borderId="0" xfId="0" applyFont="1" applyAlignment="1">
      <alignment horizontal="left" vertical="center" wrapText="1"/>
    </xf>
    <xf numFmtId="0" fontId="28" fillId="11" borderId="6" xfId="0" applyFont="1" applyFill="1" applyBorder="1" applyAlignment="1">
      <alignment horizontal="center" vertical="center"/>
    </xf>
    <xf numFmtId="0" fontId="28" fillId="11" borderId="32" xfId="0" applyFont="1" applyFill="1" applyBorder="1" applyAlignment="1">
      <alignment horizontal="center" vertical="center"/>
    </xf>
    <xf numFmtId="0" fontId="28" fillId="11" borderId="7" xfId="0" applyFont="1" applyFill="1" applyBorder="1" applyAlignment="1">
      <alignment horizontal="center" vertical="center"/>
    </xf>
    <xf numFmtId="0" fontId="0" fillId="10" borderId="6" xfId="0" applyFont="1" applyFill="1" applyBorder="1" applyAlignment="1">
      <alignment horizontal="center" wrapText="1"/>
    </xf>
    <xf numFmtId="0" fontId="0" fillId="10" borderId="32" xfId="0" applyFont="1" applyFill="1" applyBorder="1" applyAlignment="1">
      <alignment horizontal="center" wrapText="1"/>
    </xf>
    <xf numFmtId="0" fontId="0" fillId="10" borderId="7" xfId="0" applyFont="1" applyFill="1" applyBorder="1" applyAlignment="1">
      <alignment horizontal="center" wrapText="1"/>
    </xf>
    <xf numFmtId="0" fontId="2" fillId="6" borderId="34" xfId="0" applyFont="1" applyFill="1" applyBorder="1" applyAlignment="1">
      <alignment horizontal="center" vertical="center"/>
    </xf>
    <xf numFmtId="0" fontId="6" fillId="0" borderId="32" xfId="0" applyFont="1" applyFill="1" applyBorder="1" applyAlignment="1">
      <alignment horizontal="center" vertical="center"/>
    </xf>
    <xf numFmtId="0" fontId="0" fillId="6" borderId="11" xfId="0" applyFill="1" applyBorder="1" applyAlignment="1">
      <alignment horizontal="center" vertical="center"/>
    </xf>
    <xf numFmtId="0" fontId="0" fillId="6" borderId="12" xfId="0" applyFill="1" applyBorder="1" applyAlignment="1">
      <alignment horizontal="center" vertical="center"/>
    </xf>
    <xf numFmtId="0" fontId="0" fillId="6" borderId="13" xfId="0" applyFill="1" applyBorder="1" applyAlignment="1">
      <alignment horizontal="center" vertical="center"/>
    </xf>
    <xf numFmtId="0" fontId="0" fillId="6" borderId="30" xfId="0" applyFill="1" applyBorder="1" applyAlignment="1">
      <alignment horizontal="left" vertical="center" wrapText="1"/>
    </xf>
    <xf numFmtId="0" fontId="0" fillId="6" borderId="4" xfId="0" applyFill="1" applyBorder="1" applyAlignment="1">
      <alignment horizontal="left" vertical="center" wrapText="1"/>
    </xf>
    <xf numFmtId="0" fontId="0" fillId="6" borderId="33" xfId="0" applyFill="1" applyBorder="1" applyAlignment="1">
      <alignment horizontal="left" vertical="center" wrapText="1"/>
    </xf>
    <xf numFmtId="0" fontId="0" fillId="6" borderId="0" xfId="0" applyFill="1" applyBorder="1" applyAlignment="1">
      <alignment horizontal="left" vertical="center" wrapText="1"/>
    </xf>
    <xf numFmtId="0" fontId="0" fillId="6" borderId="10" xfId="0" applyFill="1" applyBorder="1" applyAlignment="1">
      <alignment horizontal="left" vertical="center" wrapText="1"/>
    </xf>
    <xf numFmtId="0" fontId="0" fillId="6" borderId="1" xfId="0" applyFill="1" applyBorder="1" applyAlignment="1">
      <alignment horizontal="left" vertical="center" wrapText="1"/>
    </xf>
    <xf numFmtId="0" fontId="9" fillId="0" borderId="0" xfId="0" applyFont="1" applyFill="1" applyAlignment="1">
      <alignment horizontal="left" vertical="center" wrapText="1"/>
    </xf>
    <xf numFmtId="0" fontId="29" fillId="11" borderId="5" xfId="0" applyFont="1" applyFill="1" applyBorder="1" applyAlignment="1">
      <alignment horizontal="left" vertical="center" wrapText="1"/>
    </xf>
    <xf numFmtId="0" fontId="29" fillId="11" borderId="9" xfId="0" applyFont="1" applyFill="1" applyBorder="1" applyAlignment="1">
      <alignment horizontal="left" vertical="center" wrapText="1"/>
    </xf>
    <xf numFmtId="0" fontId="29" fillId="11" borderId="4" xfId="0" applyFont="1" applyFill="1" applyBorder="1" applyAlignment="1">
      <alignment horizontal="left" vertical="center" wrapText="1"/>
    </xf>
    <xf numFmtId="0" fontId="29" fillId="11" borderId="11" xfId="0" applyFont="1" applyFill="1" applyBorder="1" applyAlignment="1">
      <alignment horizontal="left" vertical="center" wrapText="1"/>
    </xf>
    <xf numFmtId="0" fontId="30" fillId="11" borderId="0" xfId="0" applyFont="1" applyFill="1" applyBorder="1" applyAlignment="1">
      <alignment horizontal="left" vertical="center" wrapText="1"/>
    </xf>
    <xf numFmtId="0" fontId="0" fillId="0" borderId="0" xfId="0" applyFill="1" applyAlignment="1">
      <alignment horizontal="center" vertical="center" wrapText="1"/>
    </xf>
    <xf numFmtId="0" fontId="0" fillId="6" borderId="8" xfId="0" applyFill="1" applyBorder="1" applyAlignment="1">
      <alignment horizontal="left" wrapText="1"/>
    </xf>
    <xf numFmtId="0" fontId="0" fillId="6" borderId="5" xfId="0" applyFill="1" applyBorder="1" applyAlignment="1">
      <alignment horizontal="left" wrapText="1"/>
    </xf>
    <xf numFmtId="0" fontId="4" fillId="7" borderId="6" xfId="0" applyFont="1" applyFill="1" applyBorder="1" applyAlignment="1">
      <alignment horizontal="center" vertical="center"/>
    </xf>
    <xf numFmtId="0" fontId="4" fillId="7" borderId="7" xfId="0" applyFont="1" applyFill="1" applyBorder="1" applyAlignment="1">
      <alignment horizontal="center" vertical="center"/>
    </xf>
  </cellXfs>
  <cellStyles count="3">
    <cellStyle name="Comma" xfId="1" builtinId="3"/>
    <cellStyle name="Normal" xfId="0" builtinId="0"/>
    <cellStyle name="Percent" xfId="2" builtinId="5"/>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66"/>
  <sheetViews>
    <sheetView topLeftCell="A30" zoomScale="144" zoomScaleNormal="80" zoomScalePageLayoutView="90" workbookViewId="0">
      <selection activeCell="F40" sqref="F40"/>
    </sheetView>
  </sheetViews>
  <sheetFormatPr defaultColWidth="8.85546875" defaultRowHeight="15" x14ac:dyDescent="0.25"/>
  <cols>
    <col min="1" max="1" width="3.140625" style="12" customWidth="1"/>
    <col min="2" max="2" width="2.140625" style="12" customWidth="1"/>
    <col min="3" max="3" width="3.140625" style="12" customWidth="1"/>
    <col min="4" max="4" width="26.5703125" style="12" customWidth="1"/>
    <col min="5" max="5" width="13.42578125" style="12" customWidth="1"/>
    <col min="6" max="6" width="15.140625" style="12" customWidth="1"/>
    <col min="7" max="7" width="4.140625" style="12" customWidth="1"/>
    <col min="8" max="8" width="1.140625" style="26" customWidth="1"/>
    <col min="9" max="9" width="125.140625" style="89" customWidth="1"/>
    <col min="10" max="10" width="11.85546875" style="233" customWidth="1"/>
    <col min="11" max="11" width="75.42578125" style="12" customWidth="1"/>
    <col min="12" max="16384" width="8.85546875" style="12"/>
  </cols>
  <sheetData>
    <row r="1" spans="1:10" s="37" customFormat="1" ht="29.25" customHeight="1" x14ac:dyDescent="0.25">
      <c r="A1" s="289" t="s">
        <v>311</v>
      </c>
      <c r="B1" s="290"/>
      <c r="C1" s="290"/>
      <c r="D1" s="290"/>
      <c r="E1" s="290"/>
      <c r="F1" s="290"/>
      <c r="G1" s="290"/>
      <c r="H1" s="291"/>
      <c r="I1" s="292"/>
      <c r="J1" s="293" t="s">
        <v>263</v>
      </c>
    </row>
    <row r="2" spans="1:10" x14ac:dyDescent="0.25">
      <c r="A2" s="147"/>
      <c r="B2" s="100"/>
      <c r="C2" s="101"/>
      <c r="D2" s="101"/>
      <c r="E2" s="101"/>
      <c r="F2" s="101"/>
      <c r="G2" s="102"/>
      <c r="H2" s="85"/>
      <c r="I2" s="148" t="s">
        <v>20</v>
      </c>
      <c r="J2" s="137"/>
    </row>
    <row r="3" spans="1:10" x14ac:dyDescent="0.25">
      <c r="A3" s="149" t="s">
        <v>2</v>
      </c>
      <c r="B3" s="80"/>
      <c r="C3" s="80"/>
      <c r="D3" s="184"/>
      <c r="E3" s="210" t="s">
        <v>279</v>
      </c>
      <c r="F3" s="185">
        <v>3500000000</v>
      </c>
      <c r="G3" s="186"/>
      <c r="H3" s="85"/>
      <c r="I3" s="153"/>
      <c r="J3" s="228"/>
    </row>
    <row r="4" spans="1:10" ht="30" x14ac:dyDescent="0.25">
      <c r="A4" s="195" t="s">
        <v>23</v>
      </c>
      <c r="B4" s="101"/>
      <c r="C4" s="101"/>
      <c r="D4" s="101"/>
      <c r="E4" s="172"/>
      <c r="F4" s="172"/>
      <c r="G4" s="102"/>
      <c r="H4" s="75"/>
      <c r="I4" s="211" t="s">
        <v>310</v>
      </c>
      <c r="J4" s="228"/>
    </row>
    <row r="5" spans="1:10" ht="30" x14ac:dyDescent="0.25">
      <c r="A5" s="196"/>
      <c r="B5" s="88" t="s">
        <v>24</v>
      </c>
      <c r="C5" s="83"/>
      <c r="D5" s="83"/>
      <c r="E5" s="173">
        <v>0.05</v>
      </c>
      <c r="F5" s="174">
        <f>E5*$F$3</f>
        <v>175000000</v>
      </c>
      <c r="G5" s="171"/>
      <c r="H5" s="75"/>
      <c r="I5" s="151" t="s">
        <v>312</v>
      </c>
      <c r="J5" s="228">
        <v>8</v>
      </c>
    </row>
    <row r="6" spans="1:10" x14ac:dyDescent="0.25">
      <c r="A6" s="152"/>
      <c r="B6" s="88" t="s">
        <v>207</v>
      </c>
      <c r="C6" s="83"/>
      <c r="D6" s="83"/>
      <c r="E6" s="173">
        <v>0.04</v>
      </c>
      <c r="F6" s="174">
        <f>E6*$F$3</f>
        <v>140000000</v>
      </c>
      <c r="G6" s="171"/>
      <c r="H6" s="75"/>
      <c r="I6" s="153"/>
      <c r="J6" s="228"/>
    </row>
    <row r="7" spans="1:10" x14ac:dyDescent="0.25">
      <c r="A7" s="152"/>
      <c r="B7" s="88" t="s">
        <v>208</v>
      </c>
      <c r="C7" s="83"/>
      <c r="D7" s="83"/>
      <c r="E7" s="173">
        <v>0.03</v>
      </c>
      <c r="F7" s="174">
        <f>E7*$F$3</f>
        <v>105000000</v>
      </c>
      <c r="G7" s="171"/>
      <c r="H7" s="75"/>
      <c r="I7" s="154" t="s">
        <v>229</v>
      </c>
      <c r="J7" s="229"/>
    </row>
    <row r="8" spans="1:10" ht="30" x14ac:dyDescent="0.25">
      <c r="A8" s="152"/>
      <c r="B8" s="200" t="s">
        <v>203</v>
      </c>
      <c r="C8" s="100"/>
      <c r="D8" s="100"/>
      <c r="E8" s="175">
        <v>0.03</v>
      </c>
      <c r="F8" s="176">
        <f>E8*$F$3</f>
        <v>105000000</v>
      </c>
      <c r="G8" s="102"/>
      <c r="H8" s="75"/>
      <c r="I8" s="211" t="s">
        <v>404</v>
      </c>
      <c r="J8" s="228" t="s">
        <v>290</v>
      </c>
    </row>
    <row r="9" spans="1:10" x14ac:dyDescent="0.25">
      <c r="A9" s="197" t="s">
        <v>29</v>
      </c>
      <c r="B9" s="83"/>
      <c r="C9" s="83"/>
      <c r="D9" s="83"/>
      <c r="E9" s="173"/>
      <c r="F9" s="174"/>
      <c r="G9" s="171"/>
      <c r="H9" s="75"/>
      <c r="I9" s="151" t="s">
        <v>79</v>
      </c>
      <c r="J9" s="228"/>
    </row>
    <row r="10" spans="1:10" ht="45" x14ac:dyDescent="0.25">
      <c r="A10" s="149"/>
      <c r="B10" s="201" t="s">
        <v>273</v>
      </c>
      <c r="C10" s="83"/>
      <c r="D10" s="83"/>
      <c r="E10" s="173">
        <v>0.1</v>
      </c>
      <c r="F10" s="174">
        <f>E10*$F$3</f>
        <v>350000000</v>
      </c>
      <c r="G10" s="171"/>
      <c r="H10" s="75"/>
      <c r="I10" s="208" t="s">
        <v>313</v>
      </c>
      <c r="J10" s="228">
        <v>1</v>
      </c>
    </row>
    <row r="11" spans="1:10" ht="31.5" customHeight="1" x14ac:dyDescent="0.25">
      <c r="A11" s="152"/>
      <c r="B11" s="307" t="s">
        <v>274</v>
      </c>
      <c r="C11" s="308"/>
      <c r="D11" s="308"/>
      <c r="E11" s="173">
        <v>0.15</v>
      </c>
      <c r="F11" s="174">
        <f>E11*$F$3</f>
        <v>525000000</v>
      </c>
      <c r="G11" s="171"/>
      <c r="H11" s="75"/>
      <c r="I11" s="208" t="s">
        <v>278</v>
      </c>
      <c r="J11" s="228" t="s">
        <v>427</v>
      </c>
    </row>
    <row r="12" spans="1:10" x14ac:dyDescent="0.25">
      <c r="A12" s="152"/>
      <c r="B12" s="307" t="s">
        <v>275</v>
      </c>
      <c r="C12" s="308"/>
      <c r="D12" s="308"/>
      <c r="E12" s="175">
        <v>0.1</v>
      </c>
      <c r="F12" s="176">
        <f>E12*$F$3</f>
        <v>350000000</v>
      </c>
      <c r="G12" s="102"/>
      <c r="H12" s="75"/>
      <c r="I12" s="208" t="s">
        <v>277</v>
      </c>
      <c r="J12" s="228">
        <v>1</v>
      </c>
    </row>
    <row r="13" spans="1:10" ht="16.350000000000001" customHeight="1" x14ac:dyDescent="0.25">
      <c r="A13" s="197" t="s">
        <v>25</v>
      </c>
      <c r="B13" s="179"/>
      <c r="C13" s="179"/>
      <c r="D13" s="179"/>
      <c r="E13" s="173"/>
      <c r="F13" s="209">
        <v>1750000000</v>
      </c>
      <c r="G13" s="171"/>
      <c r="H13" s="75"/>
      <c r="I13" s="151"/>
      <c r="J13" s="228"/>
    </row>
    <row r="14" spans="1:10" x14ac:dyDescent="0.25">
      <c r="A14" s="197" t="s">
        <v>26</v>
      </c>
      <c r="B14" s="83"/>
      <c r="C14" s="179"/>
      <c r="D14" s="179"/>
      <c r="E14" s="173"/>
      <c r="F14" s="174">
        <f>F3-F13</f>
        <v>1750000000</v>
      </c>
      <c r="G14" s="171"/>
      <c r="H14" s="180"/>
      <c r="I14" s="151"/>
      <c r="J14" s="228"/>
    </row>
    <row r="15" spans="1:10" ht="18.75" customHeight="1" x14ac:dyDescent="0.25">
      <c r="A15" s="152"/>
      <c r="B15" s="82"/>
      <c r="C15" s="309" t="s">
        <v>287</v>
      </c>
      <c r="D15" s="309"/>
      <c r="E15" s="309"/>
      <c r="F15" s="309"/>
      <c r="G15" s="103"/>
      <c r="H15" s="75"/>
      <c r="I15" s="310" t="s">
        <v>202</v>
      </c>
      <c r="J15" s="228"/>
    </row>
    <row r="16" spans="1:10" ht="41.1" customHeight="1" x14ac:dyDescent="0.25">
      <c r="A16" s="149" t="s">
        <v>3</v>
      </c>
      <c r="B16" s="80"/>
      <c r="C16" s="80"/>
      <c r="D16" s="80"/>
      <c r="E16" s="104" t="s">
        <v>181</v>
      </c>
      <c r="F16" s="104" t="s">
        <v>201</v>
      </c>
      <c r="G16" s="103"/>
      <c r="H16" s="75"/>
      <c r="I16" s="311"/>
      <c r="J16" s="228">
        <v>8</v>
      </c>
    </row>
    <row r="17" spans="1:11" x14ac:dyDescent="0.25">
      <c r="A17" s="152"/>
      <c r="B17" s="80" t="s">
        <v>6</v>
      </c>
      <c r="C17" s="80"/>
      <c r="D17" s="80"/>
      <c r="E17" s="181" t="s">
        <v>195</v>
      </c>
      <c r="F17" s="182" t="s">
        <v>189</v>
      </c>
      <c r="G17" s="103"/>
      <c r="H17" s="75"/>
      <c r="I17" s="151" t="s">
        <v>46</v>
      </c>
      <c r="J17" s="228"/>
    </row>
    <row r="18" spans="1:11" x14ac:dyDescent="0.25">
      <c r="A18" s="152"/>
      <c r="B18" s="80" t="s">
        <v>0</v>
      </c>
      <c r="C18" s="80"/>
      <c r="D18" s="80"/>
      <c r="E18" s="181" t="s">
        <v>196</v>
      </c>
      <c r="F18" s="182" t="s">
        <v>191</v>
      </c>
      <c r="G18" s="103"/>
      <c r="H18" s="75"/>
      <c r="I18" s="151" t="s">
        <v>47</v>
      </c>
      <c r="J18" s="228"/>
    </row>
    <row r="19" spans="1:11" x14ac:dyDescent="0.25">
      <c r="A19" s="152"/>
      <c r="B19" s="80" t="s">
        <v>1</v>
      </c>
      <c r="C19" s="80"/>
      <c r="D19" s="80"/>
      <c r="E19" s="181" t="s">
        <v>197</v>
      </c>
      <c r="F19" s="182" t="s">
        <v>190</v>
      </c>
      <c r="G19" s="103"/>
      <c r="H19" s="75"/>
      <c r="I19" s="151" t="s">
        <v>48</v>
      </c>
      <c r="J19" s="228"/>
    </row>
    <row r="20" spans="1:11" x14ac:dyDescent="0.25">
      <c r="A20" s="152"/>
      <c r="B20" s="80" t="s">
        <v>5</v>
      </c>
      <c r="C20" s="80"/>
      <c r="D20" s="80"/>
      <c r="E20" s="181" t="s">
        <v>198</v>
      </c>
      <c r="F20" s="182" t="s">
        <v>192</v>
      </c>
      <c r="G20" s="103"/>
      <c r="H20" s="75"/>
      <c r="I20" s="151" t="s">
        <v>49</v>
      </c>
      <c r="J20" s="228"/>
    </row>
    <row r="21" spans="1:11" x14ac:dyDescent="0.25">
      <c r="A21" s="152"/>
      <c r="B21" s="80" t="s">
        <v>4</v>
      </c>
      <c r="C21" s="80"/>
      <c r="D21" s="80"/>
      <c r="E21" s="181" t="s">
        <v>199</v>
      </c>
      <c r="F21" s="182" t="s">
        <v>193</v>
      </c>
      <c r="G21" s="103"/>
      <c r="H21" s="75"/>
      <c r="I21" s="151" t="s">
        <v>50</v>
      </c>
      <c r="J21" s="228"/>
    </row>
    <row r="22" spans="1:11" x14ac:dyDescent="0.25">
      <c r="A22" s="152"/>
      <c r="B22" s="80" t="s">
        <v>22</v>
      </c>
      <c r="C22" s="80"/>
      <c r="D22" s="80"/>
      <c r="E22" s="181" t="s">
        <v>200</v>
      </c>
      <c r="F22" s="182" t="s">
        <v>194</v>
      </c>
      <c r="G22" s="103"/>
      <c r="H22" s="75"/>
      <c r="I22" s="151" t="s">
        <v>51</v>
      </c>
      <c r="J22" s="228"/>
    </row>
    <row r="23" spans="1:11" ht="15.75" thickBot="1" x14ac:dyDescent="0.3">
      <c r="A23" s="152"/>
      <c r="B23" s="80"/>
      <c r="C23" s="80"/>
      <c r="D23" s="80"/>
      <c r="E23" s="183">
        <v>1</v>
      </c>
      <c r="F23" s="188">
        <f>F14</f>
        <v>1750000000</v>
      </c>
      <c r="G23" s="103"/>
      <c r="H23" s="75"/>
      <c r="I23" s="153"/>
      <c r="J23" s="228"/>
    </row>
    <row r="24" spans="1:11" ht="15.75" thickTop="1" x14ac:dyDescent="0.25">
      <c r="A24" s="155" t="s">
        <v>82</v>
      </c>
      <c r="B24" s="105"/>
      <c r="C24" s="105"/>
      <c r="D24" s="105"/>
      <c r="E24" s="105"/>
      <c r="F24" s="105"/>
      <c r="G24" s="106" t="s">
        <v>7</v>
      </c>
      <c r="H24" s="75"/>
      <c r="I24" s="151"/>
      <c r="J24" s="228"/>
    </row>
    <row r="25" spans="1:11" x14ac:dyDescent="0.25">
      <c r="A25" s="156" t="s">
        <v>64</v>
      </c>
      <c r="B25" s="97" t="s">
        <v>58</v>
      </c>
      <c r="C25" s="98"/>
      <c r="D25" s="98"/>
      <c r="E25" s="98"/>
      <c r="F25" s="99">
        <v>10</v>
      </c>
      <c r="G25" s="312">
        <v>10</v>
      </c>
      <c r="H25" s="75"/>
      <c r="I25" s="157" t="s">
        <v>228</v>
      </c>
      <c r="J25" s="230"/>
    </row>
    <row r="26" spans="1:11" ht="90" x14ac:dyDescent="0.25">
      <c r="A26" s="156" t="s">
        <v>65</v>
      </c>
      <c r="B26" s="86" t="s">
        <v>206</v>
      </c>
      <c r="C26" s="76"/>
      <c r="D26" s="76"/>
      <c r="E26" s="76"/>
      <c r="F26" s="77">
        <v>10</v>
      </c>
      <c r="G26" s="313"/>
      <c r="H26" s="75"/>
      <c r="I26" s="208" t="s">
        <v>276</v>
      </c>
      <c r="J26" s="231" t="s">
        <v>424</v>
      </c>
    </row>
    <row r="27" spans="1:11" ht="17.25" customHeight="1" x14ac:dyDescent="0.25">
      <c r="A27" s="321">
        <v>2</v>
      </c>
      <c r="B27" s="326" t="s">
        <v>269</v>
      </c>
      <c r="C27" s="327"/>
      <c r="D27" s="327"/>
      <c r="E27" s="327"/>
      <c r="F27" s="323"/>
      <c r="G27" s="312">
        <v>20</v>
      </c>
      <c r="H27" s="75"/>
      <c r="I27" s="217"/>
      <c r="J27" s="318" t="s">
        <v>430</v>
      </c>
    </row>
    <row r="28" spans="1:11" x14ac:dyDescent="0.25">
      <c r="A28" s="321"/>
      <c r="B28" s="328"/>
      <c r="C28" s="329"/>
      <c r="D28" s="329"/>
      <c r="E28" s="329"/>
      <c r="F28" s="324"/>
      <c r="G28" s="322"/>
      <c r="H28" s="75"/>
      <c r="I28" s="277" t="s">
        <v>390</v>
      </c>
      <c r="J28" s="319"/>
    </row>
    <row r="29" spans="1:11" x14ac:dyDescent="0.25">
      <c r="A29" s="321"/>
      <c r="B29" s="330"/>
      <c r="C29" s="331"/>
      <c r="D29" s="331"/>
      <c r="E29" s="331"/>
      <c r="F29" s="325"/>
      <c r="G29" s="322"/>
      <c r="H29" s="75"/>
      <c r="I29" s="218"/>
      <c r="J29" s="320"/>
    </row>
    <row r="30" spans="1:11" ht="30" x14ac:dyDescent="0.25">
      <c r="A30" s="160">
        <v>3</v>
      </c>
      <c r="B30" s="86" t="s">
        <v>8</v>
      </c>
      <c r="C30" s="76"/>
      <c r="D30" s="76"/>
      <c r="E30" s="76"/>
      <c r="F30" s="76"/>
      <c r="G30" s="203">
        <v>10</v>
      </c>
      <c r="H30" s="75"/>
      <c r="I30" s="151" t="s">
        <v>188</v>
      </c>
      <c r="J30" s="228" t="s">
        <v>426</v>
      </c>
      <c r="K30" s="89"/>
    </row>
    <row r="31" spans="1:11" x14ac:dyDescent="0.25">
      <c r="A31" s="161">
        <v>4</v>
      </c>
      <c r="B31" s="87" t="s">
        <v>72</v>
      </c>
      <c r="C31" s="79"/>
      <c r="D31" s="79"/>
      <c r="E31" s="79"/>
      <c r="F31" s="79"/>
      <c r="G31" s="203"/>
      <c r="H31" s="75"/>
      <c r="I31" s="216" t="s">
        <v>68</v>
      </c>
      <c r="J31" s="228"/>
    </row>
    <row r="32" spans="1:11" ht="45" x14ac:dyDescent="0.25">
      <c r="A32" s="156">
        <v>4</v>
      </c>
      <c r="B32" s="86" t="s">
        <v>392</v>
      </c>
      <c r="C32" s="76"/>
      <c r="D32" s="76"/>
      <c r="E32" s="76"/>
      <c r="F32" s="76"/>
      <c r="G32" s="203">
        <v>20</v>
      </c>
      <c r="H32" s="75"/>
      <c r="I32" s="278" t="s">
        <v>391</v>
      </c>
      <c r="J32" s="228" t="s">
        <v>425</v>
      </c>
    </row>
    <row r="33" spans="1:10" x14ac:dyDescent="0.25">
      <c r="A33" s="156">
        <v>5</v>
      </c>
      <c r="B33" s="86" t="s">
        <v>66</v>
      </c>
      <c r="C33" s="76"/>
      <c r="D33" s="76"/>
      <c r="E33" s="76"/>
      <c r="F33" s="76"/>
      <c r="G33" s="204">
        <v>10</v>
      </c>
      <c r="H33" s="75"/>
      <c r="I33" s="151" t="s">
        <v>67</v>
      </c>
      <c r="J33" s="228">
        <v>5</v>
      </c>
    </row>
    <row r="34" spans="1:10" x14ac:dyDescent="0.25">
      <c r="A34" s="294">
        <v>6</v>
      </c>
      <c r="B34" s="87" t="s">
        <v>177</v>
      </c>
      <c r="C34" s="79"/>
      <c r="D34" s="79"/>
      <c r="E34" s="79"/>
      <c r="F34" s="79"/>
      <c r="G34" s="204"/>
      <c r="H34" s="75"/>
      <c r="I34" s="151" t="s">
        <v>175</v>
      </c>
      <c r="J34" s="228"/>
    </row>
    <row r="35" spans="1:10" ht="30" x14ac:dyDescent="0.25">
      <c r="A35" s="295" t="s">
        <v>235</v>
      </c>
      <c r="B35" s="86" t="s">
        <v>234</v>
      </c>
      <c r="C35" s="76"/>
      <c r="D35" s="76"/>
      <c r="E35" s="76"/>
      <c r="F35" s="77">
        <v>10</v>
      </c>
      <c r="G35" s="315">
        <v>10</v>
      </c>
      <c r="H35" s="202"/>
      <c r="I35" s="153" t="s">
        <v>381</v>
      </c>
      <c r="J35" s="228"/>
    </row>
    <row r="36" spans="1:10" ht="45" x14ac:dyDescent="0.25">
      <c r="A36" s="156" t="s">
        <v>288</v>
      </c>
      <c r="B36" s="86" t="s">
        <v>205</v>
      </c>
      <c r="C36" s="76"/>
      <c r="D36" s="76"/>
      <c r="E36" s="76"/>
      <c r="F36" s="77">
        <v>10</v>
      </c>
      <c r="G36" s="316"/>
      <c r="H36" s="202"/>
      <c r="I36" s="153" t="s">
        <v>382</v>
      </c>
      <c r="J36" s="228">
        <v>3</v>
      </c>
    </row>
    <row r="37" spans="1:10" x14ac:dyDescent="0.25">
      <c r="A37" s="215" t="s">
        <v>289</v>
      </c>
      <c r="B37" s="214" t="s">
        <v>444</v>
      </c>
      <c r="C37" s="212"/>
      <c r="D37" s="212"/>
      <c r="E37" s="212"/>
      <c r="F37" s="213">
        <v>10</v>
      </c>
      <c r="G37" s="317"/>
      <c r="H37" s="202"/>
      <c r="I37" s="273" t="s">
        <v>383</v>
      </c>
      <c r="J37" s="228">
        <v>3</v>
      </c>
    </row>
    <row r="38" spans="1:10" ht="45" x14ac:dyDescent="0.25">
      <c r="A38" s="156">
        <v>7</v>
      </c>
      <c r="B38" s="86" t="s">
        <v>70</v>
      </c>
      <c r="C38" s="76"/>
      <c r="D38" s="76"/>
      <c r="E38" s="76"/>
      <c r="F38" s="76"/>
      <c r="G38" s="204">
        <v>10</v>
      </c>
      <c r="H38" s="75"/>
      <c r="I38" s="151" t="s">
        <v>76</v>
      </c>
      <c r="J38" s="228">
        <v>6</v>
      </c>
    </row>
    <row r="39" spans="1:10" x14ac:dyDescent="0.25">
      <c r="A39" s="162">
        <v>8</v>
      </c>
      <c r="B39" s="87" t="s">
        <v>178</v>
      </c>
      <c r="C39" s="79"/>
      <c r="D39" s="79"/>
      <c r="E39" s="79"/>
      <c r="F39" s="79"/>
      <c r="G39" s="204"/>
      <c r="H39" s="75"/>
      <c r="I39" s="151" t="s">
        <v>71</v>
      </c>
      <c r="J39" s="228"/>
    </row>
    <row r="40" spans="1:10" ht="30" x14ac:dyDescent="0.25">
      <c r="A40" s="156">
        <v>8</v>
      </c>
      <c r="B40" s="86" t="s">
        <v>52</v>
      </c>
      <c r="C40" s="76"/>
      <c r="D40" s="76"/>
      <c r="E40" s="76"/>
      <c r="F40" s="77"/>
      <c r="G40" s="205">
        <v>12</v>
      </c>
      <c r="H40" s="75"/>
      <c r="I40" s="211" t="s">
        <v>402</v>
      </c>
      <c r="J40" s="228" t="s">
        <v>429</v>
      </c>
    </row>
    <row r="41" spans="1:10" ht="30" x14ac:dyDescent="0.25">
      <c r="A41" s="156">
        <v>9</v>
      </c>
      <c r="B41" s="86" t="s">
        <v>27</v>
      </c>
      <c r="C41" s="76"/>
      <c r="D41" s="76"/>
      <c r="E41" s="76"/>
      <c r="F41" s="77"/>
      <c r="G41" s="206">
        <v>8</v>
      </c>
      <c r="H41" s="75"/>
      <c r="I41" s="211" t="s">
        <v>403</v>
      </c>
      <c r="J41" s="228" t="s">
        <v>428</v>
      </c>
    </row>
    <row r="42" spans="1:10" x14ac:dyDescent="0.25">
      <c r="A42" s="156">
        <v>10</v>
      </c>
      <c r="B42" s="86" t="s">
        <v>9</v>
      </c>
      <c r="C42" s="76"/>
      <c r="D42" s="76"/>
      <c r="E42" s="76"/>
      <c r="F42" s="76"/>
      <c r="G42" s="204">
        <v>10</v>
      </c>
      <c r="H42" s="75"/>
      <c r="I42" s="151" t="s">
        <v>28</v>
      </c>
      <c r="J42" s="228"/>
    </row>
    <row r="43" spans="1:10" s="131" customFormat="1" ht="15.75" customHeight="1" x14ac:dyDescent="0.25">
      <c r="A43" s="163">
        <v>11</v>
      </c>
      <c r="B43" s="128" t="s">
        <v>73</v>
      </c>
      <c r="C43" s="129"/>
      <c r="D43" s="129"/>
      <c r="E43" s="129"/>
      <c r="F43" s="129"/>
      <c r="G43" s="204"/>
      <c r="H43" s="75"/>
      <c r="I43" s="151" t="s">
        <v>77</v>
      </c>
      <c r="J43" s="228"/>
    </row>
    <row r="44" spans="1:10" x14ac:dyDescent="0.25">
      <c r="A44" s="161">
        <v>12</v>
      </c>
      <c r="B44" s="87" t="s">
        <v>74</v>
      </c>
      <c r="C44" s="76"/>
      <c r="D44" s="76"/>
      <c r="E44" s="76"/>
      <c r="F44" s="76"/>
      <c r="G44" s="204"/>
      <c r="H44" s="75"/>
      <c r="I44" s="151" t="s">
        <v>314</v>
      </c>
      <c r="J44" s="228"/>
    </row>
    <row r="45" spans="1:10" x14ac:dyDescent="0.25">
      <c r="A45" s="161">
        <v>13</v>
      </c>
      <c r="B45" s="87" t="s">
        <v>75</v>
      </c>
      <c r="C45" s="76"/>
      <c r="D45" s="76"/>
      <c r="E45" s="76"/>
      <c r="F45" s="76"/>
      <c r="G45" s="204"/>
      <c r="H45" s="75"/>
      <c r="I45" s="151" t="s">
        <v>81</v>
      </c>
      <c r="J45" s="228"/>
    </row>
    <row r="46" spans="1:10" s="22" customFormat="1" x14ac:dyDescent="0.25">
      <c r="A46" s="152"/>
      <c r="B46" s="80"/>
      <c r="C46" s="80"/>
      <c r="D46" s="80"/>
      <c r="E46" s="80"/>
      <c r="F46" s="81" t="s">
        <v>69</v>
      </c>
      <c r="G46" s="207">
        <f>SUM(G25:G45)</f>
        <v>120</v>
      </c>
      <c r="H46" s="75"/>
      <c r="I46" s="164"/>
      <c r="J46" s="228"/>
    </row>
    <row r="47" spans="1:10" x14ac:dyDescent="0.25">
      <c r="A47" s="156" t="s">
        <v>80</v>
      </c>
      <c r="B47" s="88" t="s">
        <v>232</v>
      </c>
      <c r="C47" s="83"/>
      <c r="D47" s="83"/>
      <c r="E47" s="83"/>
      <c r="F47" s="83"/>
      <c r="G47" s="84"/>
      <c r="H47" s="85"/>
      <c r="I47" s="151" t="s">
        <v>231</v>
      </c>
      <c r="J47" s="228" t="s">
        <v>431</v>
      </c>
    </row>
    <row r="48" spans="1:10" s="30" customFormat="1" ht="15.75" thickBot="1" x14ac:dyDescent="0.3">
      <c r="A48" s="165">
        <v>11</v>
      </c>
      <c r="B48" s="166" t="s">
        <v>233</v>
      </c>
      <c r="C48" s="167"/>
      <c r="D48" s="167"/>
      <c r="E48" s="167"/>
      <c r="F48" s="167"/>
      <c r="G48" s="168"/>
      <c r="H48" s="169"/>
      <c r="I48" s="170" t="s">
        <v>83</v>
      </c>
      <c r="J48" s="228" t="s">
        <v>432</v>
      </c>
    </row>
    <row r="49" spans="1:10" s="30" customFormat="1" x14ac:dyDescent="0.25">
      <c r="I49" s="90"/>
      <c r="J49" s="232"/>
    </row>
    <row r="50" spans="1:10" s="30" customFormat="1" x14ac:dyDescent="0.25">
      <c r="A50" s="194" t="s">
        <v>264</v>
      </c>
      <c r="I50" s="90"/>
      <c r="J50" s="232"/>
    </row>
    <row r="51" spans="1:10" s="30" customFormat="1" ht="38.25" customHeight="1" x14ac:dyDescent="0.25">
      <c r="C51" s="44">
        <v>1</v>
      </c>
      <c r="D51" s="314" t="s">
        <v>270</v>
      </c>
      <c r="E51" s="314"/>
      <c r="F51" s="314"/>
      <c r="G51" s="314"/>
      <c r="H51" s="314"/>
      <c r="I51" s="314"/>
      <c r="J51" s="232"/>
    </row>
    <row r="52" spans="1:10" s="30" customFormat="1" x14ac:dyDescent="0.25">
      <c r="C52" s="198">
        <v>2</v>
      </c>
      <c r="D52" s="306" t="s">
        <v>271</v>
      </c>
      <c r="E52" s="306"/>
      <c r="F52" s="306"/>
      <c r="G52" s="306"/>
      <c r="H52" s="306"/>
      <c r="I52" s="306"/>
      <c r="J52" s="232"/>
    </row>
    <row r="53" spans="1:10" s="30" customFormat="1" x14ac:dyDescent="0.25">
      <c r="C53" s="198">
        <v>3</v>
      </c>
      <c r="D53" s="199" t="s">
        <v>272</v>
      </c>
      <c r="E53" s="199"/>
      <c r="F53" s="199"/>
      <c r="G53" s="199"/>
      <c r="H53" s="199"/>
      <c r="I53" s="199"/>
      <c r="J53" s="232"/>
    </row>
    <row r="54" spans="1:10" s="30" customFormat="1" ht="14.45" customHeight="1" x14ac:dyDescent="0.25">
      <c r="C54" s="198"/>
      <c r="D54" s="306"/>
      <c r="E54" s="306"/>
      <c r="F54" s="306"/>
      <c r="G54" s="306"/>
      <c r="H54" s="306"/>
      <c r="I54" s="306"/>
      <c r="J54" s="232"/>
    </row>
    <row r="55" spans="1:10" s="30" customFormat="1" ht="15.75" x14ac:dyDescent="0.25">
      <c r="A55" s="296" t="s">
        <v>423</v>
      </c>
      <c r="B55" s="47"/>
      <c r="C55" s="47"/>
      <c r="D55" s="47"/>
      <c r="I55" s="90"/>
      <c r="J55" s="232"/>
    </row>
    <row r="56" spans="1:10" s="30" customFormat="1" ht="15.75" x14ac:dyDescent="0.25">
      <c r="A56" s="33" t="s">
        <v>410</v>
      </c>
      <c r="I56" s="90"/>
      <c r="J56" s="232"/>
    </row>
    <row r="57" spans="1:10" s="30" customFormat="1" ht="15.75" x14ac:dyDescent="0.25">
      <c r="A57" s="286" t="s">
        <v>413</v>
      </c>
      <c r="C57" s="30">
        <v>4</v>
      </c>
      <c r="D57" s="287" t="s">
        <v>415</v>
      </c>
      <c r="I57" s="90"/>
      <c r="J57" s="232"/>
    </row>
    <row r="58" spans="1:10" s="30" customFormat="1" ht="15.75" x14ac:dyDescent="0.25">
      <c r="A58" s="286" t="s">
        <v>413</v>
      </c>
      <c r="C58" s="30">
        <v>5</v>
      </c>
      <c r="D58" s="287" t="s">
        <v>414</v>
      </c>
      <c r="I58" s="90"/>
      <c r="J58" s="232"/>
    </row>
    <row r="59" spans="1:10" s="30" customFormat="1" ht="15.75" x14ac:dyDescent="0.25">
      <c r="A59" s="285" t="s">
        <v>409</v>
      </c>
      <c r="C59" s="30">
        <v>6</v>
      </c>
      <c r="D59" s="288" t="s">
        <v>416</v>
      </c>
      <c r="I59" s="90"/>
      <c r="J59" s="232"/>
    </row>
    <row r="60" spans="1:10" s="30" customFormat="1" ht="15.75" x14ac:dyDescent="0.25">
      <c r="A60" s="285" t="s">
        <v>408</v>
      </c>
      <c r="C60" s="30">
        <v>7</v>
      </c>
      <c r="D60" s="288" t="s">
        <v>417</v>
      </c>
      <c r="I60" s="90"/>
      <c r="J60" s="232"/>
    </row>
    <row r="61" spans="1:10" s="30" customFormat="1" ht="15.75" x14ac:dyDescent="0.25">
      <c r="A61" s="285" t="s">
        <v>407</v>
      </c>
      <c r="C61" s="30">
        <v>8</v>
      </c>
      <c r="D61" s="288" t="s">
        <v>418</v>
      </c>
      <c r="I61" s="90"/>
      <c r="J61" s="232"/>
    </row>
    <row r="62" spans="1:10" s="30" customFormat="1" ht="15.75" x14ac:dyDescent="0.25">
      <c r="A62" s="285" t="s">
        <v>406</v>
      </c>
      <c r="C62" s="30">
        <v>9</v>
      </c>
      <c r="D62" s="288" t="s">
        <v>419</v>
      </c>
      <c r="I62" s="90"/>
      <c r="J62" s="232"/>
    </row>
    <row r="63" spans="1:10" s="30" customFormat="1" ht="15.75" x14ac:dyDescent="0.25">
      <c r="A63" s="285" t="s">
        <v>405</v>
      </c>
      <c r="C63" s="30">
        <v>10</v>
      </c>
      <c r="D63" s="288" t="s">
        <v>420</v>
      </c>
      <c r="I63" s="90"/>
      <c r="J63" s="232"/>
    </row>
    <row r="64" spans="1:10" s="30" customFormat="1" ht="15.75" x14ac:dyDescent="0.25">
      <c r="A64" s="284" t="s">
        <v>411</v>
      </c>
      <c r="C64" s="30">
        <v>11</v>
      </c>
      <c r="D64" s="33" t="s">
        <v>421</v>
      </c>
      <c r="I64" s="90"/>
      <c r="J64" s="232"/>
    </row>
    <row r="65" spans="1:10" s="30" customFormat="1" ht="15.75" x14ac:dyDescent="0.25">
      <c r="A65" s="284" t="s">
        <v>412</v>
      </c>
      <c r="C65" s="30">
        <v>12</v>
      </c>
      <c r="D65" s="33" t="s">
        <v>422</v>
      </c>
      <c r="I65" s="90"/>
      <c r="J65" s="232"/>
    </row>
    <row r="66" spans="1:10" s="30" customFormat="1" x14ac:dyDescent="0.25">
      <c r="I66" s="90"/>
      <c r="J66" s="232"/>
    </row>
  </sheetData>
  <mergeCells count="14">
    <mergeCell ref="J27:J29"/>
    <mergeCell ref="A27:A29"/>
    <mergeCell ref="G27:G29"/>
    <mergeCell ref="F27:F29"/>
    <mergeCell ref="B27:E29"/>
    <mergeCell ref="D52:I52"/>
    <mergeCell ref="D54:I54"/>
    <mergeCell ref="B11:D11"/>
    <mergeCell ref="B12:D12"/>
    <mergeCell ref="C15:F15"/>
    <mergeCell ref="I15:I16"/>
    <mergeCell ref="G25:G26"/>
    <mergeCell ref="D51:I51"/>
    <mergeCell ref="G35:G37"/>
  </mergeCells>
  <pageMargins left="0.5" right="0.5" top="0.25" bottom="0.25" header="0.3" footer="0.3"/>
  <pageSetup paperSize="17" scale="98"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1"/>
  <sheetViews>
    <sheetView topLeftCell="A19" zoomScale="71" zoomScaleNormal="90" workbookViewId="0">
      <selection activeCell="F30" sqref="F30"/>
    </sheetView>
  </sheetViews>
  <sheetFormatPr defaultColWidth="8.85546875" defaultRowHeight="15.75" x14ac:dyDescent="0.25"/>
  <cols>
    <col min="1" max="1" width="3.42578125" style="33" customWidth="1"/>
    <col min="2" max="2" width="3.85546875" style="33" customWidth="1"/>
    <col min="3" max="3" width="4.42578125" style="33" customWidth="1"/>
    <col min="4" max="4" width="3.140625" style="33" customWidth="1"/>
    <col min="5" max="5" width="118.140625" style="33" customWidth="1"/>
    <col min="6" max="6" width="44.140625" style="298" customWidth="1"/>
    <col min="7" max="16384" width="8.85546875" style="33"/>
  </cols>
  <sheetData>
    <row r="1" spans="1:6" x14ac:dyDescent="0.25">
      <c r="A1" s="121" t="s">
        <v>63</v>
      </c>
    </row>
    <row r="2" spans="1:6" x14ac:dyDescent="0.25">
      <c r="A2" s="121" t="s">
        <v>315</v>
      </c>
      <c r="E2" s="223" t="s">
        <v>316</v>
      </c>
      <c r="F2" s="301" t="s">
        <v>433</v>
      </c>
    </row>
    <row r="3" spans="1:6" x14ac:dyDescent="0.25">
      <c r="A3" s="122"/>
      <c r="B3" s="32"/>
      <c r="C3" s="32"/>
      <c r="D3" s="32"/>
    </row>
    <row r="4" spans="1:6" s="121" customFormat="1" x14ac:dyDescent="0.25">
      <c r="A4" s="123">
        <v>1</v>
      </c>
      <c r="B4" s="124" t="s">
        <v>224</v>
      </c>
      <c r="C4" s="124"/>
      <c r="D4" s="124"/>
      <c r="E4" s="124"/>
      <c r="F4" s="299"/>
    </row>
    <row r="5" spans="1:6" ht="32.25" customHeight="1" x14ac:dyDescent="0.25">
      <c r="A5" s="122"/>
      <c r="B5" s="125"/>
      <c r="C5" s="332" t="s">
        <v>226</v>
      </c>
      <c r="D5" s="332"/>
      <c r="E5" s="332"/>
    </row>
    <row r="6" spans="1:6" ht="14.25" customHeight="1" x14ac:dyDescent="0.25">
      <c r="A6" s="123"/>
      <c r="B6" s="34"/>
      <c r="C6" s="34"/>
      <c r="D6" s="34"/>
    </row>
    <row r="7" spans="1:6" x14ac:dyDescent="0.25">
      <c r="A7" s="123">
        <v>2</v>
      </c>
      <c r="B7" s="124" t="s">
        <v>286</v>
      </c>
      <c r="C7" s="124"/>
      <c r="D7" s="124"/>
      <c r="E7" s="124"/>
    </row>
    <row r="8" spans="1:6" x14ac:dyDescent="0.25">
      <c r="A8" s="123"/>
      <c r="B8" s="124"/>
      <c r="C8" s="220" t="s">
        <v>283</v>
      </c>
      <c r="D8" s="220"/>
      <c r="E8" s="220"/>
    </row>
    <row r="9" spans="1:6" x14ac:dyDescent="0.25">
      <c r="A9" s="123"/>
      <c r="B9" s="124"/>
      <c r="C9" s="220"/>
      <c r="D9" s="220" t="s">
        <v>282</v>
      </c>
      <c r="E9" s="220"/>
    </row>
    <row r="10" spans="1:6" x14ac:dyDescent="0.25">
      <c r="A10" s="123"/>
      <c r="B10" s="124"/>
      <c r="C10" s="220" t="s">
        <v>280</v>
      </c>
      <c r="D10" s="220"/>
      <c r="E10" s="220"/>
    </row>
    <row r="11" spans="1:6" x14ac:dyDescent="0.25">
      <c r="A11" s="123"/>
      <c r="B11" s="124"/>
      <c r="C11" s="221"/>
      <c r="D11" s="220" t="s">
        <v>395</v>
      </c>
      <c r="E11" s="220"/>
    </row>
    <row r="12" spans="1:6" ht="47.25" x14ac:dyDescent="0.25">
      <c r="A12" s="123"/>
      <c r="B12" s="124"/>
      <c r="C12" s="221"/>
      <c r="D12" s="221"/>
      <c r="E12" s="222" t="s">
        <v>281</v>
      </c>
    </row>
    <row r="13" spans="1:6" x14ac:dyDescent="0.25">
      <c r="A13" s="123"/>
      <c r="B13" s="124"/>
      <c r="C13" s="221"/>
      <c r="D13" s="220" t="s">
        <v>297</v>
      </c>
      <c r="E13" s="221"/>
    </row>
    <row r="14" spans="1:6" x14ac:dyDescent="0.25">
      <c r="A14" s="122"/>
      <c r="B14" s="125"/>
      <c r="C14" s="220"/>
      <c r="D14" s="220"/>
      <c r="E14" s="220" t="s">
        <v>284</v>
      </c>
    </row>
    <row r="15" spans="1:6" x14ac:dyDescent="0.25">
      <c r="A15" s="122"/>
      <c r="B15" s="125"/>
      <c r="C15" s="220"/>
      <c r="D15" s="220" t="s">
        <v>298</v>
      </c>
      <c r="E15" s="220"/>
    </row>
    <row r="16" spans="1:6" x14ac:dyDescent="0.25">
      <c r="A16" s="122"/>
      <c r="B16" s="125"/>
      <c r="C16" s="220"/>
      <c r="D16" s="220"/>
      <c r="E16" s="220" t="s">
        <v>285</v>
      </c>
    </row>
    <row r="17" spans="1:6" x14ac:dyDescent="0.25">
      <c r="A17" s="123"/>
      <c r="B17" s="73"/>
      <c r="C17" s="73"/>
      <c r="D17" s="73"/>
    </row>
    <row r="18" spans="1:6" s="121" customFormat="1" x14ac:dyDescent="0.25">
      <c r="A18" s="123">
        <v>3</v>
      </c>
      <c r="B18" s="124" t="s">
        <v>225</v>
      </c>
      <c r="C18" s="124"/>
      <c r="D18" s="124"/>
      <c r="E18" s="124"/>
      <c r="F18" s="299"/>
    </row>
    <row r="19" spans="1:6" ht="57.75" customHeight="1" x14ac:dyDescent="0.25">
      <c r="A19" s="123"/>
      <c r="E19" s="226" t="s">
        <v>291</v>
      </c>
    </row>
    <row r="20" spans="1:6" ht="23.25" customHeight="1" x14ac:dyDescent="0.25">
      <c r="A20" s="122"/>
      <c r="B20" s="126" t="s">
        <v>227</v>
      </c>
      <c r="C20" s="126"/>
      <c r="D20" s="126"/>
      <c r="E20" s="34"/>
    </row>
    <row r="21" spans="1:6" ht="56.25" customHeight="1" x14ac:dyDescent="0.25">
      <c r="A21" s="122"/>
      <c r="B21" s="123">
        <v>10</v>
      </c>
      <c r="C21" s="123"/>
      <c r="D21" s="123"/>
      <c r="E21" s="73" t="s">
        <v>179</v>
      </c>
    </row>
    <row r="22" spans="1:6" ht="84.75" customHeight="1" x14ac:dyDescent="0.25">
      <c r="A22" s="122"/>
      <c r="B22" s="123">
        <v>7</v>
      </c>
      <c r="C22" s="123"/>
      <c r="D22" s="123"/>
      <c r="E22" s="127" t="s">
        <v>299</v>
      </c>
    </row>
    <row r="23" spans="1:6" ht="63" x14ac:dyDescent="0.25">
      <c r="A23" s="122"/>
      <c r="B23" s="123">
        <v>3</v>
      </c>
      <c r="C23" s="123"/>
      <c r="D23" s="123"/>
      <c r="E23" s="73" t="s">
        <v>180</v>
      </c>
    </row>
    <row r="24" spans="1:6" ht="12" customHeight="1" x14ac:dyDescent="0.25">
      <c r="A24" s="122"/>
    </row>
    <row r="25" spans="1:6" x14ac:dyDescent="0.25">
      <c r="A25" s="123">
        <v>4</v>
      </c>
      <c r="B25" s="124" t="s">
        <v>296</v>
      </c>
    </row>
    <row r="26" spans="1:6" ht="31.5" customHeight="1" x14ac:dyDescent="0.25">
      <c r="A26" s="122"/>
      <c r="B26" s="234" t="s">
        <v>292</v>
      </c>
      <c r="C26" s="333" t="s">
        <v>394</v>
      </c>
      <c r="D26" s="333"/>
      <c r="E26" s="334"/>
    </row>
    <row r="27" spans="1:6" ht="30.75" customHeight="1" x14ac:dyDescent="0.25">
      <c r="A27" s="122"/>
      <c r="B27" s="235" t="s">
        <v>293</v>
      </c>
      <c r="C27" s="335" t="s">
        <v>434</v>
      </c>
      <c r="D27" s="335"/>
      <c r="E27" s="336"/>
      <c r="F27" s="298" t="s">
        <v>439</v>
      </c>
    </row>
    <row r="28" spans="1:6" ht="16.5" customHeight="1" x14ac:dyDescent="0.25">
      <c r="A28" s="122"/>
      <c r="B28" s="236"/>
      <c r="C28" s="224"/>
      <c r="D28" s="225" t="s">
        <v>393</v>
      </c>
      <c r="E28" s="237"/>
    </row>
    <row r="29" spans="1:6" ht="79.349999999999994" customHeight="1" x14ac:dyDescent="0.25">
      <c r="A29" s="122"/>
      <c r="B29" s="235" t="s">
        <v>294</v>
      </c>
      <c r="C29" s="335" t="s">
        <v>438</v>
      </c>
      <c r="D29" s="335"/>
      <c r="E29" s="336"/>
      <c r="F29" s="298" t="s">
        <v>446</v>
      </c>
    </row>
    <row r="30" spans="1:6" x14ac:dyDescent="0.25">
      <c r="A30" s="122"/>
      <c r="B30" s="279"/>
      <c r="C30" s="227"/>
      <c r="D30" s="225" t="s">
        <v>393</v>
      </c>
      <c r="E30" s="280"/>
    </row>
    <row r="31" spans="1:6" ht="47.25" x14ac:dyDescent="0.25">
      <c r="A31" s="122"/>
      <c r="B31" s="235" t="s">
        <v>295</v>
      </c>
      <c r="C31" s="281" t="s">
        <v>435</v>
      </c>
      <c r="D31" s="247"/>
      <c r="E31" s="282"/>
      <c r="F31" s="298" t="s">
        <v>439</v>
      </c>
    </row>
    <row r="32" spans="1:6" x14ac:dyDescent="0.25">
      <c r="A32" s="122"/>
      <c r="B32" s="238"/>
      <c r="C32" s="283"/>
      <c r="D32" s="239" t="s">
        <v>393</v>
      </c>
      <c r="E32" s="240"/>
    </row>
    <row r="33" spans="1:5" ht="36.75" customHeight="1" x14ac:dyDescent="0.25">
      <c r="A33" s="122"/>
      <c r="B33" s="337" t="s">
        <v>396</v>
      </c>
      <c r="C33" s="337"/>
      <c r="D33" s="337"/>
      <c r="E33" s="337"/>
    </row>
    <row r="34" spans="1:5" ht="12" customHeight="1" x14ac:dyDescent="0.25">
      <c r="A34" s="123"/>
      <c r="B34" s="124"/>
    </row>
    <row r="35" spans="1:5" x14ac:dyDescent="0.25">
      <c r="A35" s="123">
        <v>5</v>
      </c>
      <c r="B35" s="124" t="s">
        <v>300</v>
      </c>
      <c r="C35" s="219"/>
      <c r="D35" s="219"/>
    </row>
    <row r="36" spans="1:5" x14ac:dyDescent="0.25">
      <c r="A36" s="122"/>
      <c r="C36" s="241" t="s">
        <v>235</v>
      </c>
      <c r="D36" s="242" t="s">
        <v>306</v>
      </c>
      <c r="E36" s="243"/>
    </row>
    <row r="37" spans="1:5" x14ac:dyDescent="0.25">
      <c r="A37" s="122"/>
      <c r="C37" s="244"/>
      <c r="D37" s="245"/>
      <c r="E37" s="246" t="s">
        <v>307</v>
      </c>
    </row>
    <row r="38" spans="1:5" x14ac:dyDescent="0.25">
      <c r="A38" s="122"/>
      <c r="C38" s="241" t="s">
        <v>288</v>
      </c>
      <c r="D38" s="247" t="s">
        <v>308</v>
      </c>
      <c r="E38" s="243"/>
    </row>
    <row r="39" spans="1:5" x14ac:dyDescent="0.25">
      <c r="A39" s="122"/>
      <c r="C39" s="236"/>
      <c r="D39" s="225"/>
      <c r="E39" s="237" t="s">
        <v>440</v>
      </c>
    </row>
    <row r="40" spans="1:5" x14ac:dyDescent="0.25">
      <c r="A40" s="122"/>
      <c r="C40" s="236"/>
      <c r="D40" s="225"/>
      <c r="E40" s="237" t="s">
        <v>441</v>
      </c>
    </row>
    <row r="41" spans="1:5" x14ac:dyDescent="0.25">
      <c r="A41" s="122"/>
      <c r="C41" s="236"/>
      <c r="D41" s="225"/>
      <c r="E41" s="237" t="s">
        <v>301</v>
      </c>
    </row>
    <row r="42" spans="1:5" x14ac:dyDescent="0.25">
      <c r="A42" s="122"/>
      <c r="C42" s="236"/>
      <c r="D42" s="225"/>
      <c r="E42" s="237" t="s">
        <v>442</v>
      </c>
    </row>
    <row r="43" spans="1:5" ht="31.5" x14ac:dyDescent="0.25">
      <c r="A43" s="122"/>
      <c r="C43" s="248"/>
      <c r="D43" s="239"/>
      <c r="E43" s="249" t="s">
        <v>302</v>
      </c>
    </row>
    <row r="44" spans="1:5" ht="31.5" x14ac:dyDescent="0.25">
      <c r="A44" s="122"/>
      <c r="C44" s="236"/>
      <c r="D44" s="225"/>
      <c r="E44" s="305" t="s">
        <v>443</v>
      </c>
    </row>
    <row r="45" spans="1:5" x14ac:dyDescent="0.25">
      <c r="A45" s="122"/>
      <c r="C45" s="241" t="s">
        <v>289</v>
      </c>
      <c r="D45" s="247" t="s">
        <v>445</v>
      </c>
      <c r="E45" s="243"/>
    </row>
    <row r="46" spans="1:5" x14ac:dyDescent="0.25">
      <c r="A46" s="122"/>
      <c r="C46" s="236"/>
      <c r="D46" s="225"/>
      <c r="E46" s="237" t="s">
        <v>309</v>
      </c>
    </row>
    <row r="47" spans="1:5" x14ac:dyDescent="0.25">
      <c r="A47" s="122"/>
      <c r="C47" s="236"/>
      <c r="D47" s="225"/>
      <c r="E47" s="237" t="s">
        <v>303</v>
      </c>
    </row>
    <row r="48" spans="1:5" x14ac:dyDescent="0.25">
      <c r="A48" s="122"/>
      <c r="C48" s="236"/>
      <c r="D48" s="225"/>
      <c r="E48" s="237" t="s">
        <v>304</v>
      </c>
    </row>
    <row r="49" spans="1:5" x14ac:dyDescent="0.25">
      <c r="A49" s="122"/>
      <c r="C49" s="248"/>
      <c r="D49" s="239"/>
      <c r="E49" s="250" t="s">
        <v>305</v>
      </c>
    </row>
    <row r="50" spans="1:5" x14ac:dyDescent="0.25">
      <c r="A50" s="122"/>
    </row>
    <row r="51" spans="1:5" x14ac:dyDescent="0.25">
      <c r="A51" s="122"/>
    </row>
  </sheetData>
  <mergeCells count="5">
    <mergeCell ref="C5:E5"/>
    <mergeCell ref="C26:E26"/>
    <mergeCell ref="C27:E27"/>
    <mergeCell ref="C29:E29"/>
    <mergeCell ref="B33:E33"/>
  </mergeCells>
  <pageMargins left="0.25" right="0.25" top="0.5" bottom="0.25" header="0.3" footer="0.3"/>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4"/>
  <sheetViews>
    <sheetView zoomScale="129" zoomScaleNormal="129" workbookViewId="0">
      <selection activeCell="G2" sqref="G2"/>
    </sheetView>
  </sheetViews>
  <sheetFormatPr defaultColWidth="9.140625" defaultRowHeight="15" x14ac:dyDescent="0.25"/>
  <cols>
    <col min="1" max="1" width="2.140625" style="30" customWidth="1"/>
    <col min="2" max="2" width="29.140625" style="30" customWidth="1"/>
    <col min="3" max="3" width="11" style="30" customWidth="1"/>
    <col min="4" max="4" width="6.140625" style="30" customWidth="1"/>
    <col min="5" max="5" width="13" style="30" customWidth="1"/>
    <col min="6" max="6" width="1.5703125" style="30" customWidth="1"/>
    <col min="7" max="7" width="63.85546875" style="30" customWidth="1"/>
    <col min="8" max="8" width="67" style="30" customWidth="1"/>
    <col min="9" max="16384" width="9.140625" style="30"/>
  </cols>
  <sheetData>
    <row r="1" spans="1:7" x14ac:dyDescent="0.25">
      <c r="A1" s="7" t="s">
        <v>63</v>
      </c>
      <c r="G1" s="11" t="s">
        <v>380</v>
      </c>
    </row>
    <row r="2" spans="1:7" x14ac:dyDescent="0.25">
      <c r="A2" s="7" t="s">
        <v>52</v>
      </c>
    </row>
    <row r="3" spans="1:7" x14ac:dyDescent="0.25">
      <c r="E3" s="10"/>
      <c r="G3" s="14" t="s">
        <v>20</v>
      </c>
    </row>
    <row r="4" spans="1:7" x14ac:dyDescent="0.25">
      <c r="A4" s="7"/>
      <c r="C4" s="31" t="s">
        <v>17</v>
      </c>
      <c r="E4" s="10"/>
      <c r="G4" s="16"/>
    </row>
    <row r="5" spans="1:7" x14ac:dyDescent="0.25">
      <c r="A5" s="12"/>
      <c r="B5" s="12" t="s">
        <v>10</v>
      </c>
      <c r="C5" s="39" t="s">
        <v>18</v>
      </c>
      <c r="D5" s="39" t="s">
        <v>14</v>
      </c>
      <c r="E5" s="39" t="s">
        <v>15</v>
      </c>
      <c r="G5" s="15"/>
    </row>
    <row r="6" spans="1:7" ht="17.45" customHeight="1" x14ac:dyDescent="0.25">
      <c r="A6" s="7"/>
      <c r="B6" s="30" t="s">
        <v>11</v>
      </c>
      <c r="C6" s="6">
        <v>301093</v>
      </c>
      <c r="D6" s="30">
        <v>30</v>
      </c>
      <c r="E6" s="6">
        <f>C6*D6</f>
        <v>9032790</v>
      </c>
      <c r="G6" s="15"/>
    </row>
    <row r="7" spans="1:7" x14ac:dyDescent="0.25">
      <c r="A7" s="7"/>
      <c r="B7" s="30" t="s">
        <v>12</v>
      </c>
      <c r="C7" s="6">
        <v>363200</v>
      </c>
      <c r="D7" s="30">
        <v>40</v>
      </c>
      <c r="E7" s="6">
        <f>C7*D7</f>
        <v>14528000</v>
      </c>
      <c r="G7" s="15"/>
    </row>
    <row r="8" spans="1:7" x14ac:dyDescent="0.25">
      <c r="A8" s="7"/>
      <c r="B8" s="30" t="s">
        <v>13</v>
      </c>
      <c r="C8" s="6">
        <v>464896</v>
      </c>
      <c r="D8" s="30">
        <v>30</v>
      </c>
      <c r="E8" s="19">
        <f>C8*D8</f>
        <v>13946880</v>
      </c>
      <c r="G8" s="15"/>
    </row>
    <row r="9" spans="1:7" x14ac:dyDescent="0.25">
      <c r="A9" s="7"/>
      <c r="B9" s="30" t="s">
        <v>16</v>
      </c>
      <c r="C9" s="13"/>
      <c r="D9" s="13"/>
      <c r="E9" s="24">
        <f>SUM(E6:E8)</f>
        <v>37507670</v>
      </c>
      <c r="G9" s="15"/>
    </row>
    <row r="10" spans="1:7" x14ac:dyDescent="0.25">
      <c r="A10" s="7"/>
      <c r="B10" s="25" t="s">
        <v>40</v>
      </c>
      <c r="C10" s="13"/>
      <c r="D10" s="18">
        <v>0.35</v>
      </c>
      <c r="E10" s="5">
        <f>ROUND(E9*D10,0)</f>
        <v>13127685</v>
      </c>
      <c r="G10" s="15" t="s">
        <v>62</v>
      </c>
    </row>
    <row r="11" spans="1:7" x14ac:dyDescent="0.25">
      <c r="A11" s="7"/>
      <c r="B11" s="25" t="s">
        <v>41</v>
      </c>
      <c r="D11" s="13"/>
      <c r="E11" s="5">
        <v>2000000</v>
      </c>
      <c r="G11" s="15"/>
    </row>
    <row r="12" spans="1:7" ht="17.25" customHeight="1" x14ac:dyDescent="0.25">
      <c r="A12" s="7"/>
      <c r="B12" s="30" t="s">
        <v>42</v>
      </c>
      <c r="E12" s="20">
        <f>SUM(E9:E11)</f>
        <v>52635355</v>
      </c>
      <c r="G12" s="15"/>
    </row>
    <row r="13" spans="1:7" x14ac:dyDescent="0.25">
      <c r="A13" s="7"/>
      <c r="E13" s="21"/>
      <c r="G13" s="15"/>
    </row>
    <row r="14" spans="1:7" x14ac:dyDescent="0.25">
      <c r="A14" s="7"/>
      <c r="B14" s="30" t="s">
        <v>43</v>
      </c>
      <c r="E14" s="4">
        <v>40000000</v>
      </c>
      <c r="G14" s="15"/>
    </row>
    <row r="15" spans="1:7" x14ac:dyDescent="0.25">
      <c r="A15" s="7"/>
      <c r="E15" s="4"/>
      <c r="G15" s="15"/>
    </row>
    <row r="16" spans="1:7" x14ac:dyDescent="0.25">
      <c r="B16" s="30" t="s">
        <v>44</v>
      </c>
      <c r="C16" s="9"/>
      <c r="D16" s="9"/>
      <c r="E16" s="17">
        <f>(E12-E14)/E12</f>
        <v>0.24005452228829843</v>
      </c>
      <c r="G16" s="15"/>
    </row>
    <row r="17" spans="1:8" x14ac:dyDescent="0.25">
      <c r="B17" s="30" t="s">
        <v>19</v>
      </c>
      <c r="C17" s="9"/>
      <c r="D17" s="9"/>
      <c r="E17" s="5">
        <v>12</v>
      </c>
      <c r="G17" s="16" t="s">
        <v>230</v>
      </c>
    </row>
    <row r="18" spans="1:8" x14ac:dyDescent="0.25">
      <c r="C18" s="9"/>
      <c r="D18" s="9"/>
      <c r="E18" s="5"/>
      <c r="G18" s="15"/>
    </row>
    <row r="19" spans="1:8" x14ac:dyDescent="0.25">
      <c r="A19" s="1" t="s">
        <v>57</v>
      </c>
      <c r="C19" s="9"/>
      <c r="D19" s="9"/>
      <c r="E19" s="5"/>
      <c r="G19" s="16" t="s">
        <v>53</v>
      </c>
    </row>
    <row r="20" spans="1:8" x14ac:dyDescent="0.25">
      <c r="B20" s="30" t="s">
        <v>31</v>
      </c>
      <c r="C20" s="2">
        <v>0.2</v>
      </c>
      <c r="D20" s="9"/>
      <c r="E20" s="17"/>
      <c r="G20" s="15"/>
    </row>
    <row r="21" spans="1:8" x14ac:dyDescent="0.25">
      <c r="B21" s="30" t="s">
        <v>32</v>
      </c>
      <c r="C21" s="2">
        <v>0.05</v>
      </c>
      <c r="D21" s="3"/>
      <c r="E21" s="5"/>
      <c r="G21" s="15"/>
    </row>
    <row r="22" spans="1:8" x14ac:dyDescent="0.25">
      <c r="B22" s="12" t="s">
        <v>221</v>
      </c>
      <c r="C22" s="28">
        <v>0.1</v>
      </c>
      <c r="D22" s="28"/>
      <c r="E22" s="27"/>
      <c r="F22" s="12"/>
      <c r="G22" s="16" t="s">
        <v>222</v>
      </c>
    </row>
    <row r="23" spans="1:8" x14ac:dyDescent="0.25">
      <c r="B23" s="30" t="s">
        <v>33</v>
      </c>
      <c r="C23" s="3">
        <v>0.02</v>
      </c>
      <c r="D23" s="3"/>
      <c r="E23" s="5"/>
      <c r="G23" s="15"/>
      <c r="H23" s="8"/>
    </row>
    <row r="24" spans="1:8" x14ac:dyDescent="0.25">
      <c r="B24" s="30" t="s">
        <v>34</v>
      </c>
      <c r="C24" s="3">
        <v>0.02</v>
      </c>
      <c r="G24" s="15"/>
    </row>
    <row r="25" spans="1:8" x14ac:dyDescent="0.25">
      <c r="B25" s="30" t="s">
        <v>35</v>
      </c>
      <c r="C25" s="3">
        <v>0.1</v>
      </c>
      <c r="G25" s="16" t="s">
        <v>59</v>
      </c>
    </row>
    <row r="26" spans="1:8" ht="20.100000000000001" customHeight="1" x14ac:dyDescent="0.25">
      <c r="A26" s="1" t="s">
        <v>36</v>
      </c>
      <c r="G26" s="15"/>
    </row>
    <row r="27" spans="1:8" x14ac:dyDescent="0.25">
      <c r="B27" s="35" t="s">
        <v>45</v>
      </c>
      <c r="C27" s="36">
        <v>0.1</v>
      </c>
      <c r="D27" s="12"/>
      <c r="E27" s="12"/>
      <c r="F27" s="12"/>
      <c r="G27" s="16" t="s">
        <v>60</v>
      </c>
    </row>
    <row r="28" spans="1:8" s="12" customFormat="1" x14ac:dyDescent="0.25">
      <c r="B28" s="37" t="s">
        <v>30</v>
      </c>
      <c r="C28" s="40">
        <v>0.8</v>
      </c>
      <c r="D28" s="338"/>
      <c r="E28" s="338"/>
      <c r="G28" s="23" t="s">
        <v>223</v>
      </c>
    </row>
    <row r="29" spans="1:8" x14ac:dyDescent="0.25">
      <c r="B29" s="12" t="s">
        <v>38</v>
      </c>
      <c r="C29" s="28">
        <v>0.15</v>
      </c>
      <c r="D29" s="12"/>
      <c r="E29" s="12"/>
      <c r="F29" s="12"/>
      <c r="G29" s="16"/>
    </row>
    <row r="30" spans="1:8" x14ac:dyDescent="0.25">
      <c r="B30" s="12" t="s">
        <v>39</v>
      </c>
      <c r="C30" s="38" t="s">
        <v>37</v>
      </c>
      <c r="D30" s="12"/>
      <c r="E30" s="12"/>
      <c r="F30" s="12"/>
      <c r="G30" s="16"/>
    </row>
    <row r="31" spans="1:8" x14ac:dyDescent="0.25">
      <c r="B31" s="12" t="s">
        <v>21</v>
      </c>
      <c r="C31" s="28">
        <v>0.1</v>
      </c>
      <c r="D31" s="12"/>
      <c r="E31" s="12"/>
      <c r="F31" s="12"/>
      <c r="G31" s="16"/>
    </row>
    <row r="32" spans="1:8" x14ac:dyDescent="0.25">
      <c r="A32" s="1" t="s">
        <v>54</v>
      </c>
      <c r="B32" s="12"/>
      <c r="C32" s="12"/>
      <c r="D32" s="12"/>
      <c r="E32" s="12"/>
      <c r="F32" s="12"/>
      <c r="G32" s="16"/>
    </row>
    <row r="33" spans="2:7" x14ac:dyDescent="0.25">
      <c r="B33" s="12" t="s">
        <v>56</v>
      </c>
      <c r="C33" s="28">
        <v>0.1</v>
      </c>
      <c r="D33" s="12"/>
      <c r="E33" s="12"/>
      <c r="F33" s="12"/>
      <c r="G33" s="16" t="s">
        <v>61</v>
      </c>
    </row>
    <row r="34" spans="2:7" x14ac:dyDescent="0.25">
      <c r="B34" s="12" t="s">
        <v>55</v>
      </c>
      <c r="C34" s="28">
        <v>0.15</v>
      </c>
      <c r="D34" s="12"/>
      <c r="E34" s="12"/>
      <c r="F34" s="12"/>
      <c r="G34" s="16" t="s">
        <v>61</v>
      </c>
    </row>
    <row r="84" ht="20.100000000000001" customHeight="1" x14ac:dyDescent="0.25"/>
  </sheetData>
  <mergeCells count="1">
    <mergeCell ref="D28:E28"/>
  </mergeCells>
  <pageMargins left="0.45" right="0.45" top="0.5" bottom="0.5" header="0.3" footer="0.3"/>
  <pageSetup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3"/>
  <sheetViews>
    <sheetView tabSelected="1" topLeftCell="G3" zoomScale="125" zoomScaleNormal="80" workbookViewId="0">
      <selection activeCell="I9" sqref="I9"/>
    </sheetView>
  </sheetViews>
  <sheetFormatPr defaultColWidth="9.140625" defaultRowHeight="15" x14ac:dyDescent="0.25"/>
  <cols>
    <col min="1" max="1" width="1.140625" style="30" customWidth="1"/>
    <col min="2" max="2" width="1.42578125" style="30" customWidth="1"/>
    <col min="3" max="3" width="29.85546875" style="30" customWidth="1"/>
    <col min="4" max="4" width="13.42578125" style="30" customWidth="1"/>
    <col min="5" max="5" width="7.140625" style="30" customWidth="1"/>
    <col min="6" max="6" width="8.140625" style="30" customWidth="1"/>
    <col min="7" max="7" width="1.5703125" style="30" customWidth="1"/>
    <col min="8" max="8" width="65.5703125" style="30" customWidth="1"/>
    <col min="9" max="9" width="67" style="90" customWidth="1"/>
    <col min="10" max="16384" width="9.140625" style="30"/>
  </cols>
  <sheetData>
    <row r="1" spans="1:9" x14ac:dyDescent="0.25">
      <c r="A1" s="7" t="s">
        <v>63</v>
      </c>
      <c r="H1" s="11" t="s">
        <v>380</v>
      </c>
    </row>
    <row r="2" spans="1:9" ht="15.75" x14ac:dyDescent="0.25">
      <c r="A2" s="7" t="s">
        <v>388</v>
      </c>
      <c r="F2" s="10"/>
      <c r="H2" s="112"/>
      <c r="I2" s="301" t="s">
        <v>433</v>
      </c>
    </row>
    <row r="3" spans="1:9" ht="21.75" customHeight="1" x14ac:dyDescent="0.25">
      <c r="A3" s="45" t="s">
        <v>387</v>
      </c>
      <c r="D3" s="18"/>
      <c r="F3" s="10"/>
      <c r="H3" s="14" t="s">
        <v>20</v>
      </c>
    </row>
    <row r="4" spans="1:9" x14ac:dyDescent="0.25">
      <c r="A4" s="7"/>
      <c r="B4" s="47" t="s">
        <v>186</v>
      </c>
      <c r="C4" s="47"/>
      <c r="D4" s="6">
        <v>25000000</v>
      </c>
      <c r="E4" s="30" t="s">
        <v>184</v>
      </c>
      <c r="H4" s="23"/>
    </row>
    <row r="5" spans="1:9" s="44" customFormat="1" ht="30" x14ac:dyDescent="0.25">
      <c r="A5" s="43"/>
      <c r="B5" s="68" t="s">
        <v>187</v>
      </c>
      <c r="C5" s="68"/>
      <c r="D5" s="69">
        <v>0.1</v>
      </c>
      <c r="E5" s="44" t="s">
        <v>185</v>
      </c>
      <c r="H5" s="70" t="s">
        <v>213</v>
      </c>
      <c r="I5" s="302"/>
    </row>
    <row r="6" spans="1:9" s="44" customFormat="1" ht="45" x14ac:dyDescent="0.25">
      <c r="A6" s="43"/>
      <c r="B6" s="274" t="s">
        <v>384</v>
      </c>
      <c r="C6" s="274"/>
      <c r="D6" s="300">
        <v>0.2</v>
      </c>
      <c r="E6" s="275" t="s">
        <v>385</v>
      </c>
      <c r="F6" s="275"/>
      <c r="G6" s="275"/>
      <c r="H6" s="276" t="s">
        <v>436</v>
      </c>
      <c r="I6" s="302" t="s">
        <v>437</v>
      </c>
    </row>
    <row r="7" spans="1:9" x14ac:dyDescent="0.25">
      <c r="A7" s="7"/>
      <c r="B7" s="30" t="s">
        <v>389</v>
      </c>
      <c r="D7" s="66">
        <f>ROUND(D4*(1-D5-D6),0)</f>
        <v>17500000</v>
      </c>
      <c r="E7" s="30" t="s">
        <v>386</v>
      </c>
      <c r="F7" s="6"/>
      <c r="H7" s="23"/>
    </row>
    <row r="8" spans="1:9" x14ac:dyDescent="0.25">
      <c r="A8" s="7"/>
      <c r="D8" s="6"/>
      <c r="E8" s="31"/>
      <c r="F8" s="6"/>
      <c r="H8" s="15"/>
    </row>
    <row r="9" spans="1:9" s="12" customFormat="1" ht="27.6" customHeight="1" x14ac:dyDescent="0.25">
      <c r="A9" s="45" t="s">
        <v>84</v>
      </c>
      <c r="B9" s="46"/>
      <c r="D9" s="48"/>
      <c r="H9" s="297"/>
      <c r="I9" s="89"/>
    </row>
    <row r="10" spans="1:9" s="12" customFormat="1" ht="27.6" customHeight="1" x14ac:dyDescent="0.25">
      <c r="A10" s="45"/>
      <c r="B10" s="46"/>
      <c r="D10" s="48" t="s">
        <v>88</v>
      </c>
      <c r="E10" s="29" t="s">
        <v>85</v>
      </c>
      <c r="F10" s="29" t="s">
        <v>86</v>
      </c>
      <c r="H10" s="15"/>
      <c r="I10" s="89"/>
    </row>
    <row r="11" spans="1:9" x14ac:dyDescent="0.25">
      <c r="A11" s="7"/>
      <c r="B11" s="30" t="s">
        <v>87</v>
      </c>
      <c r="D11" s="31" t="s">
        <v>14</v>
      </c>
      <c r="E11" s="31" t="s">
        <v>89</v>
      </c>
      <c r="F11" s="31" t="s">
        <v>14</v>
      </c>
      <c r="H11" s="15"/>
    </row>
    <row r="12" spans="1:9" x14ac:dyDescent="0.25">
      <c r="A12" s="7"/>
      <c r="B12" s="64" t="s">
        <v>90</v>
      </c>
      <c r="C12" s="64"/>
      <c r="D12" s="12">
        <v>20</v>
      </c>
      <c r="E12" s="65">
        <v>0.9</v>
      </c>
      <c r="F12" s="65">
        <f>D12*E12</f>
        <v>18</v>
      </c>
      <c r="G12" s="12"/>
      <c r="H12" s="16"/>
    </row>
    <row r="13" spans="1:9" x14ac:dyDescent="0.25">
      <c r="A13" s="7"/>
      <c r="B13" s="12" t="s">
        <v>11</v>
      </c>
      <c r="C13" s="12"/>
      <c r="D13" s="12">
        <v>20</v>
      </c>
      <c r="E13" s="65">
        <v>1</v>
      </c>
      <c r="F13" s="65">
        <f>D13*E13</f>
        <v>20</v>
      </c>
      <c r="G13" s="12"/>
      <c r="H13" s="16"/>
    </row>
    <row r="14" spans="1:9" x14ac:dyDescent="0.25">
      <c r="A14" s="7"/>
      <c r="B14" s="12" t="s">
        <v>12</v>
      </c>
      <c r="C14" s="12"/>
      <c r="D14" s="12">
        <v>20</v>
      </c>
      <c r="E14" s="65">
        <v>1.25</v>
      </c>
      <c r="F14" s="65">
        <f>D14*E14</f>
        <v>25</v>
      </c>
      <c r="G14" s="12"/>
      <c r="H14" s="16"/>
    </row>
    <row r="15" spans="1:9" x14ac:dyDescent="0.25">
      <c r="A15" s="7"/>
      <c r="B15" s="12" t="s">
        <v>13</v>
      </c>
      <c r="C15" s="12"/>
      <c r="D15" s="12">
        <v>30</v>
      </c>
      <c r="E15" s="65">
        <f>1.5+0.25*0</f>
        <v>1.5</v>
      </c>
      <c r="F15" s="65">
        <f>IF(D15/D17&lt;=30%,D15*E15,TRUNC(0.3*D17)*E15+(D15-TRUNC(0.3*D17))*E14)</f>
        <v>45</v>
      </c>
      <c r="G15" s="12"/>
      <c r="H15" s="51" t="s">
        <v>91</v>
      </c>
    </row>
    <row r="16" spans="1:9" x14ac:dyDescent="0.25">
      <c r="A16" s="7"/>
      <c r="B16" s="12" t="s">
        <v>92</v>
      </c>
      <c r="C16" s="12"/>
      <c r="D16" s="12">
        <v>10</v>
      </c>
      <c r="E16" s="65">
        <f>1.75+0.25*0</f>
        <v>1.75</v>
      </c>
      <c r="F16" s="65">
        <f>IF(D16/D17&lt;=10%,D16*E16,TRUNC(0.1*D17)*E16+(D16-TRUNC(0.1*D17))*E14)</f>
        <v>17.5</v>
      </c>
      <c r="G16" s="12"/>
      <c r="H16" s="51" t="s">
        <v>93</v>
      </c>
    </row>
    <row r="17" spans="1:9" ht="15.75" thickBot="1" x14ac:dyDescent="0.3">
      <c r="A17" s="7"/>
      <c r="D17" s="52">
        <f>SUM(D12:D16)</f>
        <v>100</v>
      </c>
      <c r="F17" s="53">
        <f>SUM(F12:F16)</f>
        <v>125.5</v>
      </c>
      <c r="H17" s="15"/>
    </row>
    <row r="18" spans="1:9" ht="15.75" thickTop="1" x14ac:dyDescent="0.25">
      <c r="A18" s="7"/>
      <c r="D18" s="54"/>
      <c r="F18" s="5"/>
      <c r="H18" s="15"/>
    </row>
    <row r="19" spans="1:9" x14ac:dyDescent="0.25">
      <c r="A19" s="41" t="s">
        <v>168</v>
      </c>
      <c r="B19" s="42"/>
      <c r="C19" s="42"/>
      <c r="D19" s="39"/>
      <c r="E19" s="13"/>
      <c r="F19" s="5"/>
      <c r="H19" s="15"/>
      <c r="I19" s="303"/>
    </row>
    <row r="20" spans="1:9" x14ac:dyDescent="0.25">
      <c r="A20" s="7"/>
      <c r="B20" s="22" t="s">
        <v>169</v>
      </c>
      <c r="C20" s="22"/>
      <c r="D20" s="55">
        <f>D7</f>
        <v>17500000</v>
      </c>
      <c r="E20" s="5"/>
      <c r="F20" s="5"/>
      <c r="H20" s="15"/>
      <c r="I20" s="304"/>
    </row>
    <row r="21" spans="1:9" x14ac:dyDescent="0.25">
      <c r="A21" s="7"/>
      <c r="B21" s="22" t="s">
        <v>170</v>
      </c>
      <c r="C21" s="22"/>
      <c r="D21" s="5"/>
      <c r="E21" s="5"/>
      <c r="F21" s="5"/>
      <c r="H21" s="15"/>
      <c r="I21" s="304"/>
    </row>
    <row r="22" spans="1:9" x14ac:dyDescent="0.25">
      <c r="A22" s="7"/>
      <c r="B22" s="22" t="s">
        <v>94</v>
      </c>
      <c r="C22" s="22"/>
      <c r="D22" s="56">
        <f>F17</f>
        <v>125.5</v>
      </c>
      <c r="F22" s="5"/>
      <c r="H22" s="15"/>
    </row>
    <row r="23" spans="1:9" x14ac:dyDescent="0.25">
      <c r="A23" s="7"/>
      <c r="B23" s="22" t="s">
        <v>95</v>
      </c>
      <c r="C23" s="22"/>
      <c r="D23" s="6"/>
      <c r="F23" s="5"/>
      <c r="H23" s="15"/>
    </row>
    <row r="24" spans="1:9" x14ac:dyDescent="0.25">
      <c r="B24" s="22" t="s">
        <v>167</v>
      </c>
      <c r="C24" s="22"/>
      <c r="D24" s="67">
        <f>D20/D22</f>
        <v>139442.2310756972</v>
      </c>
      <c r="E24" s="9"/>
      <c r="F24" s="5"/>
      <c r="H24" s="15" t="s">
        <v>171</v>
      </c>
    </row>
    <row r="25" spans="1:9" ht="98.45" customHeight="1" x14ac:dyDescent="0.25"/>
    <row r="26" spans="1:9" x14ac:dyDescent="0.25">
      <c r="A26" s="30" t="s">
        <v>96</v>
      </c>
    </row>
    <row r="27" spans="1:9" ht="20.45" customHeight="1" x14ac:dyDescent="0.25">
      <c r="B27" s="30" t="s">
        <v>214</v>
      </c>
      <c r="E27" s="50"/>
    </row>
    <row r="28" spans="1:9" x14ac:dyDescent="0.25">
      <c r="B28" s="49" t="s">
        <v>97</v>
      </c>
      <c r="C28" s="49"/>
      <c r="D28" s="30">
        <v>20</v>
      </c>
      <c r="E28" s="50">
        <v>0.75</v>
      </c>
      <c r="F28" s="50">
        <f>D28*E28</f>
        <v>15</v>
      </c>
    </row>
    <row r="29" spans="1:9" x14ac:dyDescent="0.25">
      <c r="B29" s="30" t="s">
        <v>11</v>
      </c>
      <c r="D29" s="30">
        <v>20</v>
      </c>
      <c r="E29" s="50">
        <v>1</v>
      </c>
      <c r="F29" s="50">
        <f>D29*E29</f>
        <v>20</v>
      </c>
    </row>
    <row r="30" spans="1:9" x14ac:dyDescent="0.25">
      <c r="B30" s="30" t="s">
        <v>12</v>
      </c>
      <c r="D30" s="30">
        <v>20</v>
      </c>
      <c r="E30" s="50">
        <v>2</v>
      </c>
      <c r="F30" s="50">
        <f>D30*E30</f>
        <v>40</v>
      </c>
    </row>
    <row r="31" spans="1:9" x14ac:dyDescent="0.25">
      <c r="B31" s="30" t="s">
        <v>13</v>
      </c>
      <c r="D31" s="30">
        <v>20</v>
      </c>
      <c r="E31" s="50">
        <v>3</v>
      </c>
      <c r="F31" s="50">
        <f>D31*E31</f>
        <v>60</v>
      </c>
    </row>
    <row r="32" spans="1:9" x14ac:dyDescent="0.25">
      <c r="B32" s="30" t="s">
        <v>98</v>
      </c>
      <c r="D32" s="30">
        <v>20</v>
      </c>
      <c r="E32" s="50">
        <v>4</v>
      </c>
      <c r="F32" s="50">
        <f>D32*E32</f>
        <v>80</v>
      </c>
    </row>
    <row r="33" spans="2:8" ht="15.75" thickBot="1" x14ac:dyDescent="0.3">
      <c r="D33" s="52">
        <f>SUM(D28:D32)</f>
        <v>100</v>
      </c>
      <c r="F33" s="57">
        <f>SUM(F28:F32)</f>
        <v>215</v>
      </c>
    </row>
    <row r="34" spans="2:8" ht="15.75" thickTop="1" x14ac:dyDescent="0.25"/>
    <row r="35" spans="2:8" x14ac:dyDescent="0.25">
      <c r="B35" s="30" t="s">
        <v>99</v>
      </c>
      <c r="E35" s="50"/>
      <c r="F35" s="50"/>
    </row>
    <row r="36" spans="2:8" x14ac:dyDescent="0.25">
      <c r="B36" s="49" t="s">
        <v>97</v>
      </c>
      <c r="C36" s="49"/>
      <c r="D36" s="12">
        <v>400</v>
      </c>
      <c r="E36" s="50">
        <v>1</v>
      </c>
      <c r="F36" s="50">
        <f>E36*20</f>
        <v>20</v>
      </c>
    </row>
    <row r="37" spans="2:8" x14ac:dyDescent="0.25">
      <c r="B37" s="30" t="s">
        <v>11</v>
      </c>
      <c r="D37" s="12">
        <v>500</v>
      </c>
      <c r="E37" s="50">
        <f>D37/D36</f>
        <v>1.25</v>
      </c>
      <c r="F37" s="50">
        <f>E37*20</f>
        <v>25</v>
      </c>
      <c r="H37" s="113"/>
    </row>
    <row r="38" spans="2:8" x14ac:dyDescent="0.25">
      <c r="B38" s="30" t="s">
        <v>12</v>
      </c>
      <c r="D38" s="12">
        <v>700</v>
      </c>
      <c r="E38" s="50">
        <f>D38/D36</f>
        <v>1.75</v>
      </c>
      <c r="F38" s="50">
        <f>E38*20</f>
        <v>35</v>
      </c>
      <c r="H38" s="49"/>
    </row>
    <row r="39" spans="2:8" x14ac:dyDescent="0.25">
      <c r="B39" s="30" t="s">
        <v>13</v>
      </c>
      <c r="D39" s="12">
        <v>900</v>
      </c>
      <c r="E39" s="50">
        <f>D39/D36</f>
        <v>2.25</v>
      </c>
      <c r="F39" s="50">
        <f>E39*30</f>
        <v>67.5</v>
      </c>
      <c r="H39" s="49"/>
    </row>
    <row r="40" spans="2:8" x14ac:dyDescent="0.25">
      <c r="B40" s="30" t="s">
        <v>98</v>
      </c>
      <c r="D40" s="12">
        <v>1100</v>
      </c>
      <c r="E40" s="50">
        <f>D40/D36</f>
        <v>2.75</v>
      </c>
      <c r="F40" s="50">
        <f>E40*10</f>
        <v>27.5</v>
      </c>
      <c r="H40" s="49"/>
    </row>
    <row r="41" spans="2:8" ht="15.75" thickBot="1" x14ac:dyDescent="0.3">
      <c r="D41" s="12"/>
      <c r="E41" s="50"/>
      <c r="F41" s="57">
        <f>SUM(F36:F40)</f>
        <v>175</v>
      </c>
    </row>
    <row r="42" spans="2:8" ht="15.75" thickTop="1" x14ac:dyDescent="0.25"/>
    <row r="43" spans="2:8" x14ac:dyDescent="0.25">
      <c r="B43" s="30" t="s">
        <v>100</v>
      </c>
    </row>
    <row r="44" spans="2:8" x14ac:dyDescent="0.25">
      <c r="B44" s="49" t="s">
        <v>97</v>
      </c>
      <c r="C44" s="49"/>
      <c r="D44" s="30">
        <v>20</v>
      </c>
      <c r="E44" s="50">
        <v>1</v>
      </c>
      <c r="F44" s="50">
        <f>D44*E44</f>
        <v>20</v>
      </c>
      <c r="H44" s="58"/>
    </row>
    <row r="45" spans="2:8" x14ac:dyDescent="0.25">
      <c r="B45" s="30" t="s">
        <v>11</v>
      </c>
      <c r="D45" s="30">
        <v>20</v>
      </c>
      <c r="E45" s="50">
        <v>3</v>
      </c>
      <c r="F45" s="50">
        <f>D45*E45</f>
        <v>60</v>
      </c>
    </row>
    <row r="46" spans="2:8" x14ac:dyDescent="0.25">
      <c r="B46" s="30" t="s">
        <v>12</v>
      </c>
      <c r="D46" s="30">
        <v>20</v>
      </c>
      <c r="E46" s="50">
        <v>4</v>
      </c>
      <c r="F46" s="50">
        <f>D46*E46</f>
        <v>80</v>
      </c>
    </row>
    <row r="47" spans="2:8" x14ac:dyDescent="0.25">
      <c r="B47" s="30" t="s">
        <v>13</v>
      </c>
      <c r="D47" s="30">
        <v>20</v>
      </c>
      <c r="E47" s="50">
        <v>5</v>
      </c>
      <c r="F47" s="50">
        <f>D47*E47</f>
        <v>100</v>
      </c>
      <c r="H47" s="58"/>
    </row>
    <row r="48" spans="2:8" x14ac:dyDescent="0.25">
      <c r="B48" s="30" t="s">
        <v>98</v>
      </c>
      <c r="D48" s="30">
        <v>20</v>
      </c>
      <c r="E48" s="50">
        <v>6</v>
      </c>
      <c r="F48" s="50">
        <f>D48*E48</f>
        <v>120</v>
      </c>
    </row>
    <row r="49" spans="2:6" ht="15.75" thickBot="1" x14ac:dyDescent="0.3">
      <c r="D49" s="52">
        <f>SUM(D44:D48)</f>
        <v>100</v>
      </c>
      <c r="F49" s="57">
        <f>SUM(F44:F48)</f>
        <v>380</v>
      </c>
    </row>
    <row r="50" spans="2:6" ht="15.75" thickTop="1" x14ac:dyDescent="0.25">
      <c r="D50" s="54"/>
      <c r="F50" s="59"/>
    </row>
    <row r="51" spans="2:6" x14ac:dyDescent="0.25">
      <c r="B51" s="30" t="s">
        <v>101</v>
      </c>
    </row>
    <row r="52" spans="2:6" x14ac:dyDescent="0.25">
      <c r="B52" s="49" t="s">
        <v>97</v>
      </c>
      <c r="C52" s="49"/>
      <c r="D52" s="30">
        <v>20</v>
      </c>
      <c r="E52" s="50">
        <v>1</v>
      </c>
      <c r="F52" s="50">
        <f>D52*E52</f>
        <v>20</v>
      </c>
    </row>
    <row r="53" spans="2:6" x14ac:dyDescent="0.25">
      <c r="B53" s="30" t="s">
        <v>11</v>
      </c>
      <c r="D53" s="30">
        <v>20</v>
      </c>
      <c r="E53" s="50">
        <v>1.5</v>
      </c>
      <c r="F53" s="50">
        <f>D53*E53</f>
        <v>30</v>
      </c>
    </row>
    <row r="54" spans="2:6" x14ac:dyDescent="0.25">
      <c r="B54" s="30" t="s">
        <v>12</v>
      </c>
      <c r="D54" s="30">
        <v>20</v>
      </c>
      <c r="E54" s="50">
        <v>3</v>
      </c>
      <c r="F54" s="50">
        <f>D54*E54</f>
        <v>60</v>
      </c>
    </row>
    <row r="55" spans="2:6" x14ac:dyDescent="0.25">
      <c r="B55" s="30" t="s">
        <v>13</v>
      </c>
      <c r="D55" s="30">
        <v>20</v>
      </c>
      <c r="E55" s="50">
        <v>4.5</v>
      </c>
      <c r="F55" s="50">
        <f>D55*E55</f>
        <v>90</v>
      </c>
    </row>
    <row r="56" spans="2:6" x14ac:dyDescent="0.25">
      <c r="B56" s="30" t="s">
        <v>98</v>
      </c>
      <c r="D56" s="30">
        <v>20</v>
      </c>
      <c r="E56" s="50">
        <v>6</v>
      </c>
      <c r="F56" s="50">
        <f>D56*E56</f>
        <v>120</v>
      </c>
    </row>
    <row r="57" spans="2:6" ht="15.75" thickBot="1" x14ac:dyDescent="0.3">
      <c r="D57" s="52">
        <f>SUM(D52:D56)</f>
        <v>100</v>
      </c>
      <c r="F57" s="57">
        <f>SUM(F52:F56)</f>
        <v>320</v>
      </c>
    </row>
    <row r="58" spans="2:6" ht="15.75" thickTop="1" x14ac:dyDescent="0.25"/>
    <row r="59" spans="2:6" x14ac:dyDescent="0.25">
      <c r="C59" s="114" t="s">
        <v>215</v>
      </c>
      <c r="D59" s="115"/>
      <c r="E59" s="115"/>
      <c r="F59" s="115"/>
    </row>
    <row r="60" spans="2:6" ht="18" customHeight="1" x14ac:dyDescent="0.25">
      <c r="C60" s="116" t="s">
        <v>216</v>
      </c>
      <c r="D60" s="117" t="s">
        <v>14</v>
      </c>
      <c r="E60" s="117" t="s">
        <v>217</v>
      </c>
      <c r="F60" s="117" t="s">
        <v>217</v>
      </c>
    </row>
    <row r="61" spans="2:6" x14ac:dyDescent="0.25">
      <c r="C61" s="115" t="str">
        <f>B28</f>
        <v>Studio / SRO</v>
      </c>
      <c r="D61" s="118">
        <f>D12</f>
        <v>20</v>
      </c>
      <c r="E61" s="115">
        <f>D36</f>
        <v>400</v>
      </c>
      <c r="F61" s="119">
        <f>D61*E61</f>
        <v>8000</v>
      </c>
    </row>
    <row r="62" spans="2:6" x14ac:dyDescent="0.25">
      <c r="C62" s="115" t="str">
        <f>B29</f>
        <v>1-Bedroom</v>
      </c>
      <c r="D62" s="118">
        <f>D13</f>
        <v>20</v>
      </c>
      <c r="E62" s="115">
        <f>D37</f>
        <v>500</v>
      </c>
      <c r="F62" s="119">
        <f>D62*E62</f>
        <v>10000</v>
      </c>
    </row>
    <row r="63" spans="2:6" x14ac:dyDescent="0.25">
      <c r="C63" s="115" t="str">
        <f>B30</f>
        <v>2-Bedroom</v>
      </c>
      <c r="D63" s="118">
        <f>D14</f>
        <v>20</v>
      </c>
      <c r="E63" s="115">
        <f>D38</f>
        <v>700</v>
      </c>
      <c r="F63" s="119">
        <f>D63*E63</f>
        <v>14000</v>
      </c>
    </row>
    <row r="64" spans="2:6" x14ac:dyDescent="0.25">
      <c r="C64" s="115" t="str">
        <f>B31</f>
        <v>3-Bedroom</v>
      </c>
      <c r="D64" s="118">
        <f>D15</f>
        <v>30</v>
      </c>
      <c r="E64" s="115">
        <f>D39</f>
        <v>900</v>
      </c>
      <c r="F64" s="119">
        <f>D64*E64</f>
        <v>27000</v>
      </c>
    </row>
    <row r="65" spans="3:6" x14ac:dyDescent="0.25">
      <c r="C65" s="115" t="str">
        <f>B32</f>
        <v>4-Bedroom</v>
      </c>
      <c r="D65" s="118">
        <f>D16</f>
        <v>10</v>
      </c>
      <c r="E65" s="115">
        <f>D40</f>
        <v>1100</v>
      </c>
      <c r="F65" s="119">
        <f>D65*E65</f>
        <v>11000</v>
      </c>
    </row>
    <row r="66" spans="3:6" x14ac:dyDescent="0.25">
      <c r="C66" s="115"/>
      <c r="D66" s="115"/>
      <c r="E66" s="115"/>
      <c r="F66" s="119">
        <f>SUM(F61:F65)</f>
        <v>70000</v>
      </c>
    </row>
    <row r="67" spans="3:6" x14ac:dyDescent="0.25">
      <c r="C67" s="115"/>
      <c r="D67" s="115"/>
      <c r="E67" s="115"/>
      <c r="F67" s="115"/>
    </row>
    <row r="68" spans="3:6" x14ac:dyDescent="0.25">
      <c r="C68" s="115" t="s">
        <v>218</v>
      </c>
      <c r="D68" s="118">
        <v>100</v>
      </c>
      <c r="E68" s="115">
        <f>E62</f>
        <v>500</v>
      </c>
      <c r="F68" s="119">
        <f>D68*E68</f>
        <v>50000</v>
      </c>
    </row>
    <row r="69" spans="3:6" x14ac:dyDescent="0.25">
      <c r="C69" s="115"/>
      <c r="D69" s="115"/>
      <c r="E69" s="115"/>
      <c r="F69" s="115"/>
    </row>
    <row r="70" spans="3:6" x14ac:dyDescent="0.25">
      <c r="C70" s="115" t="s">
        <v>219</v>
      </c>
      <c r="D70" s="115"/>
      <c r="E70" s="115"/>
      <c r="F70" s="120">
        <f>(F66-F68)/F68</f>
        <v>0.4</v>
      </c>
    </row>
    <row r="71" spans="3:6" x14ac:dyDescent="0.25">
      <c r="C71" s="115" t="s">
        <v>220</v>
      </c>
      <c r="D71" s="115"/>
      <c r="E71" s="115"/>
      <c r="F71" s="120">
        <f>(F17-D17)/D17</f>
        <v>0.255</v>
      </c>
    </row>
    <row r="83" ht="20.100000000000001" customHeight="1" x14ac:dyDescent="0.25"/>
  </sheetData>
  <pageMargins left="0.45" right="0.45" top="0.5" bottom="0.25" header="0.3" footer="0.3"/>
  <pageSetup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8"/>
  <sheetViews>
    <sheetView zoomScale="130" zoomScaleNormal="130" workbookViewId="0">
      <pane ySplit="6" topLeftCell="A7" activePane="bottomLeft" state="frozen"/>
      <selection pane="bottomLeft" activeCell="D2" sqref="D2"/>
    </sheetView>
  </sheetViews>
  <sheetFormatPr defaultColWidth="8.85546875" defaultRowHeight="15" x14ac:dyDescent="0.25"/>
  <cols>
    <col min="1" max="1" width="18.140625" style="30" customWidth="1"/>
    <col min="2" max="2" width="17" style="4" customWidth="1"/>
    <col min="3" max="3" width="14.85546875" style="4" bestFit="1" customWidth="1"/>
    <col min="4" max="4" width="12.85546875" style="28" customWidth="1"/>
    <col min="5" max="5" width="32.140625" style="4" customWidth="1"/>
    <col min="6" max="6" width="17" style="4" customWidth="1"/>
    <col min="7" max="16384" width="8.85546875" style="30"/>
  </cols>
  <sheetData>
    <row r="1" spans="1:6" x14ac:dyDescent="0.25">
      <c r="A1" s="30" t="s">
        <v>173</v>
      </c>
    </row>
    <row r="2" spans="1:6" x14ac:dyDescent="0.25">
      <c r="A2" s="30" t="s">
        <v>102</v>
      </c>
      <c r="D2" s="109" t="str">
        <f>'Tie Breaker 2021'!H1</f>
        <v>Rev. 9/23/20</v>
      </c>
    </row>
    <row r="4" spans="1:6" x14ac:dyDescent="0.25">
      <c r="C4" s="60" t="s">
        <v>103</v>
      </c>
      <c r="D4" s="110" t="s">
        <v>104</v>
      </c>
    </row>
    <row r="5" spans="1:6" x14ac:dyDescent="0.25">
      <c r="B5" s="60" t="s">
        <v>105</v>
      </c>
      <c r="C5" s="60" t="s">
        <v>209</v>
      </c>
      <c r="D5" s="110" t="s">
        <v>106</v>
      </c>
    </row>
    <row r="6" spans="1:6" x14ac:dyDescent="0.25">
      <c r="A6" s="30" t="s">
        <v>107</v>
      </c>
      <c r="B6" s="60" t="s">
        <v>18</v>
      </c>
      <c r="C6" s="60" t="s">
        <v>210</v>
      </c>
      <c r="D6" s="110" t="s">
        <v>108</v>
      </c>
    </row>
    <row r="7" spans="1:6" x14ac:dyDescent="0.25">
      <c r="A7" s="30" t="s">
        <v>109</v>
      </c>
      <c r="B7" s="4">
        <v>492000</v>
      </c>
      <c r="C7" s="4">
        <f>B7-$B$67</f>
        <v>128800</v>
      </c>
      <c r="D7" s="28">
        <f>IF(C7/B7&gt;$B$68,$B$68,C7/B7)</f>
        <v>0.26178861788617885</v>
      </c>
      <c r="E7" s="61"/>
      <c r="F7" s="61"/>
    </row>
    <row r="8" spans="1:6" x14ac:dyDescent="0.25">
      <c r="A8" s="30" t="s">
        <v>110</v>
      </c>
      <c r="B8" s="4">
        <v>363200</v>
      </c>
      <c r="C8" s="4">
        <f t="shared" ref="C8:C64" si="0">B8-$B$67</f>
        <v>0</v>
      </c>
      <c r="D8" s="28">
        <f t="shared" ref="D8:D64" si="1">IF(C8/B8&gt;$B$68,$B$68,C8/B8)</f>
        <v>0</v>
      </c>
      <c r="E8" s="61"/>
    </row>
    <row r="9" spans="1:6" x14ac:dyDescent="0.25">
      <c r="A9" s="30" t="s">
        <v>111</v>
      </c>
      <c r="B9" s="4">
        <v>363200</v>
      </c>
      <c r="C9" s="4">
        <f t="shared" si="0"/>
        <v>0</v>
      </c>
      <c r="D9" s="28">
        <f t="shared" si="1"/>
        <v>0</v>
      </c>
      <c r="E9" s="61"/>
    </row>
    <row r="10" spans="1:6" x14ac:dyDescent="0.25">
      <c r="A10" s="30" t="s">
        <v>112</v>
      </c>
      <c r="B10" s="4">
        <v>392000</v>
      </c>
      <c r="C10" s="4">
        <f t="shared" si="0"/>
        <v>28800</v>
      </c>
      <c r="D10" s="28">
        <f t="shared" si="1"/>
        <v>7.3469387755102047E-2</v>
      </c>
      <c r="E10" s="61"/>
    </row>
    <row r="11" spans="1:6" x14ac:dyDescent="0.25">
      <c r="A11" s="30" t="s">
        <v>113</v>
      </c>
      <c r="B11" s="4">
        <v>363200</v>
      </c>
      <c r="C11" s="4">
        <f t="shared" si="0"/>
        <v>0</v>
      </c>
      <c r="D11" s="28">
        <f t="shared" si="1"/>
        <v>0</v>
      </c>
      <c r="E11" s="61"/>
    </row>
    <row r="12" spans="1:6" x14ac:dyDescent="0.25">
      <c r="A12" s="30" t="s">
        <v>114</v>
      </c>
      <c r="B12" s="4">
        <v>363200</v>
      </c>
      <c r="C12" s="4">
        <f t="shared" si="0"/>
        <v>0</v>
      </c>
      <c r="D12" s="28">
        <f t="shared" si="1"/>
        <v>0</v>
      </c>
      <c r="E12" s="61"/>
    </row>
    <row r="13" spans="1:6" x14ac:dyDescent="0.25">
      <c r="A13" s="30" t="s">
        <v>115</v>
      </c>
      <c r="B13" s="4">
        <v>469600</v>
      </c>
      <c r="C13" s="4">
        <f t="shared" si="0"/>
        <v>106400</v>
      </c>
      <c r="D13" s="28">
        <f t="shared" si="1"/>
        <v>0.22657580919931858</v>
      </c>
      <c r="E13" s="61"/>
    </row>
    <row r="14" spans="1:6" x14ac:dyDescent="0.25">
      <c r="A14" s="30" t="s">
        <v>116</v>
      </c>
      <c r="B14" s="4">
        <v>363200</v>
      </c>
      <c r="C14" s="4">
        <f t="shared" si="0"/>
        <v>0</v>
      </c>
      <c r="D14" s="28">
        <f t="shared" si="1"/>
        <v>0</v>
      </c>
      <c r="E14" s="61"/>
    </row>
    <row r="15" spans="1:6" x14ac:dyDescent="0.25">
      <c r="A15" s="30" t="s">
        <v>117</v>
      </c>
      <c r="B15" s="4">
        <v>363200</v>
      </c>
      <c r="C15" s="4">
        <f t="shared" si="0"/>
        <v>0</v>
      </c>
      <c r="D15" s="28">
        <f t="shared" si="1"/>
        <v>0</v>
      </c>
      <c r="E15" s="61"/>
    </row>
    <row r="16" spans="1:6" x14ac:dyDescent="0.25">
      <c r="A16" s="30" t="s">
        <v>118</v>
      </c>
      <c r="B16" s="4">
        <v>363200</v>
      </c>
      <c r="C16" s="4">
        <f t="shared" si="0"/>
        <v>0</v>
      </c>
      <c r="D16" s="28">
        <f t="shared" si="1"/>
        <v>0</v>
      </c>
      <c r="E16" s="61"/>
    </row>
    <row r="17" spans="1:6" x14ac:dyDescent="0.25">
      <c r="A17" s="30" t="s">
        <v>119</v>
      </c>
      <c r="B17" s="4">
        <v>363200</v>
      </c>
      <c r="C17" s="4">
        <f t="shared" si="0"/>
        <v>0</v>
      </c>
      <c r="D17" s="28">
        <f t="shared" si="1"/>
        <v>0</v>
      </c>
      <c r="E17" s="61"/>
    </row>
    <row r="18" spans="1:6" x14ac:dyDescent="0.25">
      <c r="A18" s="30" t="s">
        <v>120</v>
      </c>
      <c r="B18" s="4">
        <v>363200</v>
      </c>
      <c r="C18" s="4">
        <f t="shared" si="0"/>
        <v>0</v>
      </c>
      <c r="D18" s="28">
        <f t="shared" si="1"/>
        <v>0</v>
      </c>
      <c r="E18" s="61"/>
    </row>
    <row r="19" spans="1:6" x14ac:dyDescent="0.25">
      <c r="A19" s="30" t="s">
        <v>121</v>
      </c>
      <c r="B19" s="4">
        <v>363200</v>
      </c>
      <c r="C19" s="4">
        <f t="shared" si="0"/>
        <v>0</v>
      </c>
      <c r="D19" s="28">
        <f t="shared" si="1"/>
        <v>0</v>
      </c>
      <c r="E19" s="61"/>
    </row>
    <row r="20" spans="1:6" x14ac:dyDescent="0.25">
      <c r="A20" s="30" t="s">
        <v>122</v>
      </c>
      <c r="B20" s="4">
        <v>363200</v>
      </c>
      <c r="C20" s="4">
        <f t="shared" si="0"/>
        <v>0</v>
      </c>
      <c r="D20" s="28">
        <f t="shared" si="1"/>
        <v>0</v>
      </c>
      <c r="E20" s="61"/>
    </row>
    <row r="21" spans="1:6" x14ac:dyDescent="0.25">
      <c r="A21" s="30" t="s">
        <v>123</v>
      </c>
      <c r="B21" s="4">
        <v>363200</v>
      </c>
      <c r="C21" s="4">
        <f t="shared" si="0"/>
        <v>0</v>
      </c>
      <c r="D21" s="28">
        <f t="shared" si="1"/>
        <v>0</v>
      </c>
      <c r="E21" s="61"/>
    </row>
    <row r="22" spans="1:6" x14ac:dyDescent="0.25">
      <c r="A22" s="30" t="s">
        <v>124</v>
      </c>
      <c r="B22" s="4">
        <v>363200</v>
      </c>
      <c r="C22" s="4">
        <f t="shared" si="0"/>
        <v>0</v>
      </c>
      <c r="D22" s="28">
        <f t="shared" si="1"/>
        <v>0</v>
      </c>
      <c r="E22" s="61"/>
    </row>
    <row r="23" spans="1:6" x14ac:dyDescent="0.25">
      <c r="A23" s="30" t="s">
        <v>125</v>
      </c>
      <c r="B23" s="4">
        <v>363200</v>
      </c>
      <c r="C23" s="4">
        <f t="shared" si="0"/>
        <v>0</v>
      </c>
      <c r="D23" s="28">
        <f t="shared" si="1"/>
        <v>0</v>
      </c>
      <c r="E23" s="61"/>
    </row>
    <row r="24" spans="1:6" x14ac:dyDescent="0.25">
      <c r="A24" s="30" t="s">
        <v>126</v>
      </c>
      <c r="B24" s="4">
        <v>363200</v>
      </c>
      <c r="C24" s="4">
        <f t="shared" si="0"/>
        <v>0</v>
      </c>
      <c r="D24" s="28">
        <f t="shared" si="1"/>
        <v>0</v>
      </c>
      <c r="E24" s="61"/>
    </row>
    <row r="25" spans="1:6" x14ac:dyDescent="0.25">
      <c r="A25" s="30" t="s">
        <v>127</v>
      </c>
      <c r="B25" s="4">
        <v>408000</v>
      </c>
      <c r="C25" s="4">
        <f t="shared" si="0"/>
        <v>44800</v>
      </c>
      <c r="D25" s="28">
        <f t="shared" si="1"/>
        <v>0.10980392156862745</v>
      </c>
      <c r="E25" s="61"/>
    </row>
    <row r="26" spans="1:6" x14ac:dyDescent="0.25">
      <c r="A26" s="30" t="s">
        <v>128</v>
      </c>
      <c r="B26" s="4">
        <v>363200</v>
      </c>
      <c r="C26" s="4">
        <f t="shared" si="0"/>
        <v>0</v>
      </c>
      <c r="D26" s="28">
        <f t="shared" si="1"/>
        <v>0</v>
      </c>
      <c r="E26" s="61"/>
    </row>
    <row r="27" spans="1:6" s="12" customFormat="1" x14ac:dyDescent="0.25">
      <c r="A27" s="12" t="s">
        <v>129</v>
      </c>
      <c r="B27" s="62">
        <v>408000</v>
      </c>
      <c r="C27" s="62">
        <f t="shared" si="0"/>
        <v>44800</v>
      </c>
      <c r="D27" s="28">
        <f t="shared" si="1"/>
        <v>0.10980392156862745</v>
      </c>
      <c r="E27" s="63"/>
      <c r="F27" s="62"/>
    </row>
    <row r="28" spans="1:6" x14ac:dyDescent="0.25">
      <c r="A28" s="30" t="s">
        <v>130</v>
      </c>
      <c r="B28" s="4">
        <v>363200</v>
      </c>
      <c r="C28" s="4">
        <f t="shared" si="0"/>
        <v>0</v>
      </c>
      <c r="D28" s="28">
        <f t="shared" si="1"/>
        <v>0</v>
      </c>
      <c r="E28" s="61"/>
    </row>
    <row r="29" spans="1:6" x14ac:dyDescent="0.25">
      <c r="A29" s="30" t="s">
        <v>131</v>
      </c>
      <c r="B29" s="4">
        <v>363200</v>
      </c>
      <c r="C29" s="4">
        <f t="shared" si="0"/>
        <v>0</v>
      </c>
      <c r="D29" s="28">
        <f t="shared" si="1"/>
        <v>0</v>
      </c>
      <c r="E29" s="61"/>
    </row>
    <row r="30" spans="1:6" x14ac:dyDescent="0.25">
      <c r="A30" s="30" t="s">
        <v>132</v>
      </c>
      <c r="B30" s="4">
        <v>363200</v>
      </c>
      <c r="C30" s="4">
        <f t="shared" si="0"/>
        <v>0</v>
      </c>
      <c r="D30" s="28">
        <f t="shared" si="1"/>
        <v>0</v>
      </c>
      <c r="E30" s="61"/>
    </row>
    <row r="31" spans="1:6" x14ac:dyDescent="0.25">
      <c r="A31" s="30" t="s">
        <v>133</v>
      </c>
      <c r="B31" s="4">
        <v>363200</v>
      </c>
      <c r="C31" s="4">
        <f t="shared" si="0"/>
        <v>0</v>
      </c>
      <c r="D31" s="28">
        <f t="shared" si="1"/>
        <v>0</v>
      </c>
      <c r="E31" s="61"/>
    </row>
    <row r="32" spans="1:6" x14ac:dyDescent="0.25">
      <c r="A32" s="30" t="s">
        <v>134</v>
      </c>
      <c r="B32" s="4">
        <v>363200</v>
      </c>
      <c r="C32" s="4">
        <f t="shared" si="0"/>
        <v>0</v>
      </c>
      <c r="D32" s="28">
        <f t="shared" si="1"/>
        <v>0</v>
      </c>
      <c r="E32" s="61"/>
    </row>
    <row r="33" spans="1:5" x14ac:dyDescent="0.25">
      <c r="A33" s="30" t="s">
        <v>135</v>
      </c>
      <c r="B33" s="4">
        <v>396800</v>
      </c>
      <c r="C33" s="4">
        <f t="shared" si="0"/>
        <v>33600</v>
      </c>
      <c r="D33" s="28">
        <f t="shared" si="1"/>
        <v>8.4677419354838704E-2</v>
      </c>
      <c r="E33" s="61"/>
    </row>
    <row r="34" spans="1:5" x14ac:dyDescent="0.25">
      <c r="A34" s="30" t="s">
        <v>136</v>
      </c>
      <c r="B34" s="4">
        <v>408000</v>
      </c>
      <c r="C34" s="4">
        <f t="shared" si="0"/>
        <v>44800</v>
      </c>
      <c r="D34" s="28">
        <f t="shared" si="1"/>
        <v>0.10980392156862745</v>
      </c>
      <c r="E34" s="61"/>
    </row>
    <row r="35" spans="1:5" x14ac:dyDescent="0.25">
      <c r="A35" s="30" t="s">
        <v>137</v>
      </c>
      <c r="B35" s="4">
        <v>363200</v>
      </c>
      <c r="C35" s="4">
        <f t="shared" si="0"/>
        <v>0</v>
      </c>
      <c r="D35" s="28">
        <f t="shared" si="1"/>
        <v>0</v>
      </c>
      <c r="E35" s="61"/>
    </row>
    <row r="36" spans="1:5" x14ac:dyDescent="0.25">
      <c r="A36" s="30" t="s">
        <v>138</v>
      </c>
      <c r="B36" s="4">
        <v>363200</v>
      </c>
      <c r="C36" s="4">
        <f t="shared" si="0"/>
        <v>0</v>
      </c>
      <c r="D36" s="28">
        <f t="shared" si="1"/>
        <v>0</v>
      </c>
      <c r="E36" s="61"/>
    </row>
    <row r="37" spans="1:5" x14ac:dyDescent="0.25">
      <c r="A37" s="30" t="s">
        <v>139</v>
      </c>
      <c r="B37" s="4">
        <v>363200</v>
      </c>
      <c r="C37" s="4">
        <f t="shared" si="0"/>
        <v>0</v>
      </c>
      <c r="D37" s="28">
        <f t="shared" si="1"/>
        <v>0</v>
      </c>
      <c r="E37" s="61"/>
    </row>
    <row r="38" spans="1:5" x14ac:dyDescent="0.25">
      <c r="A38" s="30" t="s">
        <v>140</v>
      </c>
      <c r="B38" s="4">
        <v>363200</v>
      </c>
      <c r="C38" s="4">
        <f t="shared" si="0"/>
        <v>0</v>
      </c>
      <c r="D38" s="28">
        <f t="shared" si="1"/>
        <v>0</v>
      </c>
      <c r="E38" s="61"/>
    </row>
    <row r="39" spans="1:5" x14ac:dyDescent="0.25">
      <c r="A39" s="30" t="s">
        <v>141</v>
      </c>
      <c r="B39" s="4">
        <v>363200</v>
      </c>
      <c r="C39" s="4">
        <f t="shared" si="0"/>
        <v>0</v>
      </c>
      <c r="D39" s="28">
        <f t="shared" si="1"/>
        <v>0</v>
      </c>
      <c r="E39" s="61"/>
    </row>
    <row r="40" spans="1:5" x14ac:dyDescent="0.25">
      <c r="A40" s="30" t="s">
        <v>142</v>
      </c>
      <c r="B40" s="4">
        <v>363200</v>
      </c>
      <c r="C40" s="4">
        <f t="shared" si="0"/>
        <v>0</v>
      </c>
      <c r="D40" s="28">
        <f t="shared" si="1"/>
        <v>0</v>
      </c>
      <c r="E40" s="61"/>
    </row>
    <row r="41" spans="1:5" x14ac:dyDescent="0.25">
      <c r="A41" s="30" t="s">
        <v>143</v>
      </c>
      <c r="B41" s="4">
        <v>363200</v>
      </c>
      <c r="C41" s="4">
        <f t="shared" si="0"/>
        <v>0</v>
      </c>
      <c r="D41" s="28">
        <f t="shared" si="1"/>
        <v>0</v>
      </c>
      <c r="E41" s="61"/>
    </row>
    <row r="42" spans="1:5" x14ac:dyDescent="0.25">
      <c r="A42" s="30" t="s">
        <v>144</v>
      </c>
      <c r="B42" s="4">
        <v>363200</v>
      </c>
      <c r="C42" s="4">
        <f t="shared" si="0"/>
        <v>0</v>
      </c>
      <c r="D42" s="28">
        <f t="shared" si="1"/>
        <v>0</v>
      </c>
      <c r="E42" s="61"/>
    </row>
    <row r="43" spans="1:5" x14ac:dyDescent="0.25">
      <c r="A43" s="12" t="s">
        <v>145</v>
      </c>
      <c r="B43" s="4">
        <v>363200</v>
      </c>
      <c r="C43" s="4">
        <f t="shared" si="0"/>
        <v>0</v>
      </c>
      <c r="D43" s="28">
        <f t="shared" si="1"/>
        <v>0</v>
      </c>
      <c r="E43" s="61"/>
    </row>
    <row r="44" spans="1:5" x14ac:dyDescent="0.25">
      <c r="A44" s="12" t="s">
        <v>146</v>
      </c>
      <c r="B44" s="4">
        <v>612800</v>
      </c>
      <c r="C44" s="4">
        <f t="shared" si="0"/>
        <v>249600</v>
      </c>
      <c r="D44" s="28">
        <f t="shared" si="1"/>
        <v>0.3</v>
      </c>
      <c r="E44" s="61"/>
    </row>
    <row r="45" spans="1:5" x14ac:dyDescent="0.25">
      <c r="A45" s="12" t="s">
        <v>147</v>
      </c>
      <c r="B45" s="4">
        <v>363200</v>
      </c>
      <c r="C45" s="4">
        <f t="shared" si="0"/>
        <v>0</v>
      </c>
      <c r="D45" s="28">
        <f t="shared" si="1"/>
        <v>0</v>
      </c>
      <c r="E45" s="61"/>
    </row>
    <row r="46" spans="1:5" x14ac:dyDescent="0.25">
      <c r="A46" s="12" t="s">
        <v>148</v>
      </c>
      <c r="B46" s="4">
        <v>363200</v>
      </c>
      <c r="C46" s="4">
        <f t="shared" si="0"/>
        <v>0</v>
      </c>
      <c r="D46" s="28">
        <f t="shared" si="1"/>
        <v>0</v>
      </c>
      <c r="E46" s="61"/>
    </row>
    <row r="47" spans="1:5" x14ac:dyDescent="0.25">
      <c r="A47" s="12" t="s">
        <v>149</v>
      </c>
      <c r="B47" s="4">
        <v>475200</v>
      </c>
      <c r="C47" s="4">
        <f t="shared" si="0"/>
        <v>112000</v>
      </c>
      <c r="D47" s="28">
        <f t="shared" si="1"/>
        <v>0.2356902356902357</v>
      </c>
      <c r="E47" s="61"/>
    </row>
    <row r="48" spans="1:5" x14ac:dyDescent="0.25">
      <c r="A48" s="12" t="s">
        <v>150</v>
      </c>
      <c r="B48" s="4">
        <v>363200</v>
      </c>
      <c r="C48" s="4">
        <f t="shared" si="0"/>
        <v>0</v>
      </c>
      <c r="D48" s="28">
        <f t="shared" si="1"/>
        <v>0</v>
      </c>
      <c r="E48" s="61"/>
    </row>
    <row r="49" spans="1:12" x14ac:dyDescent="0.25">
      <c r="A49" s="12" t="s">
        <v>151</v>
      </c>
      <c r="B49" s="4">
        <v>444800</v>
      </c>
      <c r="C49" s="4">
        <f t="shared" si="0"/>
        <v>81600</v>
      </c>
      <c r="D49" s="28">
        <f t="shared" si="1"/>
        <v>0.18345323741007194</v>
      </c>
      <c r="E49" s="61"/>
      <c r="G49" s="71"/>
      <c r="H49" s="71"/>
      <c r="I49" s="71"/>
      <c r="J49" s="71"/>
      <c r="K49" s="71"/>
    </row>
    <row r="50" spans="1:12" x14ac:dyDescent="0.25">
      <c r="A50" s="12" t="s">
        <v>152</v>
      </c>
      <c r="B50" s="4">
        <v>363200</v>
      </c>
      <c r="C50" s="4">
        <f t="shared" si="0"/>
        <v>0</v>
      </c>
      <c r="D50" s="28">
        <f t="shared" si="1"/>
        <v>0</v>
      </c>
      <c r="E50" s="61"/>
      <c r="H50" s="71"/>
      <c r="L50" s="72"/>
    </row>
    <row r="51" spans="1:12" x14ac:dyDescent="0.25">
      <c r="A51" s="30" t="s">
        <v>153</v>
      </c>
      <c r="B51" s="4">
        <v>392000</v>
      </c>
      <c r="C51" s="4">
        <f t="shared" si="0"/>
        <v>28800</v>
      </c>
      <c r="D51" s="28">
        <f t="shared" si="1"/>
        <v>7.3469387755102047E-2</v>
      </c>
      <c r="E51" s="61"/>
      <c r="G51" s="71"/>
      <c r="H51" s="71"/>
      <c r="I51" s="71"/>
      <c r="J51" s="71"/>
      <c r="K51" s="71"/>
      <c r="L51" s="72"/>
    </row>
    <row r="52" spans="1:12" x14ac:dyDescent="0.25">
      <c r="A52" s="30" t="s">
        <v>154</v>
      </c>
      <c r="B52" s="4">
        <v>363200</v>
      </c>
      <c r="C52" s="4">
        <f t="shared" si="0"/>
        <v>0</v>
      </c>
      <c r="D52" s="28">
        <f t="shared" si="1"/>
        <v>0</v>
      </c>
      <c r="E52" s="61"/>
      <c r="H52" s="71"/>
      <c r="I52" s="71"/>
      <c r="L52" s="72"/>
    </row>
    <row r="53" spans="1:12" x14ac:dyDescent="0.25">
      <c r="A53" s="30" t="s">
        <v>155</v>
      </c>
      <c r="B53" s="4">
        <v>363200</v>
      </c>
      <c r="C53" s="4">
        <f t="shared" si="0"/>
        <v>0</v>
      </c>
      <c r="D53" s="28">
        <f t="shared" si="1"/>
        <v>0</v>
      </c>
      <c r="E53" s="61"/>
    </row>
    <row r="54" spans="1:12" x14ac:dyDescent="0.25">
      <c r="A54" s="30" t="s">
        <v>156</v>
      </c>
      <c r="B54" s="4">
        <v>408000</v>
      </c>
      <c r="C54" s="4">
        <f t="shared" si="0"/>
        <v>44800</v>
      </c>
      <c r="D54" s="28">
        <f t="shared" si="1"/>
        <v>0.10980392156862745</v>
      </c>
      <c r="E54" s="61"/>
    </row>
    <row r="55" spans="1:12" x14ac:dyDescent="0.25">
      <c r="A55" s="30" t="s">
        <v>157</v>
      </c>
      <c r="B55" s="4">
        <v>434400</v>
      </c>
      <c r="C55" s="4">
        <f t="shared" si="0"/>
        <v>71200</v>
      </c>
      <c r="D55" s="28">
        <f t="shared" si="1"/>
        <v>0.16390423572744015</v>
      </c>
      <c r="E55" s="61"/>
    </row>
    <row r="56" spans="1:12" x14ac:dyDescent="0.25">
      <c r="A56" s="30" t="s">
        <v>158</v>
      </c>
      <c r="B56" s="4">
        <v>363200</v>
      </c>
      <c r="C56" s="4">
        <f t="shared" si="0"/>
        <v>0</v>
      </c>
      <c r="D56" s="28">
        <f t="shared" si="1"/>
        <v>0</v>
      </c>
      <c r="E56" s="61"/>
    </row>
    <row r="57" spans="1:12" x14ac:dyDescent="0.25">
      <c r="A57" s="30" t="s">
        <v>159</v>
      </c>
      <c r="B57" s="4">
        <v>363200</v>
      </c>
      <c r="C57" s="4">
        <f t="shared" si="0"/>
        <v>0</v>
      </c>
      <c r="D57" s="28">
        <f t="shared" si="1"/>
        <v>0</v>
      </c>
      <c r="E57" s="61"/>
    </row>
    <row r="58" spans="1:12" x14ac:dyDescent="0.25">
      <c r="A58" s="30" t="s">
        <v>160</v>
      </c>
      <c r="B58" s="4">
        <v>363200</v>
      </c>
      <c r="C58" s="4">
        <f t="shared" si="0"/>
        <v>0</v>
      </c>
      <c r="D58" s="28">
        <f t="shared" si="1"/>
        <v>0</v>
      </c>
      <c r="E58" s="61"/>
    </row>
    <row r="59" spans="1:12" x14ac:dyDescent="0.25">
      <c r="A59" s="30" t="s">
        <v>161</v>
      </c>
      <c r="B59" s="4">
        <v>363200</v>
      </c>
      <c r="C59" s="4">
        <f t="shared" si="0"/>
        <v>0</v>
      </c>
      <c r="D59" s="28">
        <f t="shared" si="1"/>
        <v>0</v>
      </c>
      <c r="E59" s="61"/>
    </row>
    <row r="60" spans="1:12" x14ac:dyDescent="0.25">
      <c r="A60" s="30" t="s">
        <v>162</v>
      </c>
      <c r="B60" s="4">
        <v>363200</v>
      </c>
      <c r="C60" s="4">
        <f t="shared" si="0"/>
        <v>0</v>
      </c>
      <c r="D60" s="28">
        <f t="shared" si="1"/>
        <v>0</v>
      </c>
      <c r="E60" s="61"/>
    </row>
    <row r="61" spans="1:12" x14ac:dyDescent="0.25">
      <c r="A61" s="30" t="s">
        <v>163</v>
      </c>
      <c r="B61" s="4">
        <v>363200</v>
      </c>
      <c r="C61" s="4">
        <f t="shared" si="0"/>
        <v>0</v>
      </c>
      <c r="D61" s="28">
        <f t="shared" si="1"/>
        <v>0</v>
      </c>
      <c r="E61" s="61"/>
    </row>
    <row r="62" spans="1:12" x14ac:dyDescent="0.25">
      <c r="A62" s="30" t="s">
        <v>164</v>
      </c>
      <c r="B62" s="4">
        <v>363200</v>
      </c>
      <c r="C62" s="4">
        <f t="shared" si="0"/>
        <v>0</v>
      </c>
      <c r="D62" s="28">
        <f t="shared" si="1"/>
        <v>0</v>
      </c>
      <c r="E62" s="61"/>
    </row>
    <row r="63" spans="1:12" x14ac:dyDescent="0.25">
      <c r="A63" s="30" t="s">
        <v>165</v>
      </c>
      <c r="B63" s="4">
        <v>366400</v>
      </c>
      <c r="C63" s="4">
        <f t="shared" si="0"/>
        <v>3200</v>
      </c>
      <c r="D63" s="28">
        <f t="shared" si="1"/>
        <v>8.7336244541484712E-3</v>
      </c>
      <c r="E63" s="61"/>
    </row>
    <row r="64" spans="1:12" x14ac:dyDescent="0.25">
      <c r="A64" s="30" t="s">
        <v>166</v>
      </c>
      <c r="B64" s="4">
        <v>363200</v>
      </c>
      <c r="C64" s="4">
        <f t="shared" si="0"/>
        <v>0</v>
      </c>
      <c r="D64" s="28">
        <f t="shared" si="1"/>
        <v>0</v>
      </c>
      <c r="E64" s="61"/>
    </row>
    <row r="65" spans="1:2" x14ac:dyDescent="0.25">
      <c r="A65" s="30" t="s">
        <v>172</v>
      </c>
      <c r="B65" s="4">
        <f>SUM(B7:B64)</f>
        <v>22088800</v>
      </c>
    </row>
    <row r="67" spans="1:2" x14ac:dyDescent="0.25">
      <c r="A67" s="30" t="s">
        <v>211</v>
      </c>
      <c r="B67" s="4">
        <v>363200</v>
      </c>
    </row>
    <row r="68" spans="1:2" x14ac:dyDescent="0.25">
      <c r="A68" s="30" t="s">
        <v>212</v>
      </c>
      <c r="B68" s="111">
        <v>0.3</v>
      </c>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2"/>
  <sheetViews>
    <sheetView topLeftCell="A24" zoomScale="130" zoomScaleNormal="130" workbookViewId="0">
      <selection activeCell="K57" sqref="K57"/>
    </sheetView>
  </sheetViews>
  <sheetFormatPr defaultColWidth="9.140625" defaultRowHeight="15" x14ac:dyDescent="0.25"/>
  <cols>
    <col min="1" max="1" width="3.42578125" style="30" customWidth="1"/>
    <col min="2" max="2" width="26.42578125" style="30" customWidth="1"/>
    <col min="3" max="3" width="3.5703125" style="30" customWidth="1"/>
    <col min="4" max="4" width="13.85546875" style="30" customWidth="1"/>
    <col min="5" max="5" width="14.42578125" style="30" customWidth="1"/>
    <col min="6" max="6" width="12.140625" style="30" customWidth="1"/>
    <col min="7" max="7" width="12.85546875" style="30" customWidth="1"/>
    <col min="8" max="9" width="12.140625" style="30" customWidth="1"/>
    <col min="10" max="10" width="2.5703125" style="30" customWidth="1"/>
    <col min="11" max="11" width="84.42578125" style="30" customWidth="1"/>
    <col min="12" max="16384" width="9.140625" style="30"/>
  </cols>
  <sheetData>
    <row r="1" spans="1:11" x14ac:dyDescent="0.25">
      <c r="A1" s="7" t="s">
        <v>378</v>
      </c>
      <c r="K1" s="251">
        <v>44097</v>
      </c>
    </row>
    <row r="2" spans="1:11" x14ac:dyDescent="0.25">
      <c r="K2" s="252" t="s">
        <v>20</v>
      </c>
    </row>
    <row r="3" spans="1:11" x14ac:dyDescent="0.25">
      <c r="A3" s="45" t="s">
        <v>317</v>
      </c>
      <c r="K3" s="15"/>
    </row>
    <row r="4" spans="1:11" x14ac:dyDescent="0.25">
      <c r="A4" s="46"/>
      <c r="B4" s="12"/>
      <c r="C4" s="12"/>
      <c r="D4" s="48" t="s">
        <v>88</v>
      </c>
      <c r="E4" s="29" t="s">
        <v>318</v>
      </c>
      <c r="F4" s="29" t="s">
        <v>86</v>
      </c>
      <c r="K4" s="15"/>
    </row>
    <row r="5" spans="1:11" x14ac:dyDescent="0.25">
      <c r="A5" s="30" t="s">
        <v>87</v>
      </c>
      <c r="D5" s="31" t="s">
        <v>14</v>
      </c>
      <c r="E5" s="31" t="s">
        <v>89</v>
      </c>
      <c r="F5" s="31" t="s">
        <v>14</v>
      </c>
      <c r="K5" s="15" t="s">
        <v>319</v>
      </c>
    </row>
    <row r="6" spans="1:11" x14ac:dyDescent="0.25">
      <c r="A6" s="64" t="s">
        <v>90</v>
      </c>
      <c r="B6" s="64"/>
      <c r="C6" s="64"/>
      <c r="D6" s="253">
        <v>20</v>
      </c>
      <c r="E6" s="254">
        <v>0.85</v>
      </c>
      <c r="F6" s="65">
        <f>D6*E6</f>
        <v>17</v>
      </c>
      <c r="H6" s="18"/>
      <c r="K6" s="15"/>
    </row>
    <row r="7" spans="1:11" x14ac:dyDescent="0.25">
      <c r="A7" s="12" t="s">
        <v>11</v>
      </c>
      <c r="B7" s="12"/>
      <c r="C7" s="12"/>
      <c r="D7" s="253">
        <v>20</v>
      </c>
      <c r="E7" s="254">
        <v>1</v>
      </c>
      <c r="F7" s="65">
        <f>D7*E7</f>
        <v>20</v>
      </c>
      <c r="H7" s="18"/>
      <c r="K7" s="15"/>
    </row>
    <row r="8" spans="1:11" x14ac:dyDescent="0.25">
      <c r="A8" s="12" t="s">
        <v>12</v>
      </c>
      <c r="B8" s="12"/>
      <c r="C8" s="12"/>
      <c r="D8" s="253">
        <v>20</v>
      </c>
      <c r="E8" s="254">
        <v>1.5</v>
      </c>
      <c r="F8" s="65">
        <f>D8*E8</f>
        <v>30</v>
      </c>
      <c r="H8" s="18"/>
      <c r="K8" s="15"/>
    </row>
    <row r="9" spans="1:11" x14ac:dyDescent="0.25">
      <c r="A9" s="12" t="s">
        <v>13</v>
      </c>
      <c r="B9" s="12"/>
      <c r="C9" s="12"/>
      <c r="D9" s="253">
        <v>20</v>
      </c>
      <c r="E9" s="254">
        <v>2</v>
      </c>
      <c r="F9" s="65">
        <f>MIN(D9*E9,D11*0.3*E9+MAX(0,(D9-(D11*0.3))*E8))</f>
        <v>40</v>
      </c>
      <c r="H9" s="18"/>
      <c r="K9" s="51" t="s">
        <v>320</v>
      </c>
    </row>
    <row r="10" spans="1:11" x14ac:dyDescent="0.25">
      <c r="A10" s="12" t="s">
        <v>92</v>
      </c>
      <c r="B10" s="12"/>
      <c r="C10" s="12"/>
      <c r="D10" s="253">
        <v>20</v>
      </c>
      <c r="E10" s="254">
        <v>2.5</v>
      </c>
      <c r="F10" s="65">
        <f>MIN(D10*E10,D11*0.1*E10+MAX(0,(D10-(D11*0.1))*E8))</f>
        <v>40</v>
      </c>
      <c r="H10" s="18"/>
      <c r="K10" s="51" t="s">
        <v>321</v>
      </c>
    </row>
    <row r="11" spans="1:11" ht="15.75" thickBot="1" x14ac:dyDescent="0.3">
      <c r="D11" s="52">
        <f>SUM(D6:D10)</f>
        <v>100</v>
      </c>
      <c r="F11" s="57">
        <f>SUM(F6:F10)</f>
        <v>147</v>
      </c>
      <c r="K11" s="15"/>
    </row>
    <row r="12" spans="1:11" ht="15.75" thickTop="1" x14ac:dyDescent="0.25">
      <c r="K12" s="15"/>
    </row>
    <row r="13" spans="1:11" x14ac:dyDescent="0.25">
      <c r="A13" s="45" t="s">
        <v>322</v>
      </c>
      <c r="K13" s="15"/>
    </row>
    <row r="14" spans="1:11" x14ac:dyDescent="0.25">
      <c r="A14" s="45"/>
      <c r="D14" s="31" t="s">
        <v>86</v>
      </c>
      <c r="F14" s="31" t="s">
        <v>323</v>
      </c>
      <c r="K14" s="15"/>
    </row>
    <row r="15" spans="1:11" x14ac:dyDescent="0.25">
      <c r="D15" s="31" t="s">
        <v>14</v>
      </c>
      <c r="E15" s="31" t="s">
        <v>324</v>
      </c>
      <c r="F15" s="31" t="s">
        <v>324</v>
      </c>
      <c r="J15" s="50"/>
      <c r="K15" s="15"/>
    </row>
    <row r="16" spans="1:11" x14ac:dyDescent="0.25">
      <c r="A16" s="30" t="s">
        <v>325</v>
      </c>
      <c r="D16" s="50">
        <f>F11</f>
        <v>147</v>
      </c>
      <c r="E16" s="255">
        <v>50000</v>
      </c>
      <c r="F16" s="256">
        <f>D16*E16</f>
        <v>7350000</v>
      </c>
      <c r="G16" s="253"/>
      <c r="H16" s="13"/>
      <c r="J16" s="50"/>
      <c r="K16" s="15" t="s">
        <v>326</v>
      </c>
    </row>
    <row r="17" spans="1:11" x14ac:dyDescent="0.25">
      <c r="B17" s="30" t="s">
        <v>327</v>
      </c>
      <c r="H17" s="13"/>
      <c r="I17" s="13">
        <f>F16</f>
        <v>7350000</v>
      </c>
      <c r="K17" s="15"/>
    </row>
    <row r="18" spans="1:11" x14ac:dyDescent="0.25">
      <c r="E18" s="31"/>
      <c r="H18" s="13"/>
      <c r="I18" s="13"/>
      <c r="K18" s="15"/>
    </row>
    <row r="19" spans="1:11" x14ac:dyDescent="0.25">
      <c r="D19" s="31" t="s">
        <v>88</v>
      </c>
      <c r="E19" s="31" t="s">
        <v>328</v>
      </c>
      <c r="F19" s="31" t="s">
        <v>329</v>
      </c>
      <c r="G19" s="31" t="s">
        <v>330</v>
      </c>
      <c r="H19" s="31" t="s">
        <v>331</v>
      </c>
      <c r="K19" s="15"/>
    </row>
    <row r="20" spans="1:11" x14ac:dyDescent="0.25">
      <c r="A20" s="30" t="s">
        <v>332</v>
      </c>
      <c r="D20" s="31" t="s">
        <v>14</v>
      </c>
      <c r="E20" s="31" t="s">
        <v>333</v>
      </c>
      <c r="F20" s="31" t="s">
        <v>334</v>
      </c>
      <c r="G20" s="31" t="s">
        <v>335</v>
      </c>
      <c r="H20" s="31" t="s">
        <v>336</v>
      </c>
      <c r="K20" s="15" t="s">
        <v>337</v>
      </c>
    </row>
    <row r="21" spans="1:11" x14ac:dyDescent="0.25">
      <c r="B21" s="30" t="s">
        <v>90</v>
      </c>
      <c r="D21" s="30">
        <f>D6</f>
        <v>20</v>
      </c>
      <c r="E21" s="257">
        <f>D21*800</f>
        <v>16000</v>
      </c>
      <c r="F21" s="257">
        <v>1500</v>
      </c>
      <c r="G21" s="13">
        <f>F21*D21</f>
        <v>30000</v>
      </c>
      <c r="H21" s="13">
        <f>(G21-E21)*12*30</f>
        <v>5040000</v>
      </c>
      <c r="K21" s="15"/>
    </row>
    <row r="22" spans="1:11" x14ac:dyDescent="0.25">
      <c r="B22" s="30" t="s">
        <v>11</v>
      </c>
      <c r="D22" s="30">
        <f>D7</f>
        <v>20</v>
      </c>
      <c r="E22" s="257">
        <f>D22*1200</f>
        <v>24000</v>
      </c>
      <c r="F22" s="257">
        <v>1800</v>
      </c>
      <c r="G22" s="13">
        <f>F22*D22</f>
        <v>36000</v>
      </c>
      <c r="H22" s="13">
        <f>(G22-E22)*12*30</f>
        <v>4320000</v>
      </c>
      <c r="K22" s="15"/>
    </row>
    <row r="23" spans="1:11" x14ac:dyDescent="0.25">
      <c r="B23" s="30" t="s">
        <v>12</v>
      </c>
      <c r="D23" s="30">
        <f>D8</f>
        <v>20</v>
      </c>
      <c r="E23" s="257">
        <f>D23*1400</f>
        <v>28000</v>
      </c>
      <c r="F23" s="257">
        <v>2000</v>
      </c>
      <c r="G23" s="13">
        <f>F23*D23</f>
        <v>40000</v>
      </c>
      <c r="H23" s="13">
        <f>(G23-E23)*12*30</f>
        <v>4320000</v>
      </c>
      <c r="K23" s="15"/>
    </row>
    <row r="24" spans="1:11" x14ac:dyDescent="0.25">
      <c r="B24" s="30" t="s">
        <v>13</v>
      </c>
      <c r="D24" s="30">
        <f>D9</f>
        <v>20</v>
      </c>
      <c r="E24" s="257">
        <f>D24*1800</f>
        <v>36000</v>
      </c>
      <c r="F24" s="257">
        <v>2400</v>
      </c>
      <c r="G24" s="13">
        <f>F24*D24</f>
        <v>48000</v>
      </c>
      <c r="H24" s="13">
        <f>(G24-E24)*12*30</f>
        <v>4320000</v>
      </c>
      <c r="K24" s="15"/>
    </row>
    <row r="25" spans="1:11" x14ac:dyDescent="0.25">
      <c r="B25" s="30" t="s">
        <v>98</v>
      </c>
      <c r="D25" s="30">
        <f>D10</f>
        <v>20</v>
      </c>
      <c r="E25" s="257">
        <f>D25*2000</f>
        <v>40000</v>
      </c>
      <c r="F25" s="257">
        <v>2800</v>
      </c>
      <c r="G25" s="13">
        <f>F25*D25</f>
        <v>56000</v>
      </c>
      <c r="H25" s="256">
        <f>(G25-E25)*12*30</f>
        <v>5760000</v>
      </c>
      <c r="K25" s="15"/>
    </row>
    <row r="26" spans="1:11" x14ac:dyDescent="0.25">
      <c r="B26" s="30" t="s">
        <v>338</v>
      </c>
      <c r="F26" s="257"/>
      <c r="I26" s="13">
        <f>SUM(H21:H25)</f>
        <v>23760000</v>
      </c>
      <c r="K26" s="15"/>
    </row>
    <row r="27" spans="1:11" x14ac:dyDescent="0.25">
      <c r="D27" s="31" t="s">
        <v>88</v>
      </c>
      <c r="F27" s="31" t="s">
        <v>323</v>
      </c>
      <c r="I27" s="13"/>
      <c r="K27" s="15"/>
    </row>
    <row r="28" spans="1:11" x14ac:dyDescent="0.25">
      <c r="A28" s="30" t="s">
        <v>339</v>
      </c>
      <c r="D28" s="31" t="s">
        <v>14</v>
      </c>
      <c r="E28" s="31" t="s">
        <v>324</v>
      </c>
      <c r="F28" s="31" t="s">
        <v>324</v>
      </c>
      <c r="K28" s="15" t="s">
        <v>340</v>
      </c>
    </row>
    <row r="29" spans="1:11" x14ac:dyDescent="0.25">
      <c r="B29" s="30" t="s">
        <v>341</v>
      </c>
      <c r="D29" s="253">
        <v>50</v>
      </c>
      <c r="E29" s="255">
        <v>15000</v>
      </c>
      <c r="F29" s="13">
        <f t="shared" ref="F29:F34" si="0">D29*E29</f>
        <v>750000</v>
      </c>
      <c r="H29" s="13"/>
      <c r="K29" s="15"/>
    </row>
    <row r="30" spans="1:11" x14ac:dyDescent="0.25">
      <c r="B30" s="30" t="s">
        <v>342</v>
      </c>
      <c r="D30" s="253">
        <v>10</v>
      </c>
      <c r="E30" s="255">
        <v>30000</v>
      </c>
      <c r="F30" s="13">
        <f t="shared" si="0"/>
        <v>300000</v>
      </c>
      <c r="H30" s="13"/>
      <c r="K30" s="15"/>
    </row>
    <row r="31" spans="1:11" x14ac:dyDescent="0.25">
      <c r="B31" s="30" t="s">
        <v>343</v>
      </c>
      <c r="D31" s="253">
        <v>50</v>
      </c>
      <c r="E31" s="255">
        <v>60000</v>
      </c>
      <c r="F31" s="13">
        <f t="shared" si="0"/>
        <v>3000000</v>
      </c>
      <c r="H31" s="13"/>
      <c r="K31" s="15"/>
    </row>
    <row r="32" spans="1:11" x14ac:dyDescent="0.25">
      <c r="B32" s="30" t="s">
        <v>344</v>
      </c>
      <c r="D32" s="253">
        <v>0</v>
      </c>
      <c r="E32" s="255">
        <v>15000</v>
      </c>
      <c r="F32" s="13">
        <f t="shared" si="0"/>
        <v>0</v>
      </c>
      <c r="H32" s="13"/>
      <c r="K32" s="15"/>
    </row>
    <row r="33" spans="1:11" x14ac:dyDescent="0.25">
      <c r="B33" s="30" t="s">
        <v>345</v>
      </c>
      <c r="D33" s="253">
        <v>0</v>
      </c>
      <c r="E33" s="255">
        <v>30000</v>
      </c>
      <c r="F33" s="13">
        <f t="shared" si="0"/>
        <v>0</v>
      </c>
      <c r="H33" s="13"/>
      <c r="K33" s="15"/>
    </row>
    <row r="34" spans="1:11" x14ac:dyDescent="0.25">
      <c r="B34" s="30" t="s">
        <v>346</v>
      </c>
      <c r="D34" s="253">
        <v>0</v>
      </c>
      <c r="E34" s="255">
        <v>30000</v>
      </c>
      <c r="F34" s="256">
        <f t="shared" si="0"/>
        <v>0</v>
      </c>
      <c r="H34" s="13"/>
      <c r="K34" s="15"/>
    </row>
    <row r="35" spans="1:11" x14ac:dyDescent="0.25">
      <c r="B35" s="30" t="s">
        <v>347</v>
      </c>
      <c r="I35" s="13">
        <f>SUM(F29:F34)</f>
        <v>4050000</v>
      </c>
      <c r="K35" s="15"/>
    </row>
    <row r="36" spans="1:11" x14ac:dyDescent="0.25">
      <c r="D36" s="31" t="s">
        <v>86</v>
      </c>
      <c r="E36" s="31" t="s">
        <v>348</v>
      </c>
      <c r="F36" s="31" t="s">
        <v>318</v>
      </c>
      <c r="G36" s="31" t="s">
        <v>86</v>
      </c>
      <c r="H36" s="31" t="s">
        <v>323</v>
      </c>
      <c r="I36" s="13"/>
      <c r="K36" s="15"/>
    </row>
    <row r="37" spans="1:11" x14ac:dyDescent="0.25">
      <c r="A37" s="30" t="s">
        <v>349</v>
      </c>
      <c r="C37" s="30" t="s">
        <v>350</v>
      </c>
      <c r="D37" s="31" t="s">
        <v>14</v>
      </c>
      <c r="E37" s="31" t="s">
        <v>324</v>
      </c>
      <c r="F37" s="31" t="s">
        <v>89</v>
      </c>
      <c r="G37" s="31" t="s">
        <v>324</v>
      </c>
      <c r="H37" s="31" t="s">
        <v>324</v>
      </c>
      <c r="K37" s="15"/>
    </row>
    <row r="38" spans="1:11" x14ac:dyDescent="0.25">
      <c r="B38" s="30" t="s">
        <v>21</v>
      </c>
      <c r="C38" s="258" t="s">
        <v>351</v>
      </c>
      <c r="D38" s="259">
        <f>IF(C38="x",$F$11,0)</f>
        <v>147</v>
      </c>
      <c r="E38" s="255">
        <v>50000</v>
      </c>
      <c r="F38" s="31" t="s">
        <v>352</v>
      </c>
      <c r="G38" s="260">
        <f>E38</f>
        <v>50000</v>
      </c>
      <c r="H38" s="13">
        <f t="shared" ref="H38:H43" si="1">G38*D38</f>
        <v>7350000</v>
      </c>
      <c r="K38" s="15"/>
    </row>
    <row r="39" spans="1:11" x14ac:dyDescent="0.25">
      <c r="B39" s="30" t="s">
        <v>353</v>
      </c>
      <c r="C39" s="258"/>
      <c r="D39" s="259">
        <f>IF(C39="x",$F$11,0)</f>
        <v>0</v>
      </c>
      <c r="E39" s="255">
        <v>80000</v>
      </c>
      <c r="F39" s="31" t="s">
        <v>352</v>
      </c>
      <c r="G39" s="260">
        <f>E39</f>
        <v>80000</v>
      </c>
      <c r="H39" s="13">
        <f t="shared" si="1"/>
        <v>0</v>
      </c>
      <c r="K39" s="15"/>
    </row>
    <row r="40" spans="1:11" x14ac:dyDescent="0.25">
      <c r="B40" s="30" t="s">
        <v>354</v>
      </c>
      <c r="C40" s="258" t="s">
        <v>351</v>
      </c>
      <c r="D40" s="259">
        <f>IF(C40="x",$F$11,0)</f>
        <v>147</v>
      </c>
      <c r="E40" s="255">
        <v>10000</v>
      </c>
      <c r="F40" s="258">
        <v>7</v>
      </c>
      <c r="G40" s="260">
        <f>E40*F40</f>
        <v>70000</v>
      </c>
      <c r="H40" s="13">
        <f t="shared" si="1"/>
        <v>10290000</v>
      </c>
      <c r="K40" s="15" t="s">
        <v>355</v>
      </c>
    </row>
    <row r="41" spans="1:11" x14ac:dyDescent="0.25">
      <c r="B41" s="30" t="s">
        <v>356</v>
      </c>
      <c r="C41" s="258" t="s">
        <v>351</v>
      </c>
      <c r="D41" s="259">
        <f>IF(C41="x",$F$11,0)</f>
        <v>147</v>
      </c>
      <c r="E41" s="255">
        <v>20000</v>
      </c>
      <c r="F41" s="258">
        <v>2</v>
      </c>
      <c r="G41" s="260">
        <f>E41*F41</f>
        <v>40000</v>
      </c>
      <c r="H41" s="13">
        <f t="shared" si="1"/>
        <v>5880000</v>
      </c>
      <c r="K41" s="15" t="s">
        <v>357</v>
      </c>
    </row>
    <row r="42" spans="1:11" x14ac:dyDescent="0.25">
      <c r="B42" s="30" t="s">
        <v>358</v>
      </c>
      <c r="C42" s="258"/>
      <c r="D42" s="259">
        <f t="shared" ref="D42:D43" si="2">IF(C42="x",$F$11,0)</f>
        <v>0</v>
      </c>
      <c r="E42" s="255">
        <v>0</v>
      </c>
      <c r="F42" s="31" t="s">
        <v>352</v>
      </c>
      <c r="G42" s="260">
        <f>E42</f>
        <v>0</v>
      </c>
      <c r="H42" s="13">
        <f t="shared" si="1"/>
        <v>0</v>
      </c>
      <c r="K42" s="15"/>
    </row>
    <row r="43" spans="1:11" x14ac:dyDescent="0.25">
      <c r="B43" s="30" t="s">
        <v>358</v>
      </c>
      <c r="C43" s="258"/>
      <c r="D43" s="259">
        <f t="shared" si="2"/>
        <v>0</v>
      </c>
      <c r="E43" s="255">
        <v>0</v>
      </c>
      <c r="F43" s="31" t="s">
        <v>352</v>
      </c>
      <c r="G43" s="260">
        <f>E43</f>
        <v>0</v>
      </c>
      <c r="H43" s="256">
        <f t="shared" si="1"/>
        <v>0</v>
      </c>
      <c r="K43" s="15"/>
    </row>
    <row r="44" spans="1:11" x14ac:dyDescent="0.25">
      <c r="B44" s="30" t="s">
        <v>359</v>
      </c>
      <c r="I44" s="13">
        <f>SUM(H38:H43)</f>
        <v>23520000</v>
      </c>
      <c r="K44" s="15"/>
    </row>
    <row r="45" spans="1:11" ht="15.75" thickBot="1" x14ac:dyDescent="0.3">
      <c r="G45" s="7" t="s">
        <v>360</v>
      </c>
      <c r="I45" s="261">
        <f>SUM(I17:I44)</f>
        <v>58680000</v>
      </c>
      <c r="K45" s="15"/>
    </row>
    <row r="46" spans="1:11" ht="15.75" thickTop="1" x14ac:dyDescent="0.25">
      <c r="G46" s="7"/>
      <c r="K46" s="15"/>
    </row>
    <row r="47" spans="1:11" x14ac:dyDescent="0.25">
      <c r="G47" s="7"/>
      <c r="K47" s="15"/>
    </row>
    <row r="48" spans="1:11" x14ac:dyDescent="0.25">
      <c r="G48" s="7"/>
      <c r="K48" s="15"/>
    </row>
    <row r="49" spans="1:11" x14ac:dyDescent="0.25">
      <c r="K49" s="15"/>
    </row>
    <row r="50" spans="1:11" x14ac:dyDescent="0.25">
      <c r="A50" s="45" t="s">
        <v>361</v>
      </c>
      <c r="K50" s="262" t="s">
        <v>362</v>
      </c>
    </row>
    <row r="51" spans="1:11" x14ac:dyDescent="0.25">
      <c r="A51" s="45"/>
      <c r="E51" s="31"/>
      <c r="F51" s="31" t="s">
        <v>363</v>
      </c>
      <c r="G51" s="31" t="s">
        <v>364</v>
      </c>
      <c r="K51" s="262"/>
    </row>
    <row r="52" spans="1:11" x14ac:dyDescent="0.25">
      <c r="A52" s="45"/>
      <c r="E52" s="31" t="s">
        <v>365</v>
      </c>
      <c r="F52" s="31" t="s">
        <v>89</v>
      </c>
      <c r="G52" s="31" t="s">
        <v>365</v>
      </c>
      <c r="K52" s="262"/>
    </row>
    <row r="53" spans="1:11" x14ac:dyDescent="0.25">
      <c r="B53" s="30" t="s">
        <v>366</v>
      </c>
      <c r="E53" s="257">
        <v>10000000</v>
      </c>
      <c r="F53" s="263">
        <v>0.25</v>
      </c>
      <c r="G53" s="260">
        <f t="shared" ref="G53:G57" si="3">E53*(1-F53)</f>
        <v>7500000</v>
      </c>
      <c r="K53" s="262" t="s">
        <v>367</v>
      </c>
    </row>
    <row r="54" spans="1:11" x14ac:dyDescent="0.25">
      <c r="B54" s="30" t="s">
        <v>368</v>
      </c>
      <c r="E54" s="257">
        <v>6000000</v>
      </c>
      <c r="F54" s="263">
        <v>0</v>
      </c>
      <c r="G54" s="260">
        <f t="shared" si="3"/>
        <v>6000000</v>
      </c>
      <c r="K54" s="262"/>
    </row>
    <row r="55" spans="1:11" x14ac:dyDescent="0.25">
      <c r="B55" s="30" t="s">
        <v>369</v>
      </c>
      <c r="E55" s="257">
        <v>1000000</v>
      </c>
      <c r="F55" s="263">
        <v>0</v>
      </c>
      <c r="G55" s="260">
        <f t="shared" si="3"/>
        <v>1000000</v>
      </c>
      <c r="K55" s="262"/>
    </row>
    <row r="56" spans="1:11" x14ac:dyDescent="0.25">
      <c r="B56" s="30" t="s">
        <v>370</v>
      </c>
      <c r="E56" s="264">
        <v>5000000</v>
      </c>
      <c r="F56" s="263">
        <v>0.25</v>
      </c>
      <c r="G56" s="260">
        <f t="shared" si="3"/>
        <v>3750000</v>
      </c>
      <c r="K56" s="262" t="s">
        <v>379</v>
      </c>
    </row>
    <row r="57" spans="1:11" x14ac:dyDescent="0.25">
      <c r="B57" s="30" t="s">
        <v>358</v>
      </c>
      <c r="E57" s="264">
        <v>0</v>
      </c>
      <c r="F57" s="263">
        <v>0</v>
      </c>
      <c r="G57" s="265">
        <f t="shared" si="3"/>
        <v>0</v>
      </c>
      <c r="K57" s="15"/>
    </row>
    <row r="58" spans="1:11" x14ac:dyDescent="0.25">
      <c r="E58" s="264"/>
      <c r="F58" s="264"/>
      <c r="K58" s="15"/>
    </row>
    <row r="59" spans="1:11" x14ac:dyDescent="0.25">
      <c r="G59" s="7" t="s">
        <v>371</v>
      </c>
      <c r="I59" s="266">
        <f>SUM(G53:G58)</f>
        <v>18250000</v>
      </c>
      <c r="K59" s="15"/>
    </row>
    <row r="60" spans="1:11" x14ac:dyDescent="0.25">
      <c r="C60" s="31" t="s">
        <v>350</v>
      </c>
      <c r="D60" s="31" t="s">
        <v>318</v>
      </c>
      <c r="G60" s="7"/>
      <c r="I60" s="267"/>
      <c r="K60" s="15"/>
    </row>
    <row r="61" spans="1:11" x14ac:dyDescent="0.25">
      <c r="B61" s="30" t="s">
        <v>372</v>
      </c>
      <c r="C61" s="258" t="s">
        <v>351</v>
      </c>
      <c r="D61" s="18">
        <f>IF(C61="x",0.15,0)</f>
        <v>0.15</v>
      </c>
      <c r="G61" s="7"/>
      <c r="I61" s="267"/>
      <c r="K61" s="15"/>
    </row>
    <row r="62" spans="1:11" x14ac:dyDescent="0.25">
      <c r="G62" s="7" t="s">
        <v>373</v>
      </c>
      <c r="I62" s="266">
        <f>I59/(1+D61)</f>
        <v>15869565.217391305</v>
      </c>
      <c r="K62" s="15"/>
    </row>
    <row r="63" spans="1:11" x14ac:dyDescent="0.25">
      <c r="G63" s="7"/>
      <c r="I63" s="267"/>
      <c r="K63" s="15"/>
    </row>
    <row r="64" spans="1:11" x14ac:dyDescent="0.25">
      <c r="G64" s="7"/>
      <c r="I64" s="267"/>
      <c r="K64" s="15"/>
    </row>
    <row r="65" spans="1:11" x14ac:dyDescent="0.25">
      <c r="A65" s="41" t="s">
        <v>374</v>
      </c>
      <c r="B65" s="42"/>
      <c r="C65" s="42"/>
      <c r="D65" s="42"/>
      <c r="E65" s="39"/>
      <c r="K65" s="15"/>
    </row>
    <row r="66" spans="1:11" x14ac:dyDescent="0.25">
      <c r="A66" s="7"/>
      <c r="B66" s="22" t="s">
        <v>375</v>
      </c>
      <c r="C66" s="22"/>
      <c r="D66" s="22"/>
      <c r="E66" s="268">
        <f>I45</f>
        <v>58680000</v>
      </c>
      <c r="K66" s="15"/>
    </row>
    <row r="67" spans="1:11" x14ac:dyDescent="0.25">
      <c r="A67" s="7"/>
      <c r="B67" s="22" t="s">
        <v>371</v>
      </c>
      <c r="C67" s="22"/>
      <c r="D67" s="22"/>
      <c r="E67" s="269">
        <f>I62</f>
        <v>15869565.217391305</v>
      </c>
      <c r="K67" s="15"/>
    </row>
    <row r="68" spans="1:11" x14ac:dyDescent="0.25">
      <c r="A68" s="7"/>
      <c r="B68" s="22" t="s">
        <v>376</v>
      </c>
      <c r="C68" s="22"/>
      <c r="D68" s="22"/>
      <c r="E68" s="255">
        <v>10</v>
      </c>
      <c r="K68" s="15"/>
    </row>
    <row r="69" spans="1:11" x14ac:dyDescent="0.25">
      <c r="B69" s="270" t="s">
        <v>377</v>
      </c>
      <c r="C69" s="270"/>
      <c r="D69" s="22"/>
      <c r="I69" s="271">
        <f>E66/E67*E68</f>
        <v>36.976438356164387</v>
      </c>
      <c r="K69" s="15"/>
    </row>
    <row r="72" spans="1:11" x14ac:dyDescent="0.25">
      <c r="B72" s="272"/>
    </row>
  </sheetData>
  <pageMargins left="0.45" right="0.45" top="0.5" bottom="0.5" header="0.3" footer="0.3"/>
  <pageSetup paperSize="17"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4"/>
  <sheetViews>
    <sheetView topLeftCell="B25" zoomScale="115" zoomScaleNormal="115" zoomScalePageLayoutView="90" workbookViewId="0">
      <selection activeCell="I28" sqref="I28"/>
    </sheetView>
  </sheetViews>
  <sheetFormatPr defaultColWidth="8.85546875" defaultRowHeight="15" x14ac:dyDescent="0.25"/>
  <cols>
    <col min="1" max="1" width="3.140625" style="12" customWidth="1"/>
    <col min="2" max="2" width="2.140625" style="12" customWidth="1"/>
    <col min="3" max="3" width="2.42578125" style="12" customWidth="1"/>
    <col min="4" max="4" width="25.85546875" style="12" customWidth="1"/>
    <col min="5" max="5" width="12.140625" style="12" customWidth="1"/>
    <col min="6" max="6" width="15.140625" style="12" customWidth="1"/>
    <col min="7" max="7" width="4.140625" style="12" customWidth="1"/>
    <col min="8" max="8" width="1.140625" style="26" customWidth="1"/>
    <col min="9" max="9" width="74.85546875" style="89" customWidth="1"/>
    <col min="10" max="10" width="20.85546875" style="89" customWidth="1"/>
    <col min="11" max="11" width="11.85546875" style="89" customWidth="1"/>
    <col min="12" max="12" width="35.42578125" style="89" customWidth="1"/>
    <col min="13" max="13" width="75.42578125" style="12" customWidth="1"/>
    <col min="14" max="16384" width="8.85546875" style="12"/>
  </cols>
  <sheetData>
    <row r="1" spans="1:12" ht="15.75" thickBot="1" x14ac:dyDescent="0.3"/>
    <row r="2" spans="1:12" ht="42" customHeight="1" x14ac:dyDescent="0.25">
      <c r="A2" s="143" t="s">
        <v>63</v>
      </c>
      <c r="B2" s="144"/>
      <c r="C2" s="144"/>
      <c r="D2" s="144"/>
      <c r="E2" s="144"/>
      <c r="F2" s="144"/>
      <c r="G2" s="144"/>
      <c r="H2" s="145"/>
      <c r="I2" s="146" t="s">
        <v>176</v>
      </c>
      <c r="J2" s="137" t="s">
        <v>240</v>
      </c>
      <c r="K2" s="137" t="s">
        <v>263</v>
      </c>
      <c r="L2" s="190" t="s">
        <v>257</v>
      </c>
    </row>
    <row r="3" spans="1:12" ht="45" x14ac:dyDescent="0.25">
      <c r="A3" s="147"/>
      <c r="B3" s="100"/>
      <c r="C3" s="101"/>
      <c r="D3" s="101"/>
      <c r="E3" s="108"/>
      <c r="F3" s="101"/>
      <c r="G3" s="102"/>
      <c r="H3" s="85"/>
      <c r="I3" s="148" t="s">
        <v>20</v>
      </c>
      <c r="J3" s="137"/>
      <c r="K3" s="137"/>
      <c r="L3" s="189" t="s">
        <v>252</v>
      </c>
    </row>
    <row r="4" spans="1:12" ht="30" x14ac:dyDescent="0.25">
      <c r="A4" s="149" t="s">
        <v>2</v>
      </c>
      <c r="B4" s="80"/>
      <c r="C4" s="80"/>
      <c r="D4" s="184"/>
      <c r="E4" s="108" t="s">
        <v>254</v>
      </c>
      <c r="F4" s="185">
        <v>3500000000</v>
      </c>
      <c r="G4" s="186"/>
      <c r="H4" s="85"/>
      <c r="I4" s="150" t="s">
        <v>236</v>
      </c>
      <c r="J4" s="138"/>
      <c r="K4" s="138"/>
      <c r="L4" s="132"/>
    </row>
    <row r="5" spans="1:12" ht="30" x14ac:dyDescent="0.25">
      <c r="A5" s="195" t="s">
        <v>23</v>
      </c>
      <c r="B5" s="101"/>
      <c r="C5" s="101"/>
      <c r="D5" s="101"/>
      <c r="E5" s="172"/>
      <c r="F5" s="172"/>
      <c r="G5" s="102"/>
      <c r="H5" s="75"/>
      <c r="I5" s="151" t="s">
        <v>78</v>
      </c>
      <c r="J5" s="138"/>
      <c r="K5" s="138"/>
      <c r="L5" s="132"/>
    </row>
    <row r="6" spans="1:12" ht="45" x14ac:dyDescent="0.25">
      <c r="A6" s="196"/>
      <c r="B6" s="88" t="s">
        <v>24</v>
      </c>
      <c r="C6" s="83"/>
      <c r="D6" s="83"/>
      <c r="E6" s="173">
        <v>0.05</v>
      </c>
      <c r="F6" s="174">
        <f>E6*$F$4</f>
        <v>175000000</v>
      </c>
      <c r="G6" s="171"/>
      <c r="H6" s="75"/>
      <c r="I6" s="151" t="s">
        <v>312</v>
      </c>
      <c r="J6" s="138"/>
      <c r="K6" s="138"/>
      <c r="L6" s="132"/>
    </row>
    <row r="7" spans="1:12" x14ac:dyDescent="0.25">
      <c r="A7" s="152"/>
      <c r="B7" s="88" t="s">
        <v>207</v>
      </c>
      <c r="C7" s="83"/>
      <c r="D7" s="83"/>
      <c r="E7" s="173">
        <v>0.04</v>
      </c>
      <c r="F7" s="174">
        <f>E7*$F$4</f>
        <v>140000000</v>
      </c>
      <c r="G7" s="171"/>
      <c r="H7" s="75"/>
      <c r="I7" s="153"/>
      <c r="J7" s="138"/>
      <c r="K7" s="138"/>
      <c r="L7" s="132"/>
    </row>
    <row r="8" spans="1:12" x14ac:dyDescent="0.25">
      <c r="A8" s="152"/>
      <c r="B8" s="88" t="s">
        <v>208</v>
      </c>
      <c r="C8" s="83"/>
      <c r="D8" s="83"/>
      <c r="E8" s="173">
        <v>0.03</v>
      </c>
      <c r="F8" s="174">
        <f>E8*$F$4</f>
        <v>105000000</v>
      </c>
      <c r="G8" s="171"/>
      <c r="H8" s="75"/>
      <c r="I8" s="154" t="s">
        <v>229</v>
      </c>
      <c r="J8" s="139"/>
      <c r="K8" s="139"/>
      <c r="L8" s="132"/>
    </row>
    <row r="9" spans="1:12" ht="30" x14ac:dyDescent="0.25">
      <c r="A9" s="152"/>
      <c r="B9" s="177" t="s">
        <v>203</v>
      </c>
      <c r="C9" s="178"/>
      <c r="D9" s="178"/>
      <c r="E9" s="175">
        <v>0.03</v>
      </c>
      <c r="F9" s="176">
        <f>E9*$F$4</f>
        <v>105000000</v>
      </c>
      <c r="G9" s="102"/>
      <c r="H9" s="75"/>
      <c r="I9" s="150" t="s">
        <v>204</v>
      </c>
      <c r="J9" s="138" t="s">
        <v>237</v>
      </c>
      <c r="K9" s="191" t="s">
        <v>255</v>
      </c>
      <c r="L9" s="132" t="s">
        <v>250</v>
      </c>
    </row>
    <row r="10" spans="1:12" ht="30" x14ac:dyDescent="0.25">
      <c r="A10" s="197" t="s">
        <v>29</v>
      </c>
      <c r="B10" s="83"/>
      <c r="C10" s="83"/>
      <c r="D10" s="83"/>
      <c r="E10" s="173"/>
      <c r="F10" s="174"/>
      <c r="G10" s="171"/>
      <c r="H10" s="75"/>
      <c r="I10" s="151" t="s">
        <v>79</v>
      </c>
      <c r="J10" s="138"/>
      <c r="K10" s="138"/>
      <c r="L10" s="132"/>
    </row>
    <row r="11" spans="1:12" ht="60" x14ac:dyDescent="0.25">
      <c r="A11" s="149"/>
      <c r="B11" s="88" t="s">
        <v>239</v>
      </c>
      <c r="C11" s="83"/>
      <c r="D11" s="83"/>
      <c r="E11" s="173">
        <v>0.1</v>
      </c>
      <c r="F11" s="174">
        <f>E11*$F$4</f>
        <v>350000000</v>
      </c>
      <c r="G11" s="171"/>
      <c r="H11" s="75"/>
      <c r="I11" s="151" t="s">
        <v>401</v>
      </c>
      <c r="J11" s="138" t="s">
        <v>238</v>
      </c>
      <c r="K11" s="138">
        <v>1</v>
      </c>
      <c r="L11" s="132"/>
    </row>
    <row r="12" spans="1:12" ht="57" customHeight="1" x14ac:dyDescent="0.25">
      <c r="A12" s="152"/>
      <c r="B12" s="339" t="s">
        <v>247</v>
      </c>
      <c r="C12" s="340"/>
      <c r="D12" s="340"/>
      <c r="E12" s="173">
        <v>0.15</v>
      </c>
      <c r="F12" s="174">
        <f>E12*$F$4</f>
        <v>525000000</v>
      </c>
      <c r="G12" s="171"/>
      <c r="H12" s="75"/>
      <c r="I12" s="151" t="s">
        <v>261</v>
      </c>
      <c r="J12" s="138" t="s">
        <v>238</v>
      </c>
      <c r="K12" s="138">
        <v>1</v>
      </c>
      <c r="L12" s="132"/>
    </row>
    <row r="13" spans="1:12" ht="45" x14ac:dyDescent="0.25">
      <c r="A13" s="152"/>
      <c r="B13" s="339" t="s">
        <v>248</v>
      </c>
      <c r="C13" s="340"/>
      <c r="D13" s="340"/>
      <c r="E13" s="175">
        <v>0.1</v>
      </c>
      <c r="F13" s="176">
        <f>E13*$F$4</f>
        <v>350000000</v>
      </c>
      <c r="G13" s="102"/>
      <c r="H13" s="75"/>
      <c r="I13" s="151" t="s">
        <v>265</v>
      </c>
      <c r="J13" s="138" t="s">
        <v>238</v>
      </c>
      <c r="K13" s="138">
        <v>1</v>
      </c>
      <c r="L13" s="133" t="s">
        <v>258</v>
      </c>
    </row>
    <row r="14" spans="1:12" ht="16.350000000000001" customHeight="1" x14ac:dyDescent="0.25">
      <c r="A14" s="197" t="s">
        <v>25</v>
      </c>
      <c r="B14" s="179"/>
      <c r="C14" s="179"/>
      <c r="D14" s="179"/>
      <c r="E14" s="173"/>
      <c r="F14" s="187">
        <v>1750000000</v>
      </c>
      <c r="G14" s="171"/>
      <c r="H14" s="75"/>
      <c r="I14" s="151"/>
      <c r="J14" s="138"/>
      <c r="K14" s="138"/>
      <c r="L14" s="132"/>
    </row>
    <row r="15" spans="1:12" x14ac:dyDescent="0.25">
      <c r="A15" s="197" t="s">
        <v>26</v>
      </c>
      <c r="B15" s="83"/>
      <c r="C15" s="179"/>
      <c r="D15" s="179"/>
      <c r="E15" s="173"/>
      <c r="F15" s="174">
        <f>F4-F14</f>
        <v>1750000000</v>
      </c>
      <c r="G15" s="171"/>
      <c r="H15" s="180"/>
      <c r="I15" s="151"/>
      <c r="J15" s="138"/>
      <c r="K15" s="138"/>
      <c r="L15" s="132"/>
    </row>
    <row r="16" spans="1:12" ht="18.75" customHeight="1" x14ac:dyDescent="0.25">
      <c r="A16" s="152"/>
      <c r="B16" s="82"/>
      <c r="C16" s="309" t="s">
        <v>251</v>
      </c>
      <c r="D16" s="309"/>
      <c r="E16" s="309"/>
      <c r="F16" s="309"/>
      <c r="G16" s="103"/>
      <c r="H16" s="75"/>
      <c r="I16" s="310" t="s">
        <v>202</v>
      </c>
      <c r="J16" s="140"/>
      <c r="K16" s="140"/>
      <c r="L16" s="132"/>
    </row>
    <row r="17" spans="1:13" ht="41.1" customHeight="1" x14ac:dyDescent="0.25">
      <c r="A17" s="149" t="s">
        <v>3</v>
      </c>
      <c r="B17" s="80"/>
      <c r="C17" s="80"/>
      <c r="D17" s="80"/>
      <c r="E17" s="104" t="s">
        <v>181</v>
      </c>
      <c r="F17" s="104" t="s">
        <v>201</v>
      </c>
      <c r="G17" s="103"/>
      <c r="H17" s="75"/>
      <c r="I17" s="311"/>
      <c r="J17" s="140"/>
      <c r="K17" s="140"/>
      <c r="L17" s="132"/>
    </row>
    <row r="18" spans="1:13" x14ac:dyDescent="0.25">
      <c r="A18" s="152"/>
      <c r="B18" s="80" t="s">
        <v>6</v>
      </c>
      <c r="C18" s="80"/>
      <c r="D18" s="80"/>
      <c r="E18" s="181" t="s">
        <v>195</v>
      </c>
      <c r="F18" s="182" t="s">
        <v>189</v>
      </c>
      <c r="G18" s="103"/>
      <c r="H18" s="75"/>
      <c r="I18" s="151" t="s">
        <v>46</v>
      </c>
      <c r="J18" s="138"/>
      <c r="K18" s="138"/>
      <c r="L18" s="132"/>
    </row>
    <row r="19" spans="1:13" x14ac:dyDescent="0.25">
      <c r="A19" s="152"/>
      <c r="B19" s="80" t="s">
        <v>0</v>
      </c>
      <c r="C19" s="80"/>
      <c r="D19" s="80"/>
      <c r="E19" s="181" t="s">
        <v>196</v>
      </c>
      <c r="F19" s="182" t="s">
        <v>191</v>
      </c>
      <c r="G19" s="103"/>
      <c r="H19" s="75"/>
      <c r="I19" s="151" t="s">
        <v>47</v>
      </c>
      <c r="J19" s="138"/>
      <c r="K19" s="138"/>
      <c r="L19" s="132"/>
    </row>
    <row r="20" spans="1:13" x14ac:dyDescent="0.25">
      <c r="A20" s="152"/>
      <c r="B20" s="80" t="s">
        <v>1</v>
      </c>
      <c r="C20" s="80"/>
      <c r="D20" s="80"/>
      <c r="E20" s="181" t="s">
        <v>197</v>
      </c>
      <c r="F20" s="182" t="s">
        <v>190</v>
      </c>
      <c r="G20" s="103"/>
      <c r="H20" s="75"/>
      <c r="I20" s="151" t="s">
        <v>48</v>
      </c>
      <c r="J20" s="138"/>
      <c r="K20" s="138"/>
      <c r="L20" s="132"/>
    </row>
    <row r="21" spans="1:13" x14ac:dyDescent="0.25">
      <c r="A21" s="152"/>
      <c r="B21" s="80" t="s">
        <v>5</v>
      </c>
      <c r="C21" s="80"/>
      <c r="D21" s="80"/>
      <c r="E21" s="181" t="s">
        <v>198</v>
      </c>
      <c r="F21" s="182" t="s">
        <v>192</v>
      </c>
      <c r="G21" s="103"/>
      <c r="H21" s="75"/>
      <c r="I21" s="151" t="s">
        <v>49</v>
      </c>
      <c r="J21" s="138"/>
      <c r="K21" s="138"/>
      <c r="L21" s="132"/>
    </row>
    <row r="22" spans="1:13" x14ac:dyDescent="0.25">
      <c r="A22" s="152"/>
      <c r="B22" s="80" t="s">
        <v>4</v>
      </c>
      <c r="C22" s="80"/>
      <c r="D22" s="80"/>
      <c r="E22" s="181" t="s">
        <v>199</v>
      </c>
      <c r="F22" s="182" t="s">
        <v>193</v>
      </c>
      <c r="G22" s="103"/>
      <c r="H22" s="75"/>
      <c r="I22" s="151" t="s">
        <v>50</v>
      </c>
      <c r="J22" s="138"/>
      <c r="K22" s="138"/>
      <c r="L22" s="132"/>
    </row>
    <row r="23" spans="1:13" x14ac:dyDescent="0.25">
      <c r="A23" s="152"/>
      <c r="B23" s="80" t="s">
        <v>22</v>
      </c>
      <c r="C23" s="80"/>
      <c r="D23" s="80"/>
      <c r="E23" s="181" t="s">
        <v>200</v>
      </c>
      <c r="F23" s="182" t="s">
        <v>194</v>
      </c>
      <c r="G23" s="103"/>
      <c r="H23" s="75"/>
      <c r="I23" s="151" t="s">
        <v>51</v>
      </c>
      <c r="J23" s="138"/>
      <c r="K23" s="138"/>
      <c r="L23" s="132"/>
    </row>
    <row r="24" spans="1:13" ht="15.75" thickBot="1" x14ac:dyDescent="0.3">
      <c r="A24" s="152"/>
      <c r="B24" s="80"/>
      <c r="C24" s="80"/>
      <c r="D24" s="80"/>
      <c r="E24" s="183">
        <v>1</v>
      </c>
      <c r="F24" s="188">
        <f>F15</f>
        <v>1750000000</v>
      </c>
      <c r="G24" s="103"/>
      <c r="H24" s="75"/>
      <c r="I24" s="153"/>
      <c r="J24" s="138"/>
      <c r="K24" s="138"/>
      <c r="L24" s="132"/>
    </row>
    <row r="25" spans="1:13" ht="15.75" thickTop="1" x14ac:dyDescent="0.25">
      <c r="A25" s="155" t="s">
        <v>82</v>
      </c>
      <c r="B25" s="105"/>
      <c r="C25" s="105"/>
      <c r="D25" s="105"/>
      <c r="E25" s="105"/>
      <c r="F25" s="105"/>
      <c r="G25" s="106" t="s">
        <v>7</v>
      </c>
      <c r="H25" s="75"/>
      <c r="I25" s="151"/>
      <c r="J25" s="138"/>
      <c r="K25" s="138"/>
      <c r="L25" s="132"/>
    </row>
    <row r="26" spans="1:13" ht="58.5" customHeight="1" x14ac:dyDescent="0.25">
      <c r="A26" s="156" t="s">
        <v>64</v>
      </c>
      <c r="B26" s="97" t="s">
        <v>58</v>
      </c>
      <c r="C26" s="98"/>
      <c r="D26" s="98"/>
      <c r="E26" s="98"/>
      <c r="F26" s="99">
        <v>10</v>
      </c>
      <c r="G26" s="341">
        <v>10</v>
      </c>
      <c r="H26" s="75"/>
      <c r="I26" s="157" t="s">
        <v>228</v>
      </c>
      <c r="J26" s="132" t="s">
        <v>266</v>
      </c>
      <c r="K26" s="132"/>
      <c r="L26" s="132"/>
    </row>
    <row r="27" spans="1:13" ht="145.5" customHeight="1" x14ac:dyDescent="0.25">
      <c r="A27" s="156" t="s">
        <v>65</v>
      </c>
      <c r="B27" s="86" t="s">
        <v>206</v>
      </c>
      <c r="C27" s="76"/>
      <c r="D27" s="76"/>
      <c r="E27" s="76"/>
      <c r="F27" s="77">
        <v>10</v>
      </c>
      <c r="G27" s="342"/>
      <c r="H27" s="75"/>
      <c r="I27" s="158" t="s">
        <v>262</v>
      </c>
      <c r="J27" s="141" t="s">
        <v>267</v>
      </c>
      <c r="K27" s="192" t="s">
        <v>256</v>
      </c>
      <c r="L27" s="133"/>
    </row>
    <row r="28" spans="1:13" ht="375" x14ac:dyDescent="0.25">
      <c r="A28" s="156">
        <v>2</v>
      </c>
      <c r="B28" s="94" t="s">
        <v>269</v>
      </c>
      <c r="C28" s="95"/>
      <c r="D28" s="95"/>
      <c r="E28" s="95"/>
      <c r="F28" s="96"/>
      <c r="G28" s="93">
        <v>20</v>
      </c>
      <c r="H28" s="75"/>
      <c r="I28" s="159" t="s">
        <v>397</v>
      </c>
      <c r="J28" s="142" t="s">
        <v>268</v>
      </c>
      <c r="K28" s="193" t="s">
        <v>255</v>
      </c>
      <c r="L28" s="133" t="s">
        <v>259</v>
      </c>
      <c r="M28" s="89"/>
    </row>
    <row r="29" spans="1:13" ht="30" x14ac:dyDescent="0.25">
      <c r="A29" s="160">
        <v>3</v>
      </c>
      <c r="B29" s="86" t="s">
        <v>8</v>
      </c>
      <c r="C29" s="76"/>
      <c r="D29" s="76"/>
      <c r="E29" s="76"/>
      <c r="F29" s="76"/>
      <c r="G29" s="93">
        <v>10</v>
      </c>
      <c r="H29" s="75"/>
      <c r="I29" s="151" t="s">
        <v>188</v>
      </c>
      <c r="J29" s="138"/>
      <c r="K29" s="138">
        <v>1</v>
      </c>
      <c r="L29" s="134"/>
      <c r="M29" s="89"/>
    </row>
    <row r="30" spans="1:13" x14ac:dyDescent="0.25">
      <c r="A30" s="161">
        <v>4</v>
      </c>
      <c r="B30" s="87" t="s">
        <v>72</v>
      </c>
      <c r="C30" s="79"/>
      <c r="D30" s="79"/>
      <c r="E30" s="79"/>
      <c r="F30" s="79"/>
      <c r="G30" s="78"/>
      <c r="H30" s="75"/>
      <c r="I30" s="151" t="s">
        <v>68</v>
      </c>
      <c r="J30" s="138"/>
      <c r="K30" s="138"/>
      <c r="L30" s="132"/>
    </row>
    <row r="31" spans="1:13" ht="66" customHeight="1" x14ac:dyDescent="0.25">
      <c r="A31" s="156">
        <v>4</v>
      </c>
      <c r="B31" s="86" t="s">
        <v>182</v>
      </c>
      <c r="C31" s="76"/>
      <c r="D31" s="76"/>
      <c r="E31" s="76"/>
      <c r="F31" s="76"/>
      <c r="G31" s="93">
        <v>20</v>
      </c>
      <c r="H31" s="75"/>
      <c r="I31" s="153" t="s">
        <v>242</v>
      </c>
      <c r="J31" s="138" t="s">
        <v>241</v>
      </c>
      <c r="K31" s="191" t="s">
        <v>256</v>
      </c>
      <c r="L31" s="134"/>
    </row>
    <row r="32" spans="1:13" ht="30" x14ac:dyDescent="0.25">
      <c r="A32" s="156">
        <v>5</v>
      </c>
      <c r="B32" s="86" t="s">
        <v>66</v>
      </c>
      <c r="C32" s="76"/>
      <c r="D32" s="76"/>
      <c r="E32" s="76"/>
      <c r="F32" s="76"/>
      <c r="G32" s="78">
        <v>10</v>
      </c>
      <c r="H32" s="75"/>
      <c r="I32" s="151" t="s">
        <v>67</v>
      </c>
      <c r="J32" s="138"/>
      <c r="K32" s="138"/>
      <c r="L32" s="132"/>
    </row>
    <row r="33" spans="1:12" ht="30" x14ac:dyDescent="0.25">
      <c r="A33" s="162">
        <v>6</v>
      </c>
      <c r="B33" s="87" t="s">
        <v>177</v>
      </c>
      <c r="C33" s="79"/>
      <c r="D33" s="79"/>
      <c r="E33" s="79"/>
      <c r="F33" s="79"/>
      <c r="G33" s="78"/>
      <c r="H33" s="75"/>
      <c r="I33" s="151" t="s">
        <v>175</v>
      </c>
      <c r="J33" s="138"/>
      <c r="K33" s="138"/>
      <c r="L33" s="132"/>
    </row>
    <row r="34" spans="1:12" ht="68.45" customHeight="1" x14ac:dyDescent="0.25">
      <c r="A34" s="161" t="s">
        <v>235</v>
      </c>
      <c r="B34" s="86" t="s">
        <v>234</v>
      </c>
      <c r="C34" s="76"/>
      <c r="D34" s="76"/>
      <c r="E34" s="76"/>
      <c r="F34" s="77">
        <v>10</v>
      </c>
      <c r="G34" s="92"/>
      <c r="H34" s="75"/>
      <c r="I34" s="150" t="s">
        <v>381</v>
      </c>
      <c r="J34" s="138" t="s">
        <v>246</v>
      </c>
      <c r="K34" s="138">
        <v>3</v>
      </c>
      <c r="L34" s="135" t="s">
        <v>253</v>
      </c>
    </row>
    <row r="35" spans="1:12" ht="61.5" customHeight="1" x14ac:dyDescent="0.25">
      <c r="A35" s="156" t="s">
        <v>235</v>
      </c>
      <c r="B35" s="86" t="s">
        <v>205</v>
      </c>
      <c r="C35" s="76"/>
      <c r="D35" s="76"/>
      <c r="E35" s="76"/>
      <c r="F35" s="77">
        <v>10</v>
      </c>
      <c r="G35" s="107">
        <v>10</v>
      </c>
      <c r="H35" s="75"/>
      <c r="I35" s="150" t="s">
        <v>398</v>
      </c>
      <c r="J35" s="138" t="s">
        <v>243</v>
      </c>
      <c r="K35" s="138">
        <v>3</v>
      </c>
      <c r="L35" s="132" t="s">
        <v>260</v>
      </c>
    </row>
    <row r="36" spans="1:12" ht="69" customHeight="1" x14ac:dyDescent="0.25">
      <c r="A36" s="156">
        <v>7</v>
      </c>
      <c r="B36" s="86" t="s">
        <v>70</v>
      </c>
      <c r="C36" s="76"/>
      <c r="D36" s="76"/>
      <c r="E36" s="76"/>
      <c r="F36" s="76"/>
      <c r="G36" s="78">
        <v>10</v>
      </c>
      <c r="H36" s="75"/>
      <c r="I36" s="151" t="s">
        <v>76</v>
      </c>
      <c r="J36" s="138"/>
      <c r="K36" s="138"/>
      <c r="L36" s="132" t="s">
        <v>399</v>
      </c>
    </row>
    <row r="37" spans="1:12" ht="30" x14ac:dyDescent="0.25">
      <c r="A37" s="162">
        <v>8</v>
      </c>
      <c r="B37" s="87" t="s">
        <v>178</v>
      </c>
      <c r="C37" s="79"/>
      <c r="D37" s="79"/>
      <c r="E37" s="79"/>
      <c r="F37" s="79"/>
      <c r="G37" s="78"/>
      <c r="H37" s="75"/>
      <c r="I37" s="151" t="s">
        <v>71</v>
      </c>
      <c r="J37" s="138"/>
      <c r="K37" s="138"/>
      <c r="L37" s="132"/>
    </row>
    <row r="38" spans="1:12" ht="30" x14ac:dyDescent="0.25">
      <c r="A38" s="156">
        <v>8</v>
      </c>
      <c r="B38" s="86" t="s">
        <v>183</v>
      </c>
      <c r="C38" s="76"/>
      <c r="D38" s="76"/>
      <c r="E38" s="76"/>
      <c r="F38" s="77"/>
      <c r="G38" s="107">
        <v>12</v>
      </c>
      <c r="H38" s="75"/>
      <c r="I38" s="151" t="s">
        <v>174</v>
      </c>
      <c r="J38" s="138" t="s">
        <v>244</v>
      </c>
      <c r="K38" s="138">
        <v>2</v>
      </c>
      <c r="L38" s="132" t="s">
        <v>400</v>
      </c>
    </row>
    <row r="39" spans="1:12" ht="60.95" customHeight="1" x14ac:dyDescent="0.25">
      <c r="A39" s="156">
        <v>9</v>
      </c>
      <c r="B39" s="86" t="s">
        <v>27</v>
      </c>
      <c r="C39" s="76"/>
      <c r="D39" s="76"/>
      <c r="E39" s="76"/>
      <c r="F39" s="77"/>
      <c r="G39" s="92">
        <v>8</v>
      </c>
      <c r="H39" s="75"/>
      <c r="I39" s="151" t="s">
        <v>245</v>
      </c>
      <c r="J39" s="138" t="s">
        <v>249</v>
      </c>
      <c r="K39" s="138">
        <v>2</v>
      </c>
      <c r="L39" s="136"/>
    </row>
    <row r="40" spans="1:12" ht="27.95" customHeight="1" x14ac:dyDescent="0.25">
      <c r="A40" s="156">
        <v>10</v>
      </c>
      <c r="B40" s="86" t="s">
        <v>9</v>
      </c>
      <c r="C40" s="76"/>
      <c r="D40" s="76"/>
      <c r="E40" s="76"/>
      <c r="F40" s="76"/>
      <c r="G40" s="78">
        <v>10</v>
      </c>
      <c r="H40" s="75"/>
      <c r="I40" s="151" t="s">
        <v>28</v>
      </c>
      <c r="J40" s="138"/>
      <c r="K40" s="138"/>
      <c r="L40" s="132" t="s">
        <v>399</v>
      </c>
    </row>
    <row r="41" spans="1:12" s="131" customFormat="1" ht="15.75" customHeight="1" x14ac:dyDescent="0.25">
      <c r="A41" s="163">
        <v>11</v>
      </c>
      <c r="B41" s="128" t="s">
        <v>73</v>
      </c>
      <c r="C41" s="129"/>
      <c r="D41" s="129"/>
      <c r="E41" s="129"/>
      <c r="F41" s="129"/>
      <c r="G41" s="130"/>
      <c r="H41" s="75"/>
      <c r="I41" s="151" t="s">
        <v>77</v>
      </c>
      <c r="J41" s="138"/>
      <c r="K41" s="138"/>
      <c r="L41" s="132"/>
    </row>
    <row r="42" spans="1:12" ht="30" x14ac:dyDescent="0.25">
      <c r="A42" s="161">
        <v>12</v>
      </c>
      <c r="B42" s="87" t="s">
        <v>74</v>
      </c>
      <c r="C42" s="76"/>
      <c r="D42" s="76"/>
      <c r="E42" s="76"/>
      <c r="F42" s="76"/>
      <c r="G42" s="78"/>
      <c r="H42" s="75"/>
      <c r="I42" s="151" t="s">
        <v>314</v>
      </c>
      <c r="J42" s="138"/>
      <c r="K42" s="138"/>
      <c r="L42" s="132"/>
    </row>
    <row r="43" spans="1:12" ht="30" x14ac:dyDescent="0.25">
      <c r="A43" s="161">
        <v>13</v>
      </c>
      <c r="B43" s="87" t="s">
        <v>75</v>
      </c>
      <c r="C43" s="76"/>
      <c r="D43" s="76"/>
      <c r="E43" s="76"/>
      <c r="F43" s="76"/>
      <c r="G43" s="78"/>
      <c r="H43" s="75"/>
      <c r="I43" s="151" t="s">
        <v>81</v>
      </c>
      <c r="J43" s="138"/>
      <c r="K43" s="138"/>
      <c r="L43" s="132"/>
    </row>
    <row r="44" spans="1:12" s="22" customFormat="1" x14ac:dyDescent="0.25">
      <c r="A44" s="152"/>
      <c r="B44" s="80"/>
      <c r="C44" s="80"/>
      <c r="D44" s="80"/>
      <c r="E44" s="80"/>
      <c r="F44" s="81" t="s">
        <v>69</v>
      </c>
      <c r="G44" s="82">
        <f>SUM(G26:G43)</f>
        <v>120</v>
      </c>
      <c r="H44" s="75"/>
      <c r="I44" s="164"/>
      <c r="J44" s="138"/>
      <c r="K44" s="138"/>
      <c r="L44" s="132"/>
    </row>
    <row r="45" spans="1:12" ht="30" x14ac:dyDescent="0.25">
      <c r="A45" s="156" t="s">
        <v>80</v>
      </c>
      <c r="B45" s="88" t="s">
        <v>232</v>
      </c>
      <c r="C45" s="83"/>
      <c r="D45" s="83"/>
      <c r="E45" s="83"/>
      <c r="F45" s="83"/>
      <c r="G45" s="84"/>
      <c r="H45" s="85"/>
      <c r="I45" s="151" t="s">
        <v>231</v>
      </c>
      <c r="J45" s="138"/>
      <c r="K45" s="138"/>
      <c r="L45" s="132"/>
    </row>
    <row r="46" spans="1:12" s="30" customFormat="1" ht="30.75" thickBot="1" x14ac:dyDescent="0.3">
      <c r="A46" s="165">
        <v>11</v>
      </c>
      <c r="B46" s="166" t="s">
        <v>233</v>
      </c>
      <c r="C46" s="167"/>
      <c r="D46" s="167"/>
      <c r="E46" s="167"/>
      <c r="F46" s="167"/>
      <c r="G46" s="168"/>
      <c r="H46" s="169"/>
      <c r="I46" s="170" t="s">
        <v>83</v>
      </c>
      <c r="J46" s="138"/>
      <c r="K46" s="138"/>
      <c r="L46" s="132"/>
    </row>
    <row r="47" spans="1:12" s="30" customFormat="1" x14ac:dyDescent="0.25">
      <c r="C47" s="74"/>
      <c r="D47" s="74"/>
      <c r="E47" s="74"/>
      <c r="F47" s="74"/>
      <c r="G47" s="74"/>
      <c r="H47" s="74"/>
      <c r="I47" s="91"/>
      <c r="J47" s="91"/>
      <c r="K47" s="91"/>
      <c r="L47" s="90"/>
    </row>
    <row r="48" spans="1:12" s="30" customFormat="1" x14ac:dyDescent="0.25">
      <c r="I48" s="90"/>
      <c r="J48" s="90"/>
      <c r="K48" s="90"/>
      <c r="L48" s="90"/>
    </row>
    <row r="49" spans="1:12" s="30" customFormat="1" x14ac:dyDescent="0.25">
      <c r="I49" s="90"/>
      <c r="J49" s="90"/>
      <c r="K49" s="90"/>
      <c r="L49" s="90"/>
    </row>
    <row r="50" spans="1:12" s="30" customFormat="1" x14ac:dyDescent="0.25">
      <c r="A50" s="194" t="s">
        <v>264</v>
      </c>
      <c r="I50" s="90"/>
      <c r="J50" s="90"/>
      <c r="K50" s="90"/>
      <c r="L50" s="90"/>
    </row>
    <row r="51" spans="1:12" s="30" customFormat="1" ht="41.1" customHeight="1" x14ac:dyDescent="0.25">
      <c r="C51" s="198">
        <v>1</v>
      </c>
      <c r="D51" s="314" t="s">
        <v>270</v>
      </c>
      <c r="E51" s="314"/>
      <c r="F51" s="314"/>
      <c r="G51" s="314"/>
      <c r="H51" s="314"/>
      <c r="I51" s="314"/>
      <c r="J51" s="90"/>
      <c r="K51" s="90"/>
      <c r="L51" s="90"/>
    </row>
    <row r="52" spans="1:12" s="30" customFormat="1" x14ac:dyDescent="0.25">
      <c r="C52" s="198">
        <v>2</v>
      </c>
      <c r="D52" s="306" t="s">
        <v>271</v>
      </c>
      <c r="E52" s="306"/>
      <c r="F52" s="306"/>
      <c r="G52" s="306"/>
      <c r="H52" s="306"/>
      <c r="I52" s="306"/>
      <c r="J52" s="90"/>
      <c r="K52" s="90"/>
      <c r="L52" s="90"/>
    </row>
    <row r="53" spans="1:12" s="30" customFormat="1" x14ac:dyDescent="0.25">
      <c r="C53" s="198">
        <v>3</v>
      </c>
      <c r="D53" s="199" t="s">
        <v>272</v>
      </c>
      <c r="E53" s="199"/>
      <c r="F53" s="199"/>
      <c r="G53" s="199"/>
      <c r="H53" s="199"/>
      <c r="I53" s="199"/>
      <c r="J53" s="90"/>
      <c r="K53" s="90"/>
      <c r="L53" s="90"/>
    </row>
    <row r="54" spans="1:12" s="30" customFormat="1" ht="14.45" customHeight="1" x14ac:dyDescent="0.25">
      <c r="C54" s="198"/>
      <c r="D54" s="306"/>
      <c r="E54" s="306"/>
      <c r="F54" s="306"/>
      <c r="G54" s="306"/>
      <c r="H54" s="306"/>
      <c r="I54" s="306"/>
      <c r="J54" s="90"/>
      <c r="K54" s="90"/>
      <c r="L54" s="90"/>
    </row>
    <row r="55" spans="1:12" s="30" customFormat="1" x14ac:dyDescent="0.25">
      <c r="I55" s="90"/>
      <c r="J55" s="90"/>
      <c r="K55" s="90"/>
      <c r="L55" s="90"/>
    </row>
    <row r="56" spans="1:12" s="30" customFormat="1" x14ac:dyDescent="0.25">
      <c r="I56" s="90"/>
      <c r="J56" s="90"/>
      <c r="K56" s="90"/>
      <c r="L56" s="90"/>
    </row>
    <row r="57" spans="1:12" s="30" customFormat="1" x14ac:dyDescent="0.25">
      <c r="I57" s="90"/>
      <c r="J57" s="90"/>
      <c r="K57" s="90"/>
      <c r="L57" s="90"/>
    </row>
    <row r="58" spans="1:12" s="30" customFormat="1" x14ac:dyDescent="0.25">
      <c r="I58" s="90"/>
      <c r="J58" s="90"/>
      <c r="K58" s="90"/>
      <c r="L58" s="90"/>
    </row>
    <row r="59" spans="1:12" s="30" customFormat="1" x14ac:dyDescent="0.25">
      <c r="I59" s="90"/>
      <c r="J59" s="90"/>
      <c r="K59" s="90"/>
      <c r="L59" s="90"/>
    </row>
    <row r="60" spans="1:12" s="30" customFormat="1" x14ac:dyDescent="0.25">
      <c r="I60" s="90"/>
      <c r="J60" s="90"/>
      <c r="K60" s="90"/>
      <c r="L60" s="90"/>
    </row>
    <row r="61" spans="1:12" s="30" customFormat="1" ht="20.25" customHeight="1" x14ac:dyDescent="0.25">
      <c r="I61" s="90"/>
      <c r="J61" s="90"/>
      <c r="K61" s="90"/>
      <c r="L61" s="90"/>
    </row>
    <row r="62" spans="1:12" s="30" customFormat="1" x14ac:dyDescent="0.25">
      <c r="I62" s="90"/>
      <c r="J62" s="90"/>
      <c r="K62" s="90"/>
      <c r="L62" s="90"/>
    </row>
    <row r="63" spans="1:12" s="30" customFormat="1" x14ac:dyDescent="0.25">
      <c r="I63" s="90"/>
      <c r="J63" s="90"/>
      <c r="K63" s="90"/>
      <c r="L63" s="90"/>
    </row>
    <row r="64" spans="1:12" s="30" customFormat="1" x14ac:dyDescent="0.25">
      <c r="I64" s="90"/>
      <c r="J64" s="90"/>
      <c r="K64" s="90"/>
      <c r="L64" s="90"/>
    </row>
  </sheetData>
  <mergeCells count="8">
    <mergeCell ref="D54:I54"/>
    <mergeCell ref="C16:F16"/>
    <mergeCell ref="I16:I17"/>
    <mergeCell ref="B12:D12"/>
    <mergeCell ref="G26:G27"/>
    <mergeCell ref="B13:D13"/>
    <mergeCell ref="D51:I51"/>
    <mergeCell ref="D52:I52"/>
  </mergeCells>
  <phoneticPr fontId="23" type="noConversion"/>
  <pageMargins left="0.5" right="0.5" top="0.5" bottom="0.25" header="0.3" footer="0.3"/>
  <pageSetup paperSize="17" scale="97" fitToHeight="0" orientation="landscape" r:id="rId1"/>
  <headerFooter>
    <oddHeader>&amp;L&amp;"-,Bold Italic"DRAFT FOR DISCUSSION/WORKING DOCUMENT/SUBJECT TO REVISION AND MODIFICATION v. 9/12/2020</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8CE213191609344AAA5D7C064CBFE04" ma:contentTypeVersion="8" ma:contentTypeDescription="Create a new document." ma:contentTypeScope="" ma:versionID="3ab8be0cc8ffae6f01f807cf0a7a603b">
  <xsd:schema xmlns:xsd="http://www.w3.org/2001/XMLSchema" xmlns:xs="http://www.w3.org/2001/XMLSchema" xmlns:p="http://schemas.microsoft.com/office/2006/metadata/properties" xmlns:ns1="http://schemas.microsoft.com/sharepoint/v3" xmlns:ns3="f8c6e0e8-a3c1-43e3-a215-cf247e4c98e7" targetNamespace="http://schemas.microsoft.com/office/2006/metadata/properties" ma:root="true" ma:fieldsID="a6f0d85e5142ebaa9e561b17cb5d8941" ns1:_="" ns3:_="">
    <xsd:import namespace="http://schemas.microsoft.com/sharepoint/v3"/>
    <xsd:import namespace="f8c6e0e8-a3c1-43e3-a215-cf247e4c98e7"/>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4" nillable="true" ma:displayName="Unified Compliance Policy Properties" ma:hidden="true" ma:internalName="_ip_UnifiedCompliancePolicyProperties">
      <xsd:simpleType>
        <xsd:restriction base="dms:Note"/>
      </xsd:simpleType>
    </xsd:element>
    <xsd:element name="_ip_UnifiedCompliancePolicyUIAction" ma:index="15"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8c6e0e8-a3c1-43e3-a215-cf247e4c98e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0610635-678C-4FE5-BC9A-09399131E81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f8c6e0e8-a3c1-43e3-a215-cf247e4c98e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8A4D324-BB1D-408C-B08A-16B90C3EF6BC}">
  <ds:schemaRefs>
    <ds:schemaRef ds:uri="http://schemas.microsoft.com/office/infopath/2007/PartnerControls"/>
    <ds:schemaRef ds:uri="f8c6e0e8-a3c1-43e3-a215-cf247e4c98e7"/>
    <ds:schemaRef ds:uri="http://purl.org/dc/elements/1.1/"/>
    <ds:schemaRef ds:uri="http://schemas.microsoft.com/office/2006/metadata/properties"/>
    <ds:schemaRef ds:uri="http://schemas.microsoft.com/sharepoint/v3"/>
    <ds:schemaRef ds:uri="http://schemas.microsoft.com/office/2006/documentManagement/types"/>
    <ds:schemaRef ds:uri="http://purl.org/dc/terms/"/>
    <ds:schemaRef ds:uri="http://schemas.openxmlformats.org/package/2006/metadata/core-properties"/>
    <ds:schemaRef ds:uri="http://purl.org/dc/dcmitype/"/>
    <ds:schemaRef ds:uri="http://www.w3.org/XML/1998/namespace"/>
  </ds:schemaRefs>
</ds:datastoreItem>
</file>

<file path=customXml/itemProps3.xml><?xml version="1.0" encoding="utf-8"?>
<ds:datastoreItem xmlns:ds="http://schemas.openxmlformats.org/officeDocument/2006/customXml" ds:itemID="{30B58365-31BC-404C-B071-4DFE54855F1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2021 System 9-23-20 WG</vt:lpstr>
      <vt:lpstr>Notes</vt:lpstr>
      <vt:lpstr>Cost Containment</vt:lpstr>
      <vt:lpstr>Tie Breaker 2021</vt:lpstr>
      <vt:lpstr>TB - Basis Limit Delta - 2021</vt:lpstr>
      <vt:lpstr>Benefit Efficiency - 2022</vt:lpstr>
      <vt:lpstr>2021 System 9-12-20 Admin</vt:lpstr>
      <vt:lpstr>'2021 System 9-12-20 Admin'!Print_Area</vt:lpstr>
      <vt:lpstr>'2021 System 9-23-20 WG'!Print_Area</vt:lpstr>
      <vt:lpstr>'Tie Breaker 2021'!Print_Area</vt:lpstr>
      <vt:lpstr>'TB - Basis Limit Delta - 2021'!Print_Titles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Caleb Roope</dc:creator>
  <cp:lastModifiedBy>Avila, Rose</cp:lastModifiedBy>
  <cp:lastPrinted>2020-09-23T07:37:28Z</cp:lastPrinted>
  <dcterms:created xsi:type="dcterms:W3CDTF">2020-02-15T22:38:33Z</dcterms:created>
  <dcterms:modified xsi:type="dcterms:W3CDTF">2020-09-25T23:55:07Z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0x01010078CE213191609344AAA5D7C064CBFE04</vt:lpwstr>
  </property>
</Properties>
</file>