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defaultThemeVersion="124226"/>
  <mc:AlternateContent xmlns:mc="http://schemas.openxmlformats.org/markup-compatibility/2006">
    <mc:Choice Requires="x15">
      <x15ac:absPath xmlns:x15ac="http://schemas.microsoft.com/office/spreadsheetml/2010/11/ac" url="C:\Users\Molly\Desktop\Pioneer Development LLC\Levy\2019 - Oak Grove\Joint CDLAC TCAC Application\"/>
    </mc:Choice>
  </mc:AlternateContent>
  <xr:revisionPtr revIDLastSave="0" documentId="13_ncr:1_{3DEF2D51-7BC3-4ABD-BA09-8E051603FBC5}" xr6:coauthVersionLast="45" xr6:coauthVersionMax="45" xr10:uidLastSave="{00000000-0000-0000-0000-000000000000}"/>
  <workbookProtection workbookPassword="E2FF" lockStructure="1"/>
  <bookViews>
    <workbookView xWindow="-120" yWindow="-120" windowWidth="29040" windowHeight="15840" tabRatio="905" firstSheet="3" activeTab="9"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 r:id="rId19"/>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2">'[4]Basis Matrix'!$A$1:$H$145</definedName>
    <definedName name="PRINT">'[4]Basis Matrix'!$A$1:$H$145</definedName>
    <definedName name="_xlnm.Print_Area" localSheetId="9">'15 Year Pro Forma'!$A$1:$AH$65</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App)'!$A$1:$G$791</definedName>
    <definedName name="_xlnm.Print_Area" localSheetId="8">'FARMWORKER Basis &amp; Credits'!$A$1:$AN$81</definedName>
    <definedName name="_xlnm.Print_Area" localSheetId="0">'Instructions-App Completion '!$A$1:$BP$397</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2">[4]Feasibility!$X$4:$AL$75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2">[4]Feasibility!$X$78:$AM$145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2">[4]Feasibility!$A$152:$L$224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Forma'!$A$1:$AH$65</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App)'!$A$1:$G$791</definedName>
    <definedName name="Z_ACB87C9A_02C3_4C83_BBE4_E2C44A4D81CD_.wvu.PrintArea" localSheetId="0" hidden="1">'Instructions-App Completion '!$A$1:$AL$397</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App)'!$1565:$65610,'Checklist Items (Non-Joint App)'!$792:$1359,'Checklist Items (Non-Joint App)'!$1564:$1564</definedName>
    <definedName name="Z_ACB87C9A_02C3_4C83_BBE4_E2C44A4D81CD_.wvu.Rows" localSheetId="0" hidden="1">'Instructions-App Completion '!$503:$65580,'Instructions-App Completion '!$400:$459</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91029" iterate="1" iterateCount="2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5" i="4" l="1"/>
  <c r="E43" i="4"/>
  <c r="AE545" i="3"/>
  <c r="AG619" i="3"/>
  <c r="G43" i="4"/>
  <c r="C72" i="4"/>
  <c r="AG620" i="3"/>
  <c r="C4" i="4" l="1"/>
  <c r="C9" i="4"/>
  <c r="E72" i="4" l="1"/>
  <c r="W826" i="3" l="1"/>
  <c r="W839" i="3"/>
  <c r="W844" i="3"/>
  <c r="W834" i="3"/>
  <c r="F98" i="13"/>
  <c r="F89" i="13"/>
  <c r="F88" i="13"/>
  <c r="F87" i="13"/>
  <c r="F83" i="13"/>
  <c r="F81" i="13"/>
  <c r="F77" i="13"/>
  <c r="F76" i="13"/>
  <c r="I48" i="13"/>
  <c r="F41" i="13"/>
  <c r="F39" i="13"/>
  <c r="F38" i="13"/>
  <c r="F26" i="13"/>
  <c r="F23" i="13"/>
  <c r="F21" i="13"/>
  <c r="F20" i="13"/>
  <c r="F19" i="13"/>
  <c r="F18" i="13"/>
  <c r="C89" i="13"/>
  <c r="C88" i="13"/>
  <c r="C87" i="13"/>
  <c r="C83" i="13"/>
  <c r="C81" i="13"/>
  <c r="C80" i="13"/>
  <c r="C77" i="13"/>
  <c r="C76" i="13"/>
  <c r="C66" i="13"/>
  <c r="C65" i="13"/>
  <c r="C48" i="13"/>
  <c r="C43" i="13"/>
  <c r="C41" i="13"/>
  <c r="C39" i="13"/>
  <c r="C38" i="13"/>
  <c r="C26" i="13"/>
  <c r="C23" i="13"/>
  <c r="C21" i="13"/>
  <c r="C20" i="13"/>
  <c r="C19" i="13"/>
  <c r="C18" i="13"/>
  <c r="F4" i="4"/>
  <c r="E69" i="4"/>
  <c r="C18" i="4"/>
  <c r="AE546" i="3"/>
  <c r="E55" i="4"/>
  <c r="C80" i="4"/>
  <c r="C66" i="4"/>
  <c r="C88" i="4"/>
  <c r="AA893" i="3"/>
  <c r="W847" i="3"/>
  <c r="AC867" i="3"/>
  <c r="Z793" i="3"/>
  <c r="P618" i="3" l="1"/>
  <c r="AG429" i="3"/>
  <c r="W827" i="3" l="1"/>
  <c r="E14" i="7" s="1"/>
  <c r="G14" i="7" s="1"/>
  <c r="I14" i="7" s="1"/>
  <c r="K14" i="7" s="1"/>
  <c r="M14" i="7" s="1"/>
  <c r="O14" i="7" s="1"/>
  <c r="Q14" i="7" s="1"/>
  <c r="S14" i="7" s="1"/>
  <c r="U14" i="7" s="1"/>
  <c r="W14" i="7" s="1"/>
  <c r="Y14" i="7" s="1"/>
  <c r="AA14" i="7" s="1"/>
  <c r="AC14" i="7" s="1"/>
  <c r="AE14" i="7" s="1"/>
  <c r="AG14" i="7" s="1"/>
  <c r="W835" i="3"/>
  <c r="W850" i="3"/>
  <c r="E19" i="7" s="1"/>
  <c r="G19" i="7" s="1"/>
  <c r="I19" i="7" s="1"/>
  <c r="K19" i="7" s="1"/>
  <c r="M19" i="7" s="1"/>
  <c r="O19" i="7" s="1"/>
  <c r="Q19" i="7" s="1"/>
  <c r="S19" i="7" s="1"/>
  <c r="U19" i="7" s="1"/>
  <c r="W19" i="7" s="1"/>
  <c r="Y19" i="7" s="1"/>
  <c r="AA19" i="7" s="1"/>
  <c r="AC19" i="7" s="1"/>
  <c r="AE19" i="7" s="1"/>
  <c r="AG19" i="7" s="1"/>
  <c r="E89" i="4"/>
  <c r="E88" i="4"/>
  <c r="R88" i="4" s="1"/>
  <c r="E87" i="4"/>
  <c r="E83" i="4"/>
  <c r="E81" i="4"/>
  <c r="R81" i="4" s="1"/>
  <c r="E80" i="4"/>
  <c r="R80" i="4" s="1"/>
  <c r="E77" i="4"/>
  <c r="R77" i="4" s="1"/>
  <c r="E76" i="4"/>
  <c r="E78" i="4" s="1"/>
  <c r="E74" i="4"/>
  <c r="E66" i="4"/>
  <c r="E67" i="4" s="1"/>
  <c r="E65" i="4"/>
  <c r="R65" i="4" s="1"/>
  <c r="E60" i="4"/>
  <c r="R60" i="4" s="1"/>
  <c r="E48" i="4"/>
  <c r="E41" i="4"/>
  <c r="E39" i="4"/>
  <c r="E40" i="4" s="1"/>
  <c r="E38" i="4"/>
  <c r="R38" i="4" s="1"/>
  <c r="E26" i="4"/>
  <c r="R26" i="4" s="1"/>
  <c r="E23" i="4"/>
  <c r="R23" i="4" s="1"/>
  <c r="E21" i="4"/>
  <c r="E20" i="4"/>
  <c r="R20" i="4" s="1"/>
  <c r="E19" i="4"/>
  <c r="R19" i="4" s="1"/>
  <c r="F8" i="4"/>
  <c r="S89" i="4"/>
  <c r="E89" i="13" s="1"/>
  <c r="S88" i="4"/>
  <c r="S87" i="4"/>
  <c r="S83" i="4"/>
  <c r="S81" i="4"/>
  <c r="S77" i="4"/>
  <c r="S76" i="4"/>
  <c r="S78" i="4" s="1"/>
  <c r="E78" i="13" s="1"/>
  <c r="S41" i="4"/>
  <c r="S39" i="4"/>
  <c r="E39" i="13" s="1"/>
  <c r="S38" i="4"/>
  <c r="S26" i="4"/>
  <c r="S23" i="4"/>
  <c r="E23" i="13" s="1"/>
  <c r="S21" i="4"/>
  <c r="E21" i="13" s="1"/>
  <c r="S20" i="4"/>
  <c r="S19" i="4"/>
  <c r="E19" i="13" s="1"/>
  <c r="S18" i="4"/>
  <c r="T48" i="4"/>
  <c r="C11" i="4"/>
  <c r="T53" i="4"/>
  <c r="C8" i="4"/>
  <c r="B8" i="13" s="1"/>
  <c r="C53" i="4"/>
  <c r="B53" i="13" s="1"/>
  <c r="C25" i="4"/>
  <c r="B25" i="13" s="1"/>
  <c r="C40" i="4"/>
  <c r="B40" i="13" s="1"/>
  <c r="C62" i="4"/>
  <c r="B62" i="13" s="1"/>
  <c r="C78" i="4"/>
  <c r="B78" i="4" s="1"/>
  <c r="C95" i="4"/>
  <c r="B95" i="4" s="1"/>
  <c r="C67" i="4"/>
  <c r="B67" i="13" s="1"/>
  <c r="C74" i="4"/>
  <c r="B74" i="13" s="1"/>
  <c r="AB618" i="3"/>
  <c r="E35" i="7" s="1"/>
  <c r="BA589" i="3"/>
  <c r="BA590" i="3"/>
  <c r="BA591" i="3"/>
  <c r="BA592" i="3"/>
  <c r="BA617" i="3"/>
  <c r="BA621" i="3"/>
  <c r="BF589" i="3"/>
  <c r="BF590" i="3"/>
  <c r="BF591" i="3"/>
  <c r="BF592" i="3"/>
  <c r="BF617" i="3"/>
  <c r="BF621" i="3"/>
  <c r="BK589" i="3"/>
  <c r="BK590" i="3"/>
  <c r="BK591" i="3"/>
  <c r="BK592" i="3"/>
  <c r="BK617" i="3"/>
  <c r="BK621" i="3"/>
  <c r="BP589" i="3"/>
  <c r="BP590" i="3"/>
  <c r="BP591" i="3"/>
  <c r="BP592" i="3"/>
  <c r="BP617" i="3"/>
  <c r="BP621" i="3"/>
  <c r="BZ589" i="3"/>
  <c r="BZ590" i="3"/>
  <c r="BZ591" i="3"/>
  <c r="BZ592" i="3"/>
  <c r="BZ617" i="3"/>
  <c r="BZ621" i="3"/>
  <c r="BU589" i="3"/>
  <c r="BU590" i="3"/>
  <c r="BU591" i="3"/>
  <c r="BU592" i="3"/>
  <c r="BU617" i="3"/>
  <c r="BU621" i="3"/>
  <c r="AD955" i="3"/>
  <c r="AQ877" i="3" s="1"/>
  <c r="AD958" i="3"/>
  <c r="AQ878" i="3" s="1"/>
  <c r="AD962" i="3"/>
  <c r="AQ879" i="3" s="1"/>
  <c r="AD966" i="3"/>
  <c r="AQ880" i="3" s="1"/>
  <c r="AD968" i="3"/>
  <c r="AQ881" i="3" s="1"/>
  <c r="AD970" i="3"/>
  <c r="AD981" i="3"/>
  <c r="AQ885" i="3" s="1"/>
  <c r="AD983" i="3"/>
  <c r="AR589" i="3"/>
  <c r="AT589" i="3"/>
  <c r="AR590" i="3"/>
  <c r="AT590" i="3"/>
  <c r="AR591" i="3"/>
  <c r="AT591" i="3" s="1"/>
  <c r="AR592" i="3"/>
  <c r="AT592" i="3"/>
  <c r="G734" i="3"/>
  <c r="AM905" i="3" s="1"/>
  <c r="AV589" i="3"/>
  <c r="AX589" i="3" s="1"/>
  <c r="AV590" i="3"/>
  <c r="AX590" i="3"/>
  <c r="AV591" i="3"/>
  <c r="AX591" i="3" s="1"/>
  <c r="AV592" i="3"/>
  <c r="AX592" i="3" s="1"/>
  <c r="S36" i="4"/>
  <c r="S53" i="4"/>
  <c r="S67" i="4"/>
  <c r="F25" i="13"/>
  <c r="F36" i="13"/>
  <c r="F40" i="13"/>
  <c r="F53" i="13"/>
  <c r="F67" i="13"/>
  <c r="F78" i="13"/>
  <c r="F95" i="13"/>
  <c r="F104" i="13"/>
  <c r="T20" i="15"/>
  <c r="T22" i="15"/>
  <c r="G25" i="13"/>
  <c r="G36" i="13"/>
  <c r="G40" i="13"/>
  <c r="G53" i="13"/>
  <c r="G63" i="13"/>
  <c r="G67" i="13"/>
  <c r="G78" i="13"/>
  <c r="G95" i="13"/>
  <c r="G96" i="13"/>
  <c r="G104" i="13"/>
  <c r="G105" i="13"/>
  <c r="G107" i="13"/>
  <c r="Y20" i="15"/>
  <c r="Y22" i="15"/>
  <c r="AG428" i="3"/>
  <c r="AG431" i="3"/>
  <c r="AG432" i="3" s="1"/>
  <c r="I25" i="13"/>
  <c r="I36" i="13"/>
  <c r="I40" i="13"/>
  <c r="I53" i="13"/>
  <c r="I67" i="13"/>
  <c r="I78" i="13"/>
  <c r="I95" i="13"/>
  <c r="AD20" i="15"/>
  <c r="AD22" i="15"/>
  <c r="J11" i="13"/>
  <c r="J25" i="13"/>
  <c r="J36" i="13"/>
  <c r="J40" i="13"/>
  <c r="J53" i="13"/>
  <c r="J63" i="13"/>
  <c r="J67" i="13"/>
  <c r="J78" i="13"/>
  <c r="J95" i="13"/>
  <c r="J96" i="13"/>
  <c r="J104" i="13"/>
  <c r="J105" i="13"/>
  <c r="J107" i="13"/>
  <c r="AI20" i="15"/>
  <c r="AI22" i="15"/>
  <c r="T25" i="15"/>
  <c r="AI7" i="15" s="1"/>
  <c r="T25" i="14"/>
  <c r="AI7" i="14" s="1"/>
  <c r="Y7" i="14"/>
  <c r="B58" i="4"/>
  <c r="T25" i="4"/>
  <c r="T36" i="4"/>
  <c r="T40" i="4"/>
  <c r="T67" i="4"/>
  <c r="T78" i="4"/>
  <c r="T95" i="4"/>
  <c r="C77" i="11"/>
  <c r="B77" i="11"/>
  <c r="B78" i="11"/>
  <c r="D78" i="11" s="1"/>
  <c r="C78" i="11"/>
  <c r="C48" i="11"/>
  <c r="B48" i="11"/>
  <c r="D48" i="11"/>
  <c r="D78" i="13"/>
  <c r="C78" i="13"/>
  <c r="D8" i="13"/>
  <c r="D11" i="13"/>
  <c r="D25" i="13"/>
  <c r="D36" i="13"/>
  <c r="D40" i="13"/>
  <c r="D53" i="13"/>
  <c r="D62" i="13"/>
  <c r="D63" i="13"/>
  <c r="D67" i="13"/>
  <c r="D74" i="13"/>
  <c r="D95" i="13"/>
  <c r="D96" i="13"/>
  <c r="C25" i="13"/>
  <c r="C36" i="13"/>
  <c r="C40" i="13"/>
  <c r="C53" i="13"/>
  <c r="C67" i="13"/>
  <c r="C95" i="13"/>
  <c r="D8" i="4"/>
  <c r="D11" i="4"/>
  <c r="D25" i="4"/>
  <c r="D36" i="4"/>
  <c r="D40" i="4"/>
  <c r="D53" i="4"/>
  <c r="D62" i="4"/>
  <c r="D63" i="4"/>
  <c r="D67" i="4"/>
  <c r="D74" i="4"/>
  <c r="D78" i="4"/>
  <c r="D95" i="4"/>
  <c r="D96" i="4"/>
  <c r="E8" i="4"/>
  <c r="E36" i="4"/>
  <c r="E53" i="4"/>
  <c r="F36" i="4"/>
  <c r="F40" i="4"/>
  <c r="F53" i="4"/>
  <c r="F62" i="4"/>
  <c r="F67" i="4"/>
  <c r="F74" i="4"/>
  <c r="F78" i="4"/>
  <c r="F95" i="4"/>
  <c r="G8" i="4"/>
  <c r="G11" i="4"/>
  <c r="G25" i="4"/>
  <c r="G36" i="4"/>
  <c r="G40" i="4"/>
  <c r="G53" i="4"/>
  <c r="G63" i="4" s="1"/>
  <c r="G62" i="4"/>
  <c r="G67" i="4"/>
  <c r="G74" i="4"/>
  <c r="G78" i="4"/>
  <c r="G95" i="4"/>
  <c r="H8" i="4"/>
  <c r="H11" i="4"/>
  <c r="H25" i="4"/>
  <c r="H36" i="4"/>
  <c r="H40" i="4"/>
  <c r="H53" i="4"/>
  <c r="H62" i="4"/>
  <c r="H63" i="4"/>
  <c r="H67" i="4"/>
  <c r="H74" i="4"/>
  <c r="H78" i="4"/>
  <c r="H95" i="4"/>
  <c r="H96" i="4"/>
  <c r="I8" i="4"/>
  <c r="I11" i="4"/>
  <c r="I25" i="4"/>
  <c r="I36" i="4"/>
  <c r="I40" i="4"/>
  <c r="I53" i="4"/>
  <c r="I62" i="4"/>
  <c r="I63" i="4"/>
  <c r="I67" i="4"/>
  <c r="I74" i="4"/>
  <c r="I78" i="4"/>
  <c r="I95" i="4"/>
  <c r="I96" i="4"/>
  <c r="J8" i="4"/>
  <c r="J11" i="4"/>
  <c r="J25" i="4"/>
  <c r="J36" i="4"/>
  <c r="J40" i="4"/>
  <c r="J53" i="4"/>
  <c r="J62" i="4"/>
  <c r="J63" i="4"/>
  <c r="J67" i="4"/>
  <c r="J74" i="4"/>
  <c r="J78" i="4"/>
  <c r="J95" i="4"/>
  <c r="J96" i="4"/>
  <c r="K8" i="4"/>
  <c r="K11" i="4"/>
  <c r="K25" i="4"/>
  <c r="K36" i="4"/>
  <c r="K40" i="4"/>
  <c r="K53" i="4"/>
  <c r="K62" i="4"/>
  <c r="K63" i="4"/>
  <c r="K67" i="4"/>
  <c r="K74" i="4"/>
  <c r="K78" i="4"/>
  <c r="K95" i="4"/>
  <c r="K96" i="4"/>
  <c r="L8" i="4"/>
  <c r="L11" i="4"/>
  <c r="L25" i="4"/>
  <c r="L36" i="4"/>
  <c r="L40" i="4"/>
  <c r="L53" i="4"/>
  <c r="L62" i="4"/>
  <c r="L63" i="4"/>
  <c r="L67" i="4"/>
  <c r="L74" i="4"/>
  <c r="L78" i="4"/>
  <c r="L95" i="4"/>
  <c r="L96" i="4"/>
  <c r="M8" i="4"/>
  <c r="M11" i="4"/>
  <c r="M25" i="4"/>
  <c r="M36" i="4"/>
  <c r="M40" i="4"/>
  <c r="M53" i="4"/>
  <c r="M62" i="4"/>
  <c r="M63" i="4"/>
  <c r="M67" i="4"/>
  <c r="M74" i="4"/>
  <c r="M78" i="4"/>
  <c r="M95" i="4"/>
  <c r="M96" i="4"/>
  <c r="N8" i="4"/>
  <c r="N11" i="4"/>
  <c r="N25" i="4"/>
  <c r="N36" i="4"/>
  <c r="N40" i="4"/>
  <c r="N53" i="4"/>
  <c r="N62" i="4"/>
  <c r="N63" i="4"/>
  <c r="N67" i="4"/>
  <c r="N74" i="4"/>
  <c r="N78" i="4"/>
  <c r="N95" i="4"/>
  <c r="N96" i="4"/>
  <c r="O8" i="4"/>
  <c r="O11" i="4"/>
  <c r="O25" i="4"/>
  <c r="O36" i="4"/>
  <c r="O40" i="4"/>
  <c r="O53" i="4"/>
  <c r="O62" i="4"/>
  <c r="O63" i="4"/>
  <c r="O67" i="4"/>
  <c r="O74" i="4"/>
  <c r="O78" i="4"/>
  <c r="O95" i="4"/>
  <c r="O96" i="4"/>
  <c r="P25" i="4"/>
  <c r="P36" i="4"/>
  <c r="P40" i="4"/>
  <c r="P53" i="4"/>
  <c r="P62" i="4"/>
  <c r="P63" i="4"/>
  <c r="P67" i="4"/>
  <c r="P74" i="4"/>
  <c r="P78" i="4"/>
  <c r="P95" i="4"/>
  <c r="P96" i="4"/>
  <c r="Q8" i="4"/>
  <c r="Q11" i="4"/>
  <c r="Q25" i="4"/>
  <c r="Q36" i="4"/>
  <c r="Q40" i="4"/>
  <c r="Q53" i="4"/>
  <c r="Q62" i="4"/>
  <c r="Q63" i="4"/>
  <c r="Q67" i="4"/>
  <c r="Q74" i="4"/>
  <c r="Q78" i="4"/>
  <c r="Q95" i="4"/>
  <c r="Q96" i="4"/>
  <c r="R4" i="4"/>
  <c r="R8" i="4" s="1"/>
  <c r="R5" i="4"/>
  <c r="R6" i="4"/>
  <c r="R7" i="4"/>
  <c r="R10" i="4"/>
  <c r="R13" i="4"/>
  <c r="R14" i="4"/>
  <c r="R15" i="4"/>
  <c r="R17" i="4"/>
  <c r="R21" i="4"/>
  <c r="R22" i="4"/>
  <c r="R24" i="4"/>
  <c r="R28" i="4"/>
  <c r="R29" i="4"/>
  <c r="R30" i="4"/>
  <c r="R31" i="4"/>
  <c r="R32" i="4"/>
  <c r="R33" i="4"/>
  <c r="R34" i="4"/>
  <c r="R35" i="4"/>
  <c r="R36" i="4"/>
  <c r="R41" i="4"/>
  <c r="R43" i="4"/>
  <c r="R53" i="4" s="1"/>
  <c r="R44" i="4"/>
  <c r="R45" i="4"/>
  <c r="R46" i="4"/>
  <c r="R47" i="4"/>
  <c r="R48" i="4"/>
  <c r="R49" i="4"/>
  <c r="R50" i="4"/>
  <c r="R51" i="4"/>
  <c r="R52" i="4"/>
  <c r="R55" i="4"/>
  <c r="R56" i="4"/>
  <c r="R57" i="4"/>
  <c r="R58" i="4"/>
  <c r="R59" i="4"/>
  <c r="R61" i="4"/>
  <c r="R69" i="4"/>
  <c r="R70" i="4"/>
  <c r="R71" i="4"/>
  <c r="R73" i="4"/>
  <c r="R82" i="4"/>
  <c r="R83" i="4"/>
  <c r="R84" i="4"/>
  <c r="R85" i="4"/>
  <c r="R86" i="4"/>
  <c r="R87" i="4"/>
  <c r="R89" i="4"/>
  <c r="R90" i="4"/>
  <c r="R91" i="4"/>
  <c r="R92" i="4"/>
  <c r="R93" i="4"/>
  <c r="R94" i="4"/>
  <c r="C36" i="4"/>
  <c r="B5" i="11"/>
  <c r="B9" i="11" s="1"/>
  <c r="B6" i="11"/>
  <c r="B7" i="11"/>
  <c r="B8" i="11"/>
  <c r="B11" i="11"/>
  <c r="B14" i="11"/>
  <c r="B15" i="11"/>
  <c r="B18" i="11"/>
  <c r="B19" i="11"/>
  <c r="B20" i="11"/>
  <c r="B21" i="11"/>
  <c r="B22" i="11"/>
  <c r="B23" i="11"/>
  <c r="B24" i="11"/>
  <c r="B25" i="11"/>
  <c r="B27" i="11"/>
  <c r="B29" i="11"/>
  <c r="B30" i="11"/>
  <c r="B31" i="11"/>
  <c r="B32" i="11"/>
  <c r="B33" i="11"/>
  <c r="B34" i="11"/>
  <c r="B35" i="11"/>
  <c r="B36" i="11"/>
  <c r="B37" i="11"/>
  <c r="B39" i="11"/>
  <c r="B40" i="11"/>
  <c r="B42" i="11"/>
  <c r="B44" i="11"/>
  <c r="B54" i="11" s="1"/>
  <c r="B45" i="11"/>
  <c r="B46" i="11"/>
  <c r="B47" i="11"/>
  <c r="B49" i="11"/>
  <c r="B50" i="11"/>
  <c r="B51" i="11"/>
  <c r="B52" i="11"/>
  <c r="B53" i="11"/>
  <c r="B56" i="11"/>
  <c r="B57" i="11"/>
  <c r="B58" i="11"/>
  <c r="B59" i="11"/>
  <c r="B60" i="11"/>
  <c r="B61" i="11"/>
  <c r="B62" i="11"/>
  <c r="B66" i="11"/>
  <c r="B67" i="11"/>
  <c r="B70" i="11"/>
  <c r="B71" i="11"/>
  <c r="B72" i="11"/>
  <c r="B73" i="11"/>
  <c r="B74" i="11"/>
  <c r="B81" i="11"/>
  <c r="B82" i="11"/>
  <c r="B83" i="11"/>
  <c r="B84" i="11"/>
  <c r="D84" i="11" s="1"/>
  <c r="B85" i="11"/>
  <c r="B86" i="11"/>
  <c r="B87" i="11"/>
  <c r="B88" i="11"/>
  <c r="B89" i="11"/>
  <c r="B90" i="11"/>
  <c r="B91" i="11"/>
  <c r="B92" i="11"/>
  <c r="B93" i="11"/>
  <c r="B94" i="11"/>
  <c r="B95" i="11"/>
  <c r="C79" i="11"/>
  <c r="C5" i="11"/>
  <c r="C6" i="11"/>
  <c r="C7" i="11"/>
  <c r="C8" i="11"/>
  <c r="C11" i="11"/>
  <c r="C14" i="11"/>
  <c r="C15" i="11"/>
  <c r="C18" i="11"/>
  <c r="C19" i="11"/>
  <c r="D19" i="11" s="1"/>
  <c r="C20" i="11"/>
  <c r="D20" i="11" s="1"/>
  <c r="C21" i="11"/>
  <c r="D21" i="11" s="1"/>
  <c r="C22" i="11"/>
  <c r="D22" i="11" s="1"/>
  <c r="C23" i="11"/>
  <c r="C24" i="11"/>
  <c r="D24" i="11" s="1"/>
  <c r="C25" i="11"/>
  <c r="C27" i="11"/>
  <c r="C29" i="11"/>
  <c r="C30" i="11"/>
  <c r="C31" i="11"/>
  <c r="C32" i="11"/>
  <c r="C33" i="11"/>
  <c r="C34" i="11"/>
  <c r="C35" i="11"/>
  <c r="C36" i="11"/>
  <c r="C37" i="11"/>
  <c r="C39" i="11"/>
  <c r="C40" i="11"/>
  <c r="C41" i="11" s="1"/>
  <c r="C42" i="11"/>
  <c r="D42" i="11" s="1"/>
  <c r="C44" i="11"/>
  <c r="C54" i="11" s="1"/>
  <c r="C45" i="11"/>
  <c r="C46" i="11"/>
  <c r="C47" i="11"/>
  <c r="C49" i="11"/>
  <c r="C50" i="11"/>
  <c r="C51" i="11"/>
  <c r="C52" i="11"/>
  <c r="C53" i="11"/>
  <c r="C56" i="11"/>
  <c r="C57" i="11"/>
  <c r="C58" i="11"/>
  <c r="C59" i="11"/>
  <c r="C60" i="11"/>
  <c r="C61" i="11"/>
  <c r="C62" i="11"/>
  <c r="C66" i="11"/>
  <c r="C67" i="11"/>
  <c r="D67" i="11" s="1"/>
  <c r="C70" i="11"/>
  <c r="C71" i="11"/>
  <c r="C72" i="11"/>
  <c r="C73" i="11"/>
  <c r="C74" i="11"/>
  <c r="C81" i="11"/>
  <c r="D81" i="11" s="1"/>
  <c r="C82" i="11"/>
  <c r="C83" i="11"/>
  <c r="C84" i="11"/>
  <c r="C85" i="11"/>
  <c r="C86" i="11"/>
  <c r="C87" i="11"/>
  <c r="C88" i="11"/>
  <c r="C89" i="11"/>
  <c r="C90" i="11"/>
  <c r="C91" i="11"/>
  <c r="C92" i="11"/>
  <c r="C93" i="11"/>
  <c r="C94" i="11"/>
  <c r="C95" i="11"/>
  <c r="H77" i="13"/>
  <c r="E77" i="13"/>
  <c r="B77" i="13"/>
  <c r="B77" i="4"/>
  <c r="C9" i="7"/>
  <c r="C7" i="7"/>
  <c r="C5" i="7"/>
  <c r="A73" i="13"/>
  <c r="A66" i="13"/>
  <c r="A61" i="13"/>
  <c r="A60" i="13"/>
  <c r="A52" i="13"/>
  <c r="A51" i="13"/>
  <c r="A35" i="13"/>
  <c r="A24" i="13"/>
  <c r="A103" i="13"/>
  <c r="A94" i="13"/>
  <c r="A93" i="13"/>
  <c r="A92" i="13"/>
  <c r="A91" i="13"/>
  <c r="A90" i="13"/>
  <c r="AD67" i="15"/>
  <c r="B5" i="8"/>
  <c r="F5" i="8"/>
  <c r="B6" i="8"/>
  <c r="B7" i="8"/>
  <c r="F7" i="8" s="1"/>
  <c r="B8" i="8"/>
  <c r="F8" i="8" s="1"/>
  <c r="B9" i="8"/>
  <c r="F9" i="8"/>
  <c r="B10" i="8"/>
  <c r="B11" i="8"/>
  <c r="B12" i="8"/>
  <c r="B13" i="8"/>
  <c r="F13" i="8"/>
  <c r="B14" i="8"/>
  <c r="B15" i="8"/>
  <c r="B16" i="8"/>
  <c r="F16" i="8"/>
  <c r="B17" i="8"/>
  <c r="F17" i="8"/>
  <c r="B18" i="8"/>
  <c r="B19" i="8"/>
  <c r="B20" i="8"/>
  <c r="F20" i="8"/>
  <c r="B21" i="8"/>
  <c r="F21" i="8"/>
  <c r="B22" i="8"/>
  <c r="B23" i="8"/>
  <c r="B24" i="8"/>
  <c r="F24" i="8"/>
  <c r="B25" i="8"/>
  <c r="F25" i="8"/>
  <c r="B26" i="8"/>
  <c r="B27" i="8"/>
  <c r="B28" i="8"/>
  <c r="F28" i="8"/>
  <c r="AI20" i="14"/>
  <c r="AI22" i="14"/>
  <c r="AD20" i="14"/>
  <c r="AD22" i="14"/>
  <c r="Y20" i="14"/>
  <c r="Y22" i="14"/>
  <c r="T20" i="14"/>
  <c r="T22" i="14"/>
  <c r="H106" i="13"/>
  <c r="H103" i="13"/>
  <c r="H102" i="13"/>
  <c r="H101" i="13"/>
  <c r="H100" i="13"/>
  <c r="H99" i="13"/>
  <c r="H95" i="13"/>
  <c r="H94" i="13"/>
  <c r="H93" i="13"/>
  <c r="H92" i="13"/>
  <c r="H91" i="13"/>
  <c r="H90" i="13"/>
  <c r="H89" i="13"/>
  <c r="H88" i="13"/>
  <c r="H87" i="13"/>
  <c r="H86" i="13"/>
  <c r="H84" i="13"/>
  <c r="H83" i="13"/>
  <c r="H82" i="13"/>
  <c r="H81" i="13"/>
  <c r="H78" i="13"/>
  <c r="H76" i="13"/>
  <c r="H67" i="13"/>
  <c r="H66" i="13"/>
  <c r="H65" i="13"/>
  <c r="H53" i="13"/>
  <c r="H52" i="13"/>
  <c r="H51" i="13"/>
  <c r="H50" i="13"/>
  <c r="H49" i="13"/>
  <c r="H48" i="13"/>
  <c r="H47" i="13"/>
  <c r="H46" i="13"/>
  <c r="H45" i="13"/>
  <c r="H44" i="13"/>
  <c r="H43" i="13"/>
  <c r="H41" i="13"/>
  <c r="H40" i="13"/>
  <c r="H39" i="13"/>
  <c r="H38" i="13"/>
  <c r="H36" i="13"/>
  <c r="H35" i="13"/>
  <c r="H34" i="13"/>
  <c r="H33" i="13"/>
  <c r="H32" i="13"/>
  <c r="H31" i="13"/>
  <c r="H30" i="13"/>
  <c r="H29" i="13"/>
  <c r="H28" i="13"/>
  <c r="H26" i="13"/>
  <c r="H25" i="13"/>
  <c r="H24" i="13"/>
  <c r="H23" i="13"/>
  <c r="H22" i="13"/>
  <c r="H21" i="13"/>
  <c r="H20" i="13"/>
  <c r="H19" i="13"/>
  <c r="H18" i="13"/>
  <c r="H17" i="13"/>
  <c r="H15" i="13"/>
  <c r="H14" i="13"/>
  <c r="H13" i="13"/>
  <c r="H10" i="13"/>
  <c r="E106" i="13"/>
  <c r="E103" i="13"/>
  <c r="E102" i="13"/>
  <c r="E101" i="13"/>
  <c r="E100" i="13"/>
  <c r="E99" i="13"/>
  <c r="E94" i="13"/>
  <c r="E93" i="13"/>
  <c r="E92" i="13"/>
  <c r="E91" i="13"/>
  <c r="E90" i="13"/>
  <c r="E88" i="13"/>
  <c r="E86" i="13"/>
  <c r="E84" i="13"/>
  <c r="E83" i="13"/>
  <c r="E82" i="13"/>
  <c r="E81" i="13"/>
  <c r="E76" i="13"/>
  <c r="E67" i="13"/>
  <c r="E66" i="13"/>
  <c r="E65" i="13"/>
  <c r="E53" i="13"/>
  <c r="E52" i="13"/>
  <c r="E51" i="13"/>
  <c r="E50" i="13"/>
  <c r="E49" i="13"/>
  <c r="E48" i="13"/>
  <c r="E47" i="13"/>
  <c r="E46" i="13"/>
  <c r="E45" i="13"/>
  <c r="E44" i="13"/>
  <c r="E43" i="13"/>
  <c r="E41" i="13"/>
  <c r="E38" i="13"/>
  <c r="E36" i="13"/>
  <c r="E35" i="13"/>
  <c r="E34" i="13"/>
  <c r="E33" i="13"/>
  <c r="E32" i="13"/>
  <c r="E31" i="13"/>
  <c r="E30" i="13"/>
  <c r="E29" i="13"/>
  <c r="E28" i="13"/>
  <c r="E26" i="13"/>
  <c r="E24" i="13"/>
  <c r="E22" i="13"/>
  <c r="E20"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C72" i="13" s="1"/>
  <c r="C74" i="13" s="1"/>
  <c r="B71" i="13"/>
  <c r="B70" i="13"/>
  <c r="B69" i="13"/>
  <c r="B66" i="13"/>
  <c r="B65" i="13"/>
  <c r="B61" i="13"/>
  <c r="B60" i="13"/>
  <c r="C60" i="13" s="1"/>
  <c r="C62" i="13" s="1"/>
  <c r="B59" i="13"/>
  <c r="B58" i="13"/>
  <c r="B57" i="13"/>
  <c r="B56" i="13"/>
  <c r="B55" i="13"/>
  <c r="C55" i="13" s="1"/>
  <c r="B52" i="13"/>
  <c r="B51" i="13"/>
  <c r="B50" i="13"/>
  <c r="B49" i="13"/>
  <c r="B48" i="13"/>
  <c r="B47" i="13"/>
  <c r="B46" i="13"/>
  <c r="B45" i="13"/>
  <c r="B44" i="13"/>
  <c r="B43" i="13"/>
  <c r="B41" i="13"/>
  <c r="B39" i="13"/>
  <c r="B38" i="13"/>
  <c r="B36" i="13"/>
  <c r="B35" i="13"/>
  <c r="B34" i="13"/>
  <c r="B33" i="13"/>
  <c r="B32" i="13"/>
  <c r="B31" i="13"/>
  <c r="B30" i="13"/>
  <c r="B29" i="13"/>
  <c r="B28" i="13"/>
  <c r="B26" i="13"/>
  <c r="B24" i="13"/>
  <c r="B23" i="13"/>
  <c r="B22" i="13"/>
  <c r="B21" i="13"/>
  <c r="B20" i="13"/>
  <c r="B19" i="13"/>
  <c r="B18" i="13"/>
  <c r="B17" i="13"/>
  <c r="B5" i="13"/>
  <c r="B6" i="13"/>
  <c r="B7" i="13"/>
  <c r="B10" i="13"/>
  <c r="B13" i="13"/>
  <c r="B14" i="13"/>
  <c r="B15" i="13"/>
  <c r="B4" i="13"/>
  <c r="C4" i="13" s="1"/>
  <c r="C8" i="13" s="1"/>
  <c r="D104" i="13"/>
  <c r="D105" i="13"/>
  <c r="D12" i="13"/>
  <c r="R103" i="4"/>
  <c r="R102" i="4"/>
  <c r="R101" i="4"/>
  <c r="R100" i="4"/>
  <c r="R99" i="4"/>
  <c r="B16" i="11"/>
  <c r="C16" i="11"/>
  <c r="D25" i="11"/>
  <c r="D29" i="11"/>
  <c r="D30" i="11"/>
  <c r="D33" i="11"/>
  <c r="D34" i="11"/>
  <c r="D35" i="11"/>
  <c r="D36" i="11"/>
  <c r="D45" i="11"/>
  <c r="D46" i="11"/>
  <c r="D47" i="11"/>
  <c r="D50" i="11"/>
  <c r="D51" i="11"/>
  <c r="D52" i="11"/>
  <c r="D59" i="11"/>
  <c r="D72" i="11"/>
  <c r="D74" i="11"/>
  <c r="D83" i="11"/>
  <c r="D85" i="11"/>
  <c r="D86" i="11"/>
  <c r="D87" i="11"/>
  <c r="D88" i="11"/>
  <c r="D89" i="11"/>
  <c r="D95" i="11"/>
  <c r="B100" i="11"/>
  <c r="C100" i="11"/>
  <c r="D100" i="11"/>
  <c r="B101" i="11"/>
  <c r="C101" i="11"/>
  <c r="B102" i="11"/>
  <c r="C102" i="11"/>
  <c r="B103" i="11"/>
  <c r="C103" i="11"/>
  <c r="D103" i="11"/>
  <c r="B104" i="11"/>
  <c r="C104" i="11"/>
  <c r="D104" i="11"/>
  <c r="A4" i="8"/>
  <c r="B4" i="8"/>
  <c r="F4" i="8"/>
  <c r="C4" i="8"/>
  <c r="H4" i="8"/>
  <c r="I4" i="8"/>
  <c r="A5" i="8"/>
  <c r="C5" i="8"/>
  <c r="H5" i="8"/>
  <c r="I5" i="8"/>
  <c r="A6" i="8"/>
  <c r="F6" i="8"/>
  <c r="C6" i="8"/>
  <c r="H6" i="8"/>
  <c r="I6" i="8"/>
  <c r="A7" i="8"/>
  <c r="C7" i="8"/>
  <c r="H7" i="8"/>
  <c r="I7" i="8"/>
  <c r="A8" i="8"/>
  <c r="C8" i="8"/>
  <c r="H8" i="8"/>
  <c r="I8" i="8"/>
  <c r="A9" i="8"/>
  <c r="C9" i="8"/>
  <c r="H9" i="8"/>
  <c r="I9" i="8"/>
  <c r="A10" i="8"/>
  <c r="F10" i="8"/>
  <c r="C10" i="8"/>
  <c r="H10" i="8"/>
  <c r="I10" i="8"/>
  <c r="A11" i="8"/>
  <c r="F11" i="8"/>
  <c r="C11" i="8"/>
  <c r="H11" i="8"/>
  <c r="I11" i="8"/>
  <c r="A12" i="8"/>
  <c r="F12" i="8"/>
  <c r="C12" i="8"/>
  <c r="H12" i="8"/>
  <c r="I12" i="8"/>
  <c r="A13" i="8"/>
  <c r="C13" i="8"/>
  <c r="H13" i="8"/>
  <c r="I13" i="8"/>
  <c r="A14" i="8"/>
  <c r="F14" i="8"/>
  <c r="C14" i="8"/>
  <c r="H14" i="8"/>
  <c r="I14" i="8"/>
  <c r="A15" i="8"/>
  <c r="F15" i="8"/>
  <c r="C15" i="8"/>
  <c r="H15" i="8"/>
  <c r="I15" i="8"/>
  <c r="A16" i="8"/>
  <c r="C16" i="8"/>
  <c r="H16" i="8"/>
  <c r="I16" i="8"/>
  <c r="A17" i="8"/>
  <c r="C17" i="8"/>
  <c r="H17" i="8"/>
  <c r="I17" i="8"/>
  <c r="A18" i="8"/>
  <c r="F18" i="8"/>
  <c r="C18" i="8"/>
  <c r="H18" i="8"/>
  <c r="I18" i="8"/>
  <c r="A19" i="8"/>
  <c r="F19" i="8"/>
  <c r="C19" i="8"/>
  <c r="H19" i="8"/>
  <c r="I19" i="8"/>
  <c r="A20" i="8"/>
  <c r="C20" i="8"/>
  <c r="H20" i="8"/>
  <c r="I20" i="8"/>
  <c r="A21" i="8"/>
  <c r="C21" i="8"/>
  <c r="H21" i="8"/>
  <c r="I21" i="8"/>
  <c r="A22" i="8"/>
  <c r="F22" i="8"/>
  <c r="C22" i="8"/>
  <c r="H22" i="8"/>
  <c r="I22" i="8"/>
  <c r="A23" i="8"/>
  <c r="F23" i="8"/>
  <c r="C23" i="8"/>
  <c r="H23" i="8"/>
  <c r="I23" i="8"/>
  <c r="A24" i="8"/>
  <c r="C24" i="8"/>
  <c r="H24" i="8"/>
  <c r="I24" i="8"/>
  <c r="A25" i="8"/>
  <c r="C25" i="8"/>
  <c r="H25" i="8"/>
  <c r="I25" i="8"/>
  <c r="A26" i="8"/>
  <c r="F26" i="8"/>
  <c r="C26" i="8"/>
  <c r="H26" i="8"/>
  <c r="I26" i="8"/>
  <c r="A27" i="8"/>
  <c r="F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E9" i="7" s="1"/>
  <c r="E15" i="7"/>
  <c r="G15" i="7" s="1"/>
  <c r="I15" i="7" s="1"/>
  <c r="K15" i="7" s="1"/>
  <c r="M15" i="7" s="1"/>
  <c r="O15" i="7" s="1"/>
  <c r="Q15" i="7" s="1"/>
  <c r="S15" i="7" s="1"/>
  <c r="U15" i="7" s="1"/>
  <c r="W15" i="7" s="1"/>
  <c r="Y15" i="7" s="1"/>
  <c r="AA15" i="7" s="1"/>
  <c r="AC15" i="7" s="1"/>
  <c r="AE15" i="7" s="1"/>
  <c r="AG15" i="7" s="1"/>
  <c r="E16" i="7"/>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s="1"/>
  <c r="I24" i="7" s="1"/>
  <c r="K24" i="7" s="1"/>
  <c r="M24" i="7" s="1"/>
  <c r="O24" i="7" s="1"/>
  <c r="Q24" i="7" s="1"/>
  <c r="S24" i="7" s="1"/>
  <c r="U24" i="7" s="1"/>
  <c r="W24" i="7" s="1"/>
  <c r="Y24" i="7" s="1"/>
  <c r="AA24" i="7" s="1"/>
  <c r="AC24" i="7" s="1"/>
  <c r="AE24" i="7" s="1"/>
  <c r="AG24" i="7" s="1"/>
  <c r="E26" i="7"/>
  <c r="G26" i="7"/>
  <c r="I26" i="7"/>
  <c r="K26" i="7" s="1"/>
  <c r="M26" i="7" s="1"/>
  <c r="O26" i="7" s="1"/>
  <c r="Q26" i="7" s="1"/>
  <c r="S26" i="7" s="1"/>
  <c r="U26" i="7" s="1"/>
  <c r="W26" i="7" s="1"/>
  <c r="Y26" i="7" s="1"/>
  <c r="AA26" i="7" s="1"/>
  <c r="AC26" i="7" s="1"/>
  <c r="AE26" i="7" s="1"/>
  <c r="AG26" i="7" s="1"/>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BO779" i="3"/>
  <c r="L948" i="3" s="1"/>
  <c r="BA593" i="3"/>
  <c r="BA594" i="3"/>
  <c r="BA595" i="3"/>
  <c r="BA596" i="3"/>
  <c r="BA597" i="3"/>
  <c r="BA598" i="3"/>
  <c r="BA599" i="3"/>
  <c r="BA600" i="3"/>
  <c r="BA601" i="3"/>
  <c r="BA602" i="3"/>
  <c r="BA603" i="3"/>
  <c r="BA604" i="3"/>
  <c r="BA605" i="3"/>
  <c r="BA606" i="3"/>
  <c r="BA607" i="3"/>
  <c r="BA608" i="3"/>
  <c r="BA609" i="3"/>
  <c r="BA610" i="3"/>
  <c r="BA611" i="3"/>
  <c r="BA612" i="3"/>
  <c r="BA613" i="3"/>
  <c r="BA618" i="3"/>
  <c r="BA619" i="3"/>
  <c r="BA620" i="3"/>
  <c r="BA623" i="3"/>
  <c r="BA624" i="3"/>
  <c r="BA625" i="3"/>
  <c r="BA626" i="3"/>
  <c r="BA627" i="3"/>
  <c r="BA628" i="3"/>
  <c r="BA629" i="3"/>
  <c r="BA630" i="3"/>
  <c r="BA631" i="3"/>
  <c r="BA632" i="3"/>
  <c r="BF593" i="3"/>
  <c r="BF594" i="3"/>
  <c r="BF595" i="3"/>
  <c r="BF596" i="3"/>
  <c r="BF597" i="3"/>
  <c r="BF598" i="3"/>
  <c r="BF599" i="3"/>
  <c r="BF600" i="3"/>
  <c r="BF601" i="3"/>
  <c r="BF602" i="3"/>
  <c r="BF603" i="3"/>
  <c r="BF604" i="3"/>
  <c r="BF605" i="3"/>
  <c r="BF606" i="3"/>
  <c r="BF607" i="3"/>
  <c r="BF608" i="3"/>
  <c r="BF609" i="3"/>
  <c r="BF610" i="3"/>
  <c r="BF611" i="3"/>
  <c r="BF612" i="3"/>
  <c r="BF613" i="3"/>
  <c r="BF618" i="3"/>
  <c r="BF619" i="3"/>
  <c r="BF620" i="3"/>
  <c r="BF623" i="3"/>
  <c r="BF624" i="3"/>
  <c r="BF625" i="3"/>
  <c r="BF626" i="3"/>
  <c r="BF627" i="3"/>
  <c r="BF628" i="3"/>
  <c r="BF629" i="3"/>
  <c r="BF630" i="3"/>
  <c r="BF631" i="3"/>
  <c r="BF632" i="3"/>
  <c r="BK593" i="3"/>
  <c r="BK594" i="3"/>
  <c r="BK595" i="3"/>
  <c r="BK596" i="3"/>
  <c r="BK597" i="3"/>
  <c r="BK598" i="3"/>
  <c r="BK599" i="3"/>
  <c r="BK600" i="3"/>
  <c r="BK601" i="3"/>
  <c r="BK602" i="3"/>
  <c r="BK603" i="3"/>
  <c r="BK604" i="3"/>
  <c r="BK605" i="3"/>
  <c r="BK606" i="3"/>
  <c r="BK607" i="3"/>
  <c r="BK608" i="3"/>
  <c r="BK609" i="3"/>
  <c r="BK610" i="3"/>
  <c r="BK611" i="3"/>
  <c r="BK612" i="3"/>
  <c r="BK613" i="3"/>
  <c r="BK618" i="3"/>
  <c r="BK619" i="3"/>
  <c r="BK620" i="3"/>
  <c r="BK623" i="3"/>
  <c r="BK624" i="3"/>
  <c r="BK625" i="3"/>
  <c r="BK626" i="3"/>
  <c r="BK627" i="3"/>
  <c r="BK628" i="3"/>
  <c r="BK629" i="3"/>
  <c r="BK630" i="3"/>
  <c r="BK631" i="3"/>
  <c r="BK632" i="3"/>
  <c r="BP593" i="3"/>
  <c r="BP594" i="3"/>
  <c r="BP595" i="3"/>
  <c r="BP596" i="3"/>
  <c r="BP597" i="3"/>
  <c r="BP598" i="3"/>
  <c r="BP599" i="3"/>
  <c r="BP600" i="3"/>
  <c r="BP601" i="3"/>
  <c r="BP602" i="3"/>
  <c r="BP603" i="3"/>
  <c r="BP604" i="3"/>
  <c r="BP605" i="3"/>
  <c r="BP606" i="3"/>
  <c r="BP607" i="3"/>
  <c r="BP608" i="3"/>
  <c r="BP609" i="3"/>
  <c r="BP610" i="3"/>
  <c r="BP611" i="3"/>
  <c r="BP612" i="3"/>
  <c r="BP613"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8" i="3"/>
  <c r="BZ619" i="3"/>
  <c r="BZ620" i="3"/>
  <c r="BZ593" i="3"/>
  <c r="BZ594" i="3"/>
  <c r="BZ595" i="3"/>
  <c r="BZ596" i="3"/>
  <c r="BZ597" i="3"/>
  <c r="BZ598" i="3"/>
  <c r="BZ599" i="3"/>
  <c r="BZ600" i="3"/>
  <c r="BZ601" i="3"/>
  <c r="BZ602" i="3"/>
  <c r="BZ603" i="3"/>
  <c r="BZ604" i="3"/>
  <c r="BZ605" i="3"/>
  <c r="BZ606" i="3"/>
  <c r="BZ607" i="3"/>
  <c r="BZ608" i="3"/>
  <c r="BZ609" i="3"/>
  <c r="BZ610" i="3"/>
  <c r="BZ611" i="3"/>
  <c r="BZ612" i="3"/>
  <c r="BZ613" i="3"/>
  <c r="BU593" i="3"/>
  <c r="BU594" i="3"/>
  <c r="BU595" i="3"/>
  <c r="BU596" i="3"/>
  <c r="BU597" i="3"/>
  <c r="BU598" i="3"/>
  <c r="BU599" i="3"/>
  <c r="BU600" i="3"/>
  <c r="BU601" i="3"/>
  <c r="BU602" i="3"/>
  <c r="BU603" i="3"/>
  <c r="BU604" i="3"/>
  <c r="BU605" i="3"/>
  <c r="BU606" i="3"/>
  <c r="BU607" i="3"/>
  <c r="BU608" i="3"/>
  <c r="BU609" i="3"/>
  <c r="BU610" i="3"/>
  <c r="BU611" i="3"/>
  <c r="BU612" i="3"/>
  <c r="BU613" i="3"/>
  <c r="BU618" i="3"/>
  <c r="BU619" i="3"/>
  <c r="BU620" i="3"/>
  <c r="BU623" i="3"/>
  <c r="BU624" i="3"/>
  <c r="BU625" i="3"/>
  <c r="BU626" i="3"/>
  <c r="BU627" i="3"/>
  <c r="BU628" i="3"/>
  <c r="BU629" i="3"/>
  <c r="BU630" i="3"/>
  <c r="BU631" i="3"/>
  <c r="BU632" i="3"/>
  <c r="AR593" i="3"/>
  <c r="AT593" i="3"/>
  <c r="AR594" i="3"/>
  <c r="AT594" i="3" s="1"/>
  <c r="AR595" i="3"/>
  <c r="AT595" i="3" s="1"/>
  <c r="AR596" i="3"/>
  <c r="AT596" i="3" s="1"/>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93" i="3"/>
  <c r="AX593" i="3" s="1"/>
  <c r="AV594" i="3"/>
  <c r="AX594" i="3" s="1"/>
  <c r="AV595" i="3"/>
  <c r="AX595" i="3"/>
  <c r="AV596" i="3"/>
  <c r="AX596" i="3" s="1"/>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B36" i="4"/>
  <c r="B13" i="4"/>
  <c r="B14" i="4"/>
  <c r="B15" i="4"/>
  <c r="B26" i="4"/>
  <c r="B41" i="4"/>
  <c r="D104" i="4"/>
  <c r="D105" i="4"/>
  <c r="F2" i="4"/>
  <c r="G2" i="4"/>
  <c r="H2" i="4"/>
  <c r="I2" i="4"/>
  <c r="J2" i="4"/>
  <c r="K2" i="4"/>
  <c r="L2" i="4"/>
  <c r="M2" i="4"/>
  <c r="N2" i="4"/>
  <c r="O2" i="4"/>
  <c r="P2" i="4"/>
  <c r="Q2" i="4"/>
  <c r="B4" i="4"/>
  <c r="B5" i="4"/>
  <c r="B6" i="4"/>
  <c r="B7" i="4"/>
  <c r="I12" i="4"/>
  <c r="M12" i="4"/>
  <c r="O12" i="4"/>
  <c r="B10" i="4"/>
  <c r="H12" i="4"/>
  <c r="J12" i="4"/>
  <c r="L12" i="4"/>
  <c r="N12" i="4"/>
  <c r="D12" i="4"/>
  <c r="G12" i="4"/>
  <c r="K12" i="4"/>
  <c r="B17" i="4"/>
  <c r="B18" i="4"/>
  <c r="B19" i="4"/>
  <c r="B20" i="4"/>
  <c r="B21" i="4"/>
  <c r="B22" i="4"/>
  <c r="B23" i="4"/>
  <c r="B24" i="4"/>
  <c r="B28" i="4"/>
  <c r="B29" i="4"/>
  <c r="B30" i="4"/>
  <c r="B31" i="4"/>
  <c r="B32" i="4"/>
  <c r="B33" i="4"/>
  <c r="B34" i="4"/>
  <c r="B35" i="4"/>
  <c r="B38" i="4"/>
  <c r="B39" i="4"/>
  <c r="B43" i="4"/>
  <c r="B44" i="4"/>
  <c r="B45" i="4"/>
  <c r="B46" i="4"/>
  <c r="B47" i="4"/>
  <c r="B48" i="4"/>
  <c r="B49" i="4"/>
  <c r="B50" i="4"/>
  <c r="B51" i="4"/>
  <c r="B52" i="4"/>
  <c r="B55" i="4"/>
  <c r="B56" i="4"/>
  <c r="B57" i="4"/>
  <c r="B59" i="4"/>
  <c r="B60" i="4"/>
  <c r="B61" i="4"/>
  <c r="B65" i="4"/>
  <c r="B66" i="4"/>
  <c r="B69" i="4"/>
  <c r="B70" i="4"/>
  <c r="B71" i="4"/>
  <c r="B72" i="4"/>
  <c r="B73" i="4"/>
  <c r="B76" i="4"/>
  <c r="B80" i="4"/>
  <c r="B81" i="4"/>
  <c r="B82" i="4"/>
  <c r="B83" i="4"/>
  <c r="B84" i="4"/>
  <c r="B85" i="4"/>
  <c r="B86" i="4"/>
  <c r="B87" i="4"/>
  <c r="B88" i="4"/>
  <c r="B89" i="4"/>
  <c r="B90" i="4"/>
  <c r="B91" i="4"/>
  <c r="B92" i="4"/>
  <c r="B93" i="4"/>
  <c r="B94" i="4"/>
  <c r="J104" i="4"/>
  <c r="J105" i="4"/>
  <c r="B99" i="4"/>
  <c r="B100" i="4"/>
  <c r="B101" i="4"/>
  <c r="B102" i="4"/>
  <c r="B103" i="4"/>
  <c r="F104" i="4"/>
  <c r="G104" i="4"/>
  <c r="I104" i="4"/>
  <c r="K104" i="4"/>
  <c r="L104" i="4"/>
  <c r="M104" i="4"/>
  <c r="N104" i="4"/>
  <c r="O104" i="4"/>
  <c r="P104" i="4"/>
  <c r="Q104" i="4"/>
  <c r="F108" i="4"/>
  <c r="G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O778" i="3"/>
  <c r="M812" i="3"/>
  <c r="Q812" i="3"/>
  <c r="U812" i="3"/>
  <c r="Y812" i="3"/>
  <c r="AC812" i="3"/>
  <c r="AG812" i="3"/>
  <c r="AV824" i="3"/>
  <c r="Z877" i="3"/>
  <c r="AN926" i="3"/>
  <c r="AN927" i="3"/>
  <c r="AN928" i="3"/>
  <c r="AN929" i="3"/>
  <c r="AN930" i="3"/>
  <c r="AN931" i="3"/>
  <c r="AN932" i="3"/>
  <c r="AN933" i="3"/>
  <c r="AN934" i="3"/>
  <c r="Z974" i="3"/>
  <c r="Q977" i="3"/>
  <c r="V977" i="3"/>
  <c r="Z979" i="3"/>
  <c r="P105" i="4"/>
  <c r="L105" i="4"/>
  <c r="D11" i="11"/>
  <c r="K105" i="4"/>
  <c r="Q105" i="4"/>
  <c r="O105" i="4"/>
  <c r="N105" i="4"/>
  <c r="D62" i="11"/>
  <c r="D58" i="11"/>
  <c r="D49" i="11"/>
  <c r="M105" i="4"/>
  <c r="I105" i="4"/>
  <c r="Q12" i="4"/>
  <c r="D39" i="11"/>
  <c r="D23" i="11"/>
  <c r="D94" i="11"/>
  <c r="D92" i="11"/>
  <c r="D31" i="11"/>
  <c r="D6" i="11"/>
  <c r="D77" i="11"/>
  <c r="D32" i="11"/>
  <c r="D15" i="11"/>
  <c r="D71" i="11"/>
  <c r="D18" i="11"/>
  <c r="D102" i="11"/>
  <c r="D60" i="11"/>
  <c r="D8" i="11"/>
  <c r="D56" i="11"/>
  <c r="D37" i="11"/>
  <c r="D53" i="11"/>
  <c r="D93" i="11"/>
  <c r="D91" i="11"/>
  <c r="D16" i="11"/>
  <c r="D14" i="11"/>
  <c r="D7" i="11"/>
  <c r="D101" i="11"/>
  <c r="D70" i="11"/>
  <c r="D57" i="11"/>
  <c r="BZ633" i="3"/>
  <c r="Y758" i="3"/>
  <c r="AN891" i="3"/>
  <c r="AQ882" i="3"/>
  <c r="AT237" i="3"/>
  <c r="BB239" i="3"/>
  <c r="T262" i="3"/>
  <c r="BU633" i="3"/>
  <c r="BP633" i="3"/>
  <c r="BK633" i="3"/>
  <c r="BF633" i="3"/>
  <c r="BA633" i="3"/>
  <c r="Y778" i="3"/>
  <c r="G96" i="4" l="1"/>
  <c r="G105" i="4" s="1"/>
  <c r="B95" i="13"/>
  <c r="D61" i="11"/>
  <c r="F63" i="13"/>
  <c r="F96" i="13" s="1"/>
  <c r="F105" i="13" s="1"/>
  <c r="F107" i="13" s="1"/>
  <c r="C63" i="13"/>
  <c r="C96" i="13" s="1"/>
  <c r="D5" i="11"/>
  <c r="C9" i="11"/>
  <c r="D9" i="11" s="1"/>
  <c r="F9" i="4"/>
  <c r="E9" i="4" s="1"/>
  <c r="E11" i="4" s="1"/>
  <c r="E12" i="4" s="1"/>
  <c r="B75" i="11"/>
  <c r="C75" i="11"/>
  <c r="B8" i="4"/>
  <c r="B74" i="4"/>
  <c r="R62" i="4"/>
  <c r="B53" i="4"/>
  <c r="B68" i="11"/>
  <c r="B62" i="4"/>
  <c r="C68" i="11"/>
  <c r="D68" i="11" s="1"/>
  <c r="B63" i="11"/>
  <c r="C63" i="11"/>
  <c r="B79" i="11"/>
  <c r="D79" i="11" s="1"/>
  <c r="B78" i="13"/>
  <c r="D27" i="11"/>
  <c r="D90" i="11"/>
  <c r="D82" i="11"/>
  <c r="R39" i="4"/>
  <c r="R40" i="4" s="1"/>
  <c r="S40" i="4"/>
  <c r="E40" i="13" s="1"/>
  <c r="S95" i="4"/>
  <c r="E95" i="13" s="1"/>
  <c r="C96" i="11"/>
  <c r="E87" i="13"/>
  <c r="R95" i="4"/>
  <c r="B96" i="11"/>
  <c r="E95" i="4"/>
  <c r="R76" i="4"/>
  <c r="R78" i="4" s="1"/>
  <c r="D73" i="11"/>
  <c r="R72" i="4"/>
  <c r="R74" i="4" s="1"/>
  <c r="R66" i="4"/>
  <c r="R67" i="4" s="1"/>
  <c r="B67" i="4"/>
  <c r="D66" i="11"/>
  <c r="E62" i="4"/>
  <c r="D54" i="11"/>
  <c r="D44" i="11"/>
  <c r="D40" i="11"/>
  <c r="B41" i="11"/>
  <c r="D41" i="11" s="1"/>
  <c r="B40" i="4"/>
  <c r="B26" i="11"/>
  <c r="B25" i="4"/>
  <c r="S25" i="4"/>
  <c r="E25" i="13" s="1"/>
  <c r="C26" i="11"/>
  <c r="C10" i="11"/>
  <c r="C12" i="11" s="1"/>
  <c r="B10" i="11"/>
  <c r="B12" i="11" s="1"/>
  <c r="B13" i="11" s="1"/>
  <c r="B9" i="4"/>
  <c r="AC861" i="3"/>
  <c r="E21" i="7"/>
  <c r="G18" i="7"/>
  <c r="G8" i="7"/>
  <c r="I8" i="7" s="1"/>
  <c r="K8" i="7" s="1"/>
  <c r="I9" i="7"/>
  <c r="G9" i="7"/>
  <c r="AI712" i="3"/>
  <c r="AI711" i="3"/>
  <c r="AI709" i="3"/>
  <c r="AX614" i="3"/>
  <c r="X993" i="3" s="1"/>
  <c r="AA991" i="3" s="1"/>
  <c r="I30" i="8"/>
  <c r="Z789" i="3" s="1"/>
  <c r="E6" i="7" s="1"/>
  <c r="E7" i="7" s="1"/>
  <c r="AT675" i="3"/>
  <c r="AU662" i="3" s="1"/>
  <c r="AV662" i="3" s="1"/>
  <c r="P734" i="3"/>
  <c r="C30" i="8" s="1"/>
  <c r="AU654" i="3"/>
  <c r="AV654" i="3" s="1"/>
  <c r="AU666" i="3"/>
  <c r="AV666" i="3" s="1"/>
  <c r="AU670" i="3"/>
  <c r="AV670" i="3" s="1"/>
  <c r="AU669" i="3"/>
  <c r="AV669" i="3" s="1"/>
  <c r="F30" i="8"/>
  <c r="AT614" i="3"/>
  <c r="X990" i="3" s="1"/>
  <c r="AA988" i="3" s="1"/>
  <c r="I993" i="3"/>
  <c r="I990" i="3"/>
  <c r="AU658" i="3"/>
  <c r="AV658" i="3" s="1"/>
  <c r="AU663" i="3"/>
  <c r="AV663" i="3" s="1"/>
  <c r="AU650" i="3"/>
  <c r="AU651" i="3"/>
  <c r="AV651" i="3" s="1"/>
  <c r="AU657" i="3"/>
  <c r="AV657" i="3" s="1"/>
  <c r="AU672" i="3"/>
  <c r="AV672" i="3" s="1"/>
  <c r="AC862" i="3"/>
  <c r="CT614" i="3"/>
  <c r="DD614" i="3"/>
  <c r="BK614" i="3"/>
  <c r="BK635" i="3" s="1"/>
  <c r="V949" i="3" s="1"/>
  <c r="BA614" i="3"/>
  <c r="BA635" i="3" s="1"/>
  <c r="V947" i="3" s="1"/>
  <c r="BU614" i="3"/>
  <c r="BU635" i="3" s="1"/>
  <c r="CO614" i="3"/>
  <c r="CJ614" i="3"/>
  <c r="BP614" i="3"/>
  <c r="BP635" i="3" s="1"/>
  <c r="V950" i="3" s="1"/>
  <c r="CY614" i="3"/>
  <c r="CE614" i="3"/>
  <c r="BF614" i="3"/>
  <c r="BF635" i="3" s="1"/>
  <c r="V948" i="3" s="1"/>
  <c r="BZ614" i="3"/>
  <c r="BZ635" i="3" s="1"/>
  <c r="M35" i="7"/>
  <c r="M38" i="7" s="1"/>
  <c r="AG35" i="7"/>
  <c r="AG38" i="7" s="1"/>
  <c r="U35" i="7"/>
  <c r="U38" i="7" s="1"/>
  <c r="K35" i="7"/>
  <c r="K38" i="7" s="1"/>
  <c r="E38" i="7"/>
  <c r="S35" i="7"/>
  <c r="S38" i="7" s="1"/>
  <c r="AC35" i="7"/>
  <c r="AC38" i="7" s="1"/>
  <c r="Q35" i="7"/>
  <c r="Q38" i="7" s="1"/>
  <c r="G35" i="7"/>
  <c r="G38" i="7" s="1"/>
  <c r="Y35" i="7"/>
  <c r="Y38" i="7" s="1"/>
  <c r="AA35" i="7"/>
  <c r="AA38" i="7" s="1"/>
  <c r="O35" i="7"/>
  <c r="O38" i="7" s="1"/>
  <c r="AE35" i="7"/>
  <c r="AE38" i="7" s="1"/>
  <c r="W35" i="7"/>
  <c r="W38" i="7" s="1"/>
  <c r="I35" i="7"/>
  <c r="I38" i="7" s="1"/>
  <c r="T27" i="15"/>
  <c r="T27" i="14"/>
  <c r="Y27" i="14"/>
  <c r="AI27" i="15"/>
  <c r="AI27" i="14"/>
  <c r="AD27" i="14"/>
  <c r="AD27" i="15"/>
  <c r="Y27" i="15"/>
  <c r="C12" i="4"/>
  <c r="B12" i="13" s="1"/>
  <c r="C63" i="4"/>
  <c r="B11" i="13"/>
  <c r="B11" i="4"/>
  <c r="T9" i="4"/>
  <c r="B9" i="13"/>
  <c r="C9" i="13" s="1"/>
  <c r="C11" i="13" s="1"/>
  <c r="C12" i="13" s="1"/>
  <c r="T7" i="14"/>
  <c r="T7" i="15"/>
  <c r="AD7" i="14"/>
  <c r="Y7" i="15"/>
  <c r="AD7" i="15"/>
  <c r="AQ888" i="3"/>
  <c r="B1002" i="3" s="1"/>
  <c r="AQ886" i="3"/>
  <c r="L950" i="3"/>
  <c r="L949" i="3"/>
  <c r="AM826" i="3"/>
  <c r="L951" i="3"/>
  <c r="L947" i="3"/>
  <c r="AM829" i="3"/>
  <c r="D75" i="11" l="1"/>
  <c r="D63" i="11"/>
  <c r="C13" i="11"/>
  <c r="D13" i="11" s="1"/>
  <c r="D26" i="11"/>
  <c r="B64" i="11"/>
  <c r="B97" i="11" s="1"/>
  <c r="D12" i="11"/>
  <c r="D10" i="11"/>
  <c r="D96" i="11"/>
  <c r="S63" i="4"/>
  <c r="E63" i="13" s="1"/>
  <c r="C64" i="11"/>
  <c r="C97" i="11" s="1"/>
  <c r="G21" i="7"/>
  <c r="I18" i="7"/>
  <c r="K9" i="7"/>
  <c r="M8" i="7"/>
  <c r="AO907" i="3"/>
  <c r="AD991" i="3" s="1"/>
  <c r="G6" i="7"/>
  <c r="AU656" i="3"/>
  <c r="AV656" i="3" s="1"/>
  <c r="AU671" i="3"/>
  <c r="AV671" i="3" s="1"/>
  <c r="AU674" i="3"/>
  <c r="AV674" i="3" s="1"/>
  <c r="AU673" i="3"/>
  <c r="AV673" i="3" s="1"/>
  <c r="AU667" i="3"/>
  <c r="AV667" i="3" s="1"/>
  <c r="AU668" i="3"/>
  <c r="AV668" i="3" s="1"/>
  <c r="AU655" i="3"/>
  <c r="AV655" i="3" s="1"/>
  <c r="AU664" i="3"/>
  <c r="AV664" i="3" s="1"/>
  <c r="AU665" i="3"/>
  <c r="AV665" i="3" s="1"/>
  <c r="AU653" i="3"/>
  <c r="AV653" i="3" s="1"/>
  <c r="AU661" i="3"/>
  <c r="AV661" i="3" s="1"/>
  <c r="AU652" i="3"/>
  <c r="AV652" i="3" s="1"/>
  <c r="AU660" i="3"/>
  <c r="AV660" i="3" s="1"/>
  <c r="AU659" i="3"/>
  <c r="AV659" i="3" s="1"/>
  <c r="Y781" i="3"/>
  <c r="Z798" i="3" s="1"/>
  <c r="Y780" i="3"/>
  <c r="AO906" i="3"/>
  <c r="AD947" i="3"/>
  <c r="AV650" i="3"/>
  <c r="V951" i="3"/>
  <c r="AD951" i="3" s="1"/>
  <c r="AC863" i="3"/>
  <c r="E4" i="7"/>
  <c r="G7" i="7"/>
  <c r="I6" i="7"/>
  <c r="AD949" i="3"/>
  <c r="AD948" i="3"/>
  <c r="AD950" i="3"/>
  <c r="T11" i="4"/>
  <c r="H9" i="13"/>
  <c r="I9" i="13" s="1"/>
  <c r="I11" i="13" s="1"/>
  <c r="I63" i="13" s="1"/>
  <c r="I96" i="13" s="1"/>
  <c r="B63" i="13"/>
  <c r="C96" i="4"/>
  <c r="F11" i="4"/>
  <c r="R9" i="4"/>
  <c r="R11" i="4" s="1"/>
  <c r="B63" i="4"/>
  <c r="B12" i="4"/>
  <c r="AM834" i="3"/>
  <c r="D64" i="11" l="1"/>
  <c r="S96" i="4"/>
  <c r="E96" i="13" s="1"/>
  <c r="K18" i="7"/>
  <c r="I21" i="7"/>
  <c r="O8" i="7"/>
  <c r="M9" i="7"/>
  <c r="V952" i="3"/>
  <c r="AV675" i="3"/>
  <c r="AD734" i="3" s="1"/>
  <c r="AU675" i="3"/>
  <c r="E25" i="7"/>
  <c r="AC864" i="3"/>
  <c r="G4" i="7"/>
  <c r="E5" i="7"/>
  <c r="E10" i="7" s="1"/>
  <c r="I7" i="7"/>
  <c r="K6" i="7"/>
  <c r="AD953" i="3"/>
  <c r="AD988" i="3" s="1"/>
  <c r="AD994" i="3" s="1"/>
  <c r="R12" i="4"/>
  <c r="D97" i="11"/>
  <c r="F12" i="4"/>
  <c r="F18" i="4" s="1"/>
  <c r="H11" i="13"/>
  <c r="T63" i="4"/>
  <c r="B96" i="13"/>
  <c r="B96" i="4"/>
  <c r="S98" i="4" l="1"/>
  <c r="M18" i="7"/>
  <c r="K21" i="7"/>
  <c r="O9" i="7"/>
  <c r="Q8" i="7"/>
  <c r="M6" i="7"/>
  <c r="K7" i="7"/>
  <c r="I4" i="7"/>
  <c r="G5" i="7"/>
  <c r="G10" i="7" s="1"/>
  <c r="AC25" i="7"/>
  <c r="K25" i="7"/>
  <c r="W25" i="7"/>
  <c r="M25" i="7"/>
  <c r="I25" i="7"/>
  <c r="I30" i="7" s="1"/>
  <c r="AE25" i="7"/>
  <c r="Y25" i="7"/>
  <c r="S25" i="7"/>
  <c r="O25" i="7"/>
  <c r="AA25" i="7"/>
  <c r="AG25" i="7"/>
  <c r="E30" i="7"/>
  <c r="E32" i="7" s="1"/>
  <c r="Q25" i="7"/>
  <c r="G25" i="7"/>
  <c r="G30" i="7" s="1"/>
  <c r="U25" i="7"/>
  <c r="B1004" i="3"/>
  <c r="H63" i="13"/>
  <c r="T96" i="4"/>
  <c r="F25" i="4"/>
  <c r="F63" i="4" s="1"/>
  <c r="F96" i="4" s="1"/>
  <c r="F105" i="4" s="1"/>
  <c r="E18" i="4"/>
  <c r="T24" i="14"/>
  <c r="T24" i="15"/>
  <c r="E98" i="13" l="1"/>
  <c r="S104" i="4"/>
  <c r="S105" i="4" s="1"/>
  <c r="K30" i="7"/>
  <c r="M21" i="7"/>
  <c r="M30" i="7" s="1"/>
  <c r="O18" i="7"/>
  <c r="Q9" i="7"/>
  <c r="S8" i="7"/>
  <c r="G32" i="7"/>
  <c r="G40" i="7" s="1"/>
  <c r="I5" i="7"/>
  <c r="I10" i="7" s="1"/>
  <c r="I32" i="7" s="1"/>
  <c r="K4" i="7"/>
  <c r="M7" i="7"/>
  <c r="O6" i="7"/>
  <c r="E40" i="7"/>
  <c r="E44" i="7"/>
  <c r="E25" i="4"/>
  <c r="E63" i="4" s="1"/>
  <c r="E96" i="4" s="1"/>
  <c r="R18" i="4"/>
  <c r="R25" i="4" s="1"/>
  <c r="R63" i="4" s="1"/>
  <c r="R96" i="4" s="1"/>
  <c r="H96" i="13"/>
  <c r="T98" i="4"/>
  <c r="C98" i="4" s="1"/>
  <c r="E104" i="13" l="1"/>
  <c r="S107" i="4"/>
  <c r="E107" i="13" s="1"/>
  <c r="E105" i="13"/>
  <c r="G44" i="7"/>
  <c r="Q18" i="7"/>
  <c r="O21" i="7"/>
  <c r="O30" i="7" s="1"/>
  <c r="U8" i="7"/>
  <c r="S9" i="7"/>
  <c r="E42" i="7"/>
  <c r="E43" i="7"/>
  <c r="E54" i="7"/>
  <c r="Q6" i="7"/>
  <c r="O7" i="7"/>
  <c r="I40" i="7"/>
  <c r="I44" i="7"/>
  <c r="G54" i="7"/>
  <c r="G43" i="7"/>
  <c r="G42" i="7"/>
  <c r="M4" i="7"/>
  <c r="K5" i="7"/>
  <c r="K10" i="7" s="1"/>
  <c r="K32" i="7" s="1"/>
  <c r="T104" i="4"/>
  <c r="H98" i="13"/>
  <c r="I98" i="13" s="1"/>
  <c r="I104" i="13" s="1"/>
  <c r="I105" i="13" s="1"/>
  <c r="I107" i="13" s="1"/>
  <c r="AI11" i="15" l="1"/>
  <c r="AI23" i="15" s="1"/>
  <c r="AI26" i="15" s="1"/>
  <c r="AI28" i="15" s="1"/>
  <c r="AI11" i="14"/>
  <c r="AI23" i="14" s="1"/>
  <c r="AI26" i="14" s="1"/>
  <c r="AI28" i="14" s="1"/>
  <c r="T11" i="14"/>
  <c r="T23" i="14" s="1"/>
  <c r="T26" i="14" s="1"/>
  <c r="T28" i="14" s="1"/>
  <c r="Y11" i="14"/>
  <c r="Y23" i="14" s="1"/>
  <c r="Y26" i="14" s="1"/>
  <c r="Y28" i="14" s="1"/>
  <c r="T11" i="15"/>
  <c r="T23" i="15" s="1"/>
  <c r="Y11" i="15"/>
  <c r="Y23" i="15" s="1"/>
  <c r="Y26" i="15" s="1"/>
  <c r="Y28" i="15" s="1"/>
  <c r="AD11" i="15"/>
  <c r="AD23" i="15" s="1"/>
  <c r="AD26" i="15" s="1"/>
  <c r="AD28" i="15" s="1"/>
  <c r="S18" i="7"/>
  <c r="Q21" i="7"/>
  <c r="Q30" i="7" s="1"/>
  <c r="W8" i="7"/>
  <c r="U9" i="7"/>
  <c r="K40" i="7"/>
  <c r="K44" i="7"/>
  <c r="Q7" i="7"/>
  <c r="S6" i="7"/>
  <c r="O4" i="7"/>
  <c r="M5" i="7"/>
  <c r="M10" i="7" s="1"/>
  <c r="M32" i="7" s="1"/>
  <c r="I43" i="7"/>
  <c r="I42" i="7"/>
  <c r="I54" i="7"/>
  <c r="H104" i="13"/>
  <c r="T105" i="4"/>
  <c r="C99" i="11"/>
  <c r="B98" i="13"/>
  <c r="C98" i="13" s="1"/>
  <c r="C104" i="13" s="1"/>
  <c r="C105" i="13" s="1"/>
  <c r="B98" i="4"/>
  <c r="C104" i="4"/>
  <c r="B99" i="11"/>
  <c r="B105" i="11" s="1"/>
  <c r="B106" i="11" s="1"/>
  <c r="Y63" i="15" l="1"/>
  <c r="Y67" i="15" s="1"/>
  <c r="T26" i="15"/>
  <c r="T28" i="15" s="1"/>
  <c r="T29" i="15" s="1"/>
  <c r="AD38" i="15"/>
  <c r="AD40" i="15" s="1"/>
  <c r="AD63" i="15"/>
  <c r="U18" i="7"/>
  <c r="S21" i="7"/>
  <c r="S30" i="7" s="1"/>
  <c r="W9" i="7"/>
  <c r="Y8" i="7"/>
  <c r="S7" i="7"/>
  <c r="U6" i="7"/>
  <c r="M40" i="7"/>
  <c r="M44" i="7"/>
  <c r="Q4" i="7"/>
  <c r="O5" i="7"/>
  <c r="O10" i="7" s="1"/>
  <c r="O32" i="7" s="1"/>
  <c r="K54" i="7"/>
  <c r="K43" i="7"/>
  <c r="K42" i="7"/>
  <c r="B104" i="4"/>
  <c r="B104" i="13"/>
  <c r="C105" i="4"/>
  <c r="C105" i="11"/>
  <c r="D99" i="11"/>
  <c r="T107" i="4"/>
  <c r="H105" i="13"/>
  <c r="Y38" i="15" l="1"/>
  <c r="Y40" i="15" s="1"/>
  <c r="Y41" i="15" s="1"/>
  <c r="U21" i="7"/>
  <c r="U30" i="7" s="1"/>
  <c r="W18" i="7"/>
  <c r="AA8" i="7"/>
  <c r="Y9" i="7"/>
  <c r="O40" i="7"/>
  <c r="O44" i="7"/>
  <c r="M42" i="7"/>
  <c r="M54" i="7"/>
  <c r="M43" i="7"/>
  <c r="W6" i="7"/>
  <c r="U7" i="7"/>
  <c r="Q5" i="7"/>
  <c r="Q10" i="7" s="1"/>
  <c r="Q32" i="7" s="1"/>
  <c r="S4" i="7"/>
  <c r="D105" i="11"/>
  <c r="C106" i="11"/>
  <c r="D106" i="11" s="1"/>
  <c r="B105" i="4"/>
  <c r="B105" i="13"/>
  <c r="AC442" i="3"/>
  <c r="AC443" i="3"/>
  <c r="H107" i="13"/>
  <c r="AD11" i="14" s="1"/>
  <c r="AE690" i="3" s="1"/>
  <c r="Y18" i="7" l="1"/>
  <c r="W21" i="7"/>
  <c r="W30" i="7" s="1"/>
  <c r="AC8" i="7"/>
  <c r="AA9" i="7"/>
  <c r="Q44" i="7"/>
  <c r="Q40" i="7"/>
  <c r="S5" i="7"/>
  <c r="S10" i="7"/>
  <c r="S32" i="7" s="1"/>
  <c r="U4" i="7"/>
  <c r="W7" i="7"/>
  <c r="Y6" i="7"/>
  <c r="O54" i="7"/>
  <c r="O42" i="7"/>
  <c r="O43" i="7"/>
  <c r="AE444" i="3"/>
  <c r="AD444" i="3"/>
  <c r="AH444" i="3"/>
  <c r="AF444" i="3"/>
  <c r="AD23" i="14"/>
  <c r="AG444" i="3"/>
  <c r="AC441" i="3"/>
  <c r="AB46" i="14"/>
  <c r="AB46" i="15"/>
  <c r="AA18" i="7" l="1"/>
  <c r="Y21" i="7"/>
  <c r="Y30" i="7" s="1"/>
  <c r="AE8" i="7"/>
  <c r="AC9" i="7"/>
  <c r="S44" i="7"/>
  <c r="S40" i="7"/>
  <c r="AA6" i="7"/>
  <c r="Y7" i="7"/>
  <c r="Q42" i="7"/>
  <c r="Q54" i="7"/>
  <c r="Q43" i="7"/>
  <c r="W4" i="7"/>
  <c r="U5" i="7"/>
  <c r="U10" i="7" s="1"/>
  <c r="U32" i="7" s="1"/>
  <c r="AD26" i="14"/>
  <c r="AD28" i="14" s="1"/>
  <c r="T29" i="14" s="1"/>
  <c r="Y38" i="14"/>
  <c r="Y40" i="14" s="1"/>
  <c r="AC18" i="7" l="1"/>
  <c r="AA21" i="7"/>
  <c r="AA30" i="7" s="1"/>
  <c r="AG8" i="7"/>
  <c r="AG9" i="7" s="1"/>
  <c r="AE9" i="7"/>
  <c r="AC6" i="7"/>
  <c r="AA7" i="7"/>
  <c r="W5" i="7"/>
  <c r="W10" i="7" s="1"/>
  <c r="W32" i="7" s="1"/>
  <c r="Y4" i="7"/>
  <c r="U40" i="7"/>
  <c r="U44" i="7"/>
  <c r="S43" i="7"/>
  <c r="S54" i="7"/>
  <c r="S42" i="7"/>
  <c r="AD38" i="14"/>
  <c r="AD40" i="14" s="1"/>
  <c r="Y41" i="14" s="1"/>
  <c r="AC21" i="7" l="1"/>
  <c r="AC30" i="7" s="1"/>
  <c r="AE18" i="7"/>
  <c r="W44" i="7"/>
  <c r="W40" i="7"/>
  <c r="Y5" i="7"/>
  <c r="Y10" i="7"/>
  <c r="Y32" i="7" s="1"/>
  <c r="AA4" i="7"/>
  <c r="U54" i="7"/>
  <c r="U43" i="7"/>
  <c r="U42" i="7"/>
  <c r="AE6" i="7"/>
  <c r="AC7" i="7"/>
  <c r="AE21" i="7" l="1"/>
  <c r="AE30" i="7" s="1"/>
  <c r="AG18" i="7"/>
  <c r="AG21" i="7" s="1"/>
  <c r="AG30" i="7" s="1"/>
  <c r="Y40" i="7"/>
  <c r="Y44" i="7"/>
  <c r="W54" i="7"/>
  <c r="W42" i="7"/>
  <c r="W43" i="7"/>
  <c r="AE7" i="7"/>
  <c r="AG6" i="7"/>
  <c r="AG7" i="7" s="1"/>
  <c r="AC4" i="7"/>
  <c r="AA5" i="7"/>
  <c r="AA10" i="7" s="1"/>
  <c r="AA32" i="7" s="1"/>
  <c r="AE4" i="7" l="1"/>
  <c r="AC5" i="7"/>
  <c r="AC10" i="7" s="1"/>
  <c r="AC32" i="7" s="1"/>
  <c r="AA40" i="7"/>
  <c r="AA44" i="7"/>
  <c r="Y42" i="7"/>
  <c r="Y43" i="7"/>
  <c r="Y54" i="7"/>
  <c r="AC44" i="7" l="1"/>
  <c r="AC40" i="7"/>
  <c r="AA54" i="7"/>
  <c r="AA43" i="7"/>
  <c r="AA42" i="7"/>
  <c r="AG4" i="7"/>
  <c r="AE5" i="7"/>
  <c r="AE10" i="7" s="1"/>
  <c r="AE32" i="7" s="1"/>
  <c r="AE44" i="7" l="1"/>
  <c r="AE40" i="7"/>
  <c r="AG5" i="7"/>
  <c r="AG10" i="7"/>
  <c r="AG32" i="7" s="1"/>
  <c r="AC54" i="7"/>
  <c r="AC42" i="7"/>
  <c r="AC43" i="7"/>
  <c r="AG40" i="7" l="1"/>
  <c r="AG44" i="7"/>
  <c r="AE42" i="7"/>
  <c r="AE43" i="7"/>
  <c r="AE54" i="7"/>
  <c r="AG54" i="7" l="1"/>
  <c r="AG43" i="7"/>
  <c r="AG42" i="7"/>
  <c r="AE547" i="3"/>
  <c r="AG630" i="3"/>
  <c r="AB47" i="14" s="1"/>
  <c r="AB48" i="14" s="1"/>
  <c r="H98" i="4"/>
  <c r="E98" i="4" s="1"/>
  <c r="H108" i="4"/>
  <c r="AE557" i="3" l="1"/>
  <c r="R98" i="4"/>
  <c r="R104" i="4" s="1"/>
  <c r="R105" i="4" s="1"/>
  <c r="E104" i="4"/>
  <c r="E105" i="4" s="1"/>
  <c r="AB53" i="14"/>
  <c r="AB54" i="14" s="1"/>
  <c r="AB55" i="14" s="1"/>
  <c r="AB56" i="14" s="1"/>
  <c r="AG631" i="3" s="1"/>
  <c r="E108" i="4" s="1"/>
  <c r="H104" i="4"/>
  <c r="H105" i="4" s="1"/>
  <c r="AB47" i="15"/>
  <c r="AB48" i="15" s="1"/>
  <c r="AB58" i="14" l="1"/>
  <c r="F60" i="14" s="1"/>
  <c r="AB53" i="15"/>
  <c r="AB54" i="15" s="1"/>
  <c r="AB55" i="15" s="1"/>
  <c r="AB56" i="15" s="1"/>
  <c r="AB58" i="15" s="1"/>
  <c r="AB75" i="15" s="1"/>
  <c r="AB76" i="15" s="1"/>
  <c r="AG632" i="3"/>
  <c r="M27" i="3" l="1"/>
  <c r="P204" i="3" s="1"/>
  <c r="M26" i="3" s="1"/>
  <c r="P203" i="3" s="1"/>
  <c r="AB77" i="15"/>
  <c r="AB79" i="15" s="1"/>
  <c r="J80"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xr:uid="{00000000-0006-0000-0700-000002000000}">
      <text>
        <r>
          <rPr>
            <sz val="9"/>
            <color indexed="81"/>
            <rFont val="Tahoma"/>
            <family val="2"/>
          </rPr>
          <t>The Total Requested Unadjusted Eligible Basis must not exceed the Total Adjusted Threshold Basis Limit.</t>
        </r>
      </text>
    </comment>
    <comment ref="T25" authorId="1" shapeId="0" xr:uid="{00000000-0006-0000-0700-000003000000}">
      <text>
        <r>
          <rPr>
            <sz val="10"/>
            <rFont val="Arial"/>
            <family val="2"/>
          </rPr>
          <t xml:space="preserve">130% adjustment for sites located in a DDA or QCT. </t>
        </r>
      </text>
    </comment>
    <comment ref="Y25" authorId="1" shapeId="0" xr:uid="{00000000-0006-0000-0700-00000400000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8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800-000002000000}">
      <text>
        <r>
          <rPr>
            <sz val="9"/>
            <color indexed="81"/>
            <rFont val="Tahoma"/>
            <family val="2"/>
          </rPr>
          <t xml:space="preserve">The Total Requested Unadjusted Eligible Basis must not exceed the Total Adjusted Threshold Basis Limit.
</t>
        </r>
      </text>
    </comment>
    <comment ref="B24" authorId="1" shapeId="0" xr:uid="{00000000-0006-0000-0800-000003000000}">
      <text>
        <r>
          <rPr>
            <sz val="9"/>
            <color indexed="81"/>
            <rFont val="Tahoma"/>
            <family val="2"/>
          </rPr>
          <t>The Total Requested Unadjusted Eligible Basis must not exceed the Total Adjusted Threshold Basis Limit.</t>
        </r>
      </text>
    </comment>
    <comment ref="T25" authorId="2" shapeId="0" xr:uid="{00000000-0006-0000-0800-000004000000}">
      <text>
        <r>
          <rPr>
            <sz val="10"/>
            <rFont val="Arial"/>
            <family val="2"/>
          </rPr>
          <t>130% adjustment only for sites located in a DDA/QCT.</t>
        </r>
      </text>
    </comment>
    <comment ref="Y25" authorId="2" shapeId="0" xr:uid="{00000000-0006-0000-08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<sst xmlns="http://schemas.openxmlformats.org/spreadsheetml/2006/main" count="3670" uniqueCount="1718">
  <si>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</si>
  <si>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</si>
  <si>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</si>
  <si>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</si>
  <si>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</si>
  <si>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</si>
  <si>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</si>
  <si>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</si>
  <si>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</si>
  <si>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</si>
  <si>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</si>
  <si>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</si>
  <si>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</si>
  <si>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</si>
  <si>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</si>
  <si>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</si>
  <si>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</si>
  <si>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</si>
  <si>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</si>
  <si>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</si>
  <si>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</si>
  <si>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</si>
  <si>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</si>
  <si>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</si>
  <si>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</si>
  <si>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</si>
  <si>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</si>
  <si>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</si>
  <si>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</si>
  <si>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</si>
  <si>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</si>
  <si>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</si>
  <si>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</si>
  <si>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</si>
  <si>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</si>
  <si>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</si>
  <si>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</si>
  <si>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</si>
  <si>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</si>
  <si>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</si>
  <si>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</si>
  <si>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</si>
  <si>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</si>
  <si>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</si>
  <si>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</si>
  <si>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</si>
  <si>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</si>
  <si>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</si>
  <si>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</si>
  <si>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</si>
  <si>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</si>
  <si>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</si>
  <si>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</si>
  <si>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</si>
  <si>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</si>
  <si>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</si>
  <si>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</si>
  <si>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</si>
  <si>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</si>
  <si>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</si>
  <si>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</si>
  <si>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</si>
  <si>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</si>
  <si>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</si>
  <si>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</si>
  <si>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</si>
  <si>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</si>
  <si>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</si>
  <si>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</si>
  <si>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</si>
  <si>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</si>
  <si>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</si>
  <si>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</si>
  <si>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</si>
  <si>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</si>
  <si>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</si>
  <si>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</si>
  <si>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</si>
  <si>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</si>
  <si>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</si>
  <si>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</si>
  <si>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</si>
  <si>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</si>
  <si>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</si>
  <si>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</si>
  <si>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</si>
  <si>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</si>
  <si>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</si>
  <si>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</si>
  <si>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</si>
  <si>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</si>
  <si>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</si>
  <si>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</si>
  <si>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</si>
  <si>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</si>
  <si>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</si>
  <si>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</si>
  <si>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</si>
  <si>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</si>
  <si>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</si>
  <si>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</si>
  <si>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</si>
  <si>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</si>
  <si>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</si>
  <si>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</si>
  <si>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</si>
  <si>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</si>
  <si>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</si>
  <si>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</si>
  <si>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</si>
  <si>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</si>
  <si>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</si>
  <si>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</si>
  <si>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</si>
  <si>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</si>
  <si>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</si>
  <si>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</si>
  <si>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</si>
  <si>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</si>
  <si>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</si>
  <si>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</si>
  <si>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</si>
  <si>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</si>
  <si>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</si>
  <si>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</si>
  <si>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</si>
  <si>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</si>
  <si>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</si>
  <si>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</si>
  <si>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</si>
  <si>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</si>
  <si>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</si>
  <si>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</si>
  <si>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</si>
  <si>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</si>
  <si>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</si>
  <si>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</si>
  <si>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</si>
  <si>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</si>
  <si>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</si>
  <si>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</si>
  <si>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</si>
  <si>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</si>
  <si>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</si>
  <si>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</si>
  <si>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</si>
  <si>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</si>
  <si>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</si>
  <si>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</si>
  <si>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</si>
  <si>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</si>
  <si>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</si>
  <si>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</si>
  <si>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</si>
  <si>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</si>
  <si>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</si>
  <si>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</si>
  <si>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</si>
  <si>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</si>
  <si>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</si>
  <si>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</si>
  <si>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</si>
  <si>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</si>
  <si>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</si>
  <si>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</si>
  <si>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</si>
  <si>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</si>
  <si>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</si>
  <si>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</si>
  <si>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</si>
  <si>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</si>
  <si>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</si>
  <si>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</si>
  <si>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</si>
  <si>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</si>
  <si>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</si>
  <si>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</si>
  <si>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</si>
  <si>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</si>
  <si>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</si>
  <si>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</si>
  <si>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</si>
  <si>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</si>
  <si>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</si>
  <si>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</si>
  <si>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</si>
  <si>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</si>
  <si>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</si>
  <si>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</si>
  <si>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</si>
  <si>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</si>
  <si>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</si>
  <si>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</si>
  <si>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</si>
  <si>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</si>
  <si>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</si>
  <si>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</si>
  <si>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</si>
  <si>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</si>
  <si>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</si>
  <si>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</si>
  <si>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</si>
  <si>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</si>
  <si>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</si>
  <si>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</si>
  <si>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</si>
  <si>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</si>
  <si>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</si>
  <si>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</si>
  <si>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</si>
  <si>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</si>
  <si>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</si>
  <si>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</si>
  <si>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</si>
  <si>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</si>
  <si>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</si>
  <si>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</si>
  <si>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</si>
  <si>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</si>
  <si>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</si>
  <si>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</si>
  <si>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</si>
  <si>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</si>
  <si>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</si>
  <si>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</si>
  <si>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</si>
  <si>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</si>
  <si>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</si>
  <si>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</si>
  <si>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</si>
  <si>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</si>
  <si>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</si>
  <si>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</si>
  <si>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</si>
  <si>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</si>
  <si>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</si>
  <si>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</si>
  <si>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</si>
  <si>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</si>
  <si>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</si>
  <si>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</si>
  <si>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</si>
  <si>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</si>
  <si>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</si>
  <si>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</si>
  <si>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</si>
  <si>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</si>
  <si>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</si>
  <si>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</si>
  <si>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</si>
  <si>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</si>
  <si>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</si>
  <si>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</si>
  <si>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</si>
  <si>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</si>
  <si>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</si>
  <si>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</si>
  <si>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</si>
  <si>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</si>
  <si>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</si>
  <si>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</si>
  <si>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</si>
  <si>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</si>
  <si>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</si>
  <si>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</si>
  <si>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</si>
  <si>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</si>
  <si>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</si>
  <si>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</si>
  <si>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</si>
  <si>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</si>
  <si>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</si>
  <si>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</si>
  <si>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</si>
  <si>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</si>
  <si>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</si>
  <si>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</si>
  <si>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</si>
  <si>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</si>
  <si>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</si>
  <si>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</si>
  <si>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</si>
  <si>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</si>
  <si>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</si>
  <si>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</si>
  <si>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</si>
  <si>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</si>
  <si>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</si>
  <si>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</si>
  <si>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</si>
  <si>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</si>
  <si>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</si>
  <si>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</si>
  <si>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</si>
  <si>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</si>
  <si>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</si>
  <si>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</si>
  <si>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</si>
  <si>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</si>
  <si>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</si>
  <si>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</si>
  <si>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</si>
  <si>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</si>
  <si>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</si>
  <si>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</si>
  <si>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</si>
  <si>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</si>
  <si>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</si>
  <si>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</si>
  <si>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</si>
  <si>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</si>
  <si>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</si>
  <si>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</si>
  <si>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</si>
  <si>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</si>
  <si>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</si>
  <si>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</si>
  <si>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</si>
  <si>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</si>
  <si>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</si>
  <si>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</si>
  <si>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</si>
  <si>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</si>
  <si>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</si>
  <si>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</si>
  <si>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</si>
  <si>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</si>
  <si>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</si>
  <si>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</si>
  <si>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</si>
  <si>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</si>
  <si>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</si>
  <si>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</si>
  <si>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</si>
  <si>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</si>
  <si>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</si>
  <si>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</si>
  <si>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</si>
  <si>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</si>
  <si>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</si>
  <si>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</si>
  <si>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</si>
  <si>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</si>
  <si>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</si>
  <si>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</si>
  <si>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</si>
  <si>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</si>
  <si>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</si>
  <si>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</si>
  <si>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</si>
  <si>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</si>
  <si>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</si>
  <si>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</si>
  <si>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</si>
  <si>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</si>
  <si>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</si>
  <si>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</si>
  <si>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</si>
  <si>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</si>
  <si>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</si>
  <si>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</si>
  <si>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</si>
  <si>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</si>
  <si>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</si>
  <si>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</si>
  <si>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</si>
  <si>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</si>
  <si>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</si>
  <si>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</si>
  <si>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</si>
  <si>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</si>
  <si>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</si>
  <si>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</si>
  <si>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</si>
  <si>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</si>
  <si>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</si>
  <si>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</si>
  <si>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</si>
  <si>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</si>
  <si>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</si>
  <si>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</si>
  <si>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</si>
  <si>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</si>
  <si>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</si>
  <si>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</si>
  <si>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</si>
  <si>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</si>
  <si>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</si>
  <si>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</si>
  <si>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</si>
  <si>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</si>
  <si>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</si>
  <si>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</si>
  <si>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</si>
  <si>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</si>
  <si>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</si>
  <si>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</si>
  <si>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</si>
  <si>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</si>
  <si>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</si>
  <si>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</si>
  <si>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</si>
  <si>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</si>
  <si>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</si>
  <si>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</si>
  <si>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</si>
  <si>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</si>
  <si>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</si>
  <si>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</si>
  <si>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</si>
  <si>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</si>
  <si>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</si>
  <si>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</si>
  <si>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</si>
  <si>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</si>
  <si>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</si>
  <si>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</si>
  <si>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</si>
  <si>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</si>
  <si>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</si>
  <si>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</si>
  <si>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</si>
  <si>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</si>
  <si>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</si>
  <si>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</si>
  <si>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</si>
  <si>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</si>
  <si>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</si>
  <si>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</si>
  <si>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</si>
  <si>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</si>
  <si>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</si>
  <si>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</si>
  <si>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</si>
  <si>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</si>
  <si>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</si>
  <si>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</si>
  <si>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</si>
  <si>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</si>
  <si>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</si>
  <si>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</si>
  <si>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</si>
  <si>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</si>
  <si>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</si>
  <si>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</si>
  <si>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</si>
  <si>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</si>
  <si>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</si>
  <si>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</si>
  <si>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</si>
  <si>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</si>
  <si>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</si>
  <si>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</si>
  <si>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</si>
  <si>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</si>
  <si>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</si>
  <si>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</si>
  <si>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</si>
  <si>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</si>
  <si>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</si>
  <si>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</si>
  <si>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</si>
  <si>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</si>
  <si>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</si>
  <si>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</si>
  <si>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</si>
  <si>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</si>
  <si>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</si>
  <si>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</si>
  <si>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</si>
  <si>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</si>
  <si>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</si>
  <si>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</si>
  <si>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</si>
  <si>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Other Expenses</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</si>
  <si>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</si>
  <si>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</si>
  <si>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</si>
  <si>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</si>
  <si>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</si>
  <si>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</si>
  <si>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</si>
  <si>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</si>
  <si>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</si>
  <si>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</si>
  <si>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</si>
  <si>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</si>
  <si>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</si>
  <si>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</si>
  <si>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</si>
  <si>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</si>
  <si>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</si>
  <si>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</si>
  <si>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</si>
  <si>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</si>
  <si>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</si>
  <si>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</si>
  <si>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</si>
  <si>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</si>
  <si>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</si>
  <si>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</si>
  <si>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</si>
  <si>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</si>
  <si>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</si>
  <si>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</si>
  <si>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</si>
  <si>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</si>
  <si>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</si>
  <si>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</si>
  <si>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</si>
  <si>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</si>
  <si>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</si>
  <si>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</si>
  <si>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</si>
  <si>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</si>
  <si>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</si>
  <si>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</si>
  <si>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</si>
  <si>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</si>
  <si>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</si>
  <si>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</si>
  <si>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</si>
  <si>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</si>
  <si>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</si>
  <si>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</si>
  <si>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</si>
  <si>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</si>
  <si>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</si>
  <si>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</si>
  <si>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</si>
  <si>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</si>
  <si>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</si>
  <si>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</si>
  <si>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</si>
  <si>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</si>
  <si>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</si>
  <si>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</si>
  <si>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</si>
  <si>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</si>
  <si>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</si>
  <si>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</si>
  <si>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</si>
  <si>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</si>
  <si>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</si>
  <si>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</si>
  <si>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</si>
  <si>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</si>
  <si>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</si>
  <si>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</si>
  <si>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</si>
  <si>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</si>
  <si>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</si>
  <si>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</si>
  <si>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</si>
  <si>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</si>
  <si>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</si>
  <si>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</si>
  <si>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</si>
  <si>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</si>
  <si>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</si>
  <si>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</si>
  <si>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</si>
  <si>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</si>
  <si>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</si>
  <si>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</si>
  <si>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</si>
  <si>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</si>
  <si>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</si>
  <si>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</si>
  <si>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</si>
  <si>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</si>
  <si>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</si>
  <si>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</si>
  <si>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</si>
  <si>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</si>
  <si>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</si>
  <si>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</si>
  <si>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</si>
  <si>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</si>
  <si>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</si>
  <si>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</si>
  <si>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</si>
  <si>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</si>
  <si>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</si>
  <si>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</si>
  <si>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</si>
  <si>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</si>
  <si>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</si>
  <si>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</si>
  <si>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</si>
  <si>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</si>
  <si>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</si>
  <si>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</si>
  <si>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</si>
  <si>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</si>
  <si>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</si>
  <si>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</si>
  <si>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</si>
  <si>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</si>
  <si>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</si>
  <si>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</si>
  <si>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</si>
  <si>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</si>
  <si>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</si>
  <si>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</si>
  <si>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</si>
  <si>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</si>
  <si>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</si>
  <si>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</si>
  <si>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</si>
  <si>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</si>
  <si>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</si>
  <si>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</si>
  <si>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</si>
  <si>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</si>
  <si>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</si>
  <si>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</si>
  <si>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</si>
  <si>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</si>
  <si>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</si>
  <si>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</si>
  <si>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</si>
  <si>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</si>
  <si>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</si>
  <si>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</si>
  <si>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</si>
  <si>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</si>
  <si>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</si>
  <si>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</si>
  <si>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</si>
  <si>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</si>
  <si>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</si>
  <si>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</si>
  <si>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</si>
  <si>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</si>
  <si>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</si>
  <si>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</si>
  <si>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</si>
  <si>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</si>
  <si>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</si>
  <si>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</si>
  <si>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</si>
  <si>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</si>
  <si>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</si>
  <si>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</si>
  <si>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</si>
  <si>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</si>
  <si>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</si>
  <si>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</si>
  <si>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</si>
  <si>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</si>
  <si>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</si>
  <si>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</si>
  <si>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</si>
  <si>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</si>
  <si>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</si>
  <si>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</si>
  <si>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</si>
  <si>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</si>
  <si>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</si>
  <si>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</si>
  <si>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</si>
  <si>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</si>
  <si>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</si>
  <si>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</si>
  <si>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</si>
  <si>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</si>
  <si>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</si>
  <si>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</si>
  <si>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</si>
  <si>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</si>
  <si>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</si>
  <si>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</si>
  <si>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</si>
  <si>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</si>
  <si>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</si>
  <si>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</si>
  <si>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</si>
  <si>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</si>
  <si>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</si>
  <si>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</si>
  <si>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</si>
  <si>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</si>
  <si>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</si>
  <si>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</si>
  <si>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</si>
  <si>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</si>
  <si>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</si>
  <si>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</si>
  <si>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</si>
  <si>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</si>
  <si>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</si>
  <si>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</si>
  <si>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</si>
  <si>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</si>
  <si>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</si>
  <si>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</si>
  <si>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</si>
  <si>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</si>
  <si>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</si>
  <si>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</si>
  <si>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</si>
  <si>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</si>
  <si>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</si>
  <si>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</si>
  <si>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</si>
  <si>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</si>
  <si>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</si>
  <si>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</si>
  <si>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</si>
  <si>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</si>
  <si>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</si>
  <si>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</si>
  <si>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</si>
  <si>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</si>
  <si>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</si>
  <si>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</si>
  <si>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</si>
  <si>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</si>
  <si>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</si>
  <si>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</si>
  <si>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</si>
  <si>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</si>
  <si>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</si>
  <si>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</si>
  <si>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</si>
  <si>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</si>
  <si>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</si>
  <si>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</si>
  <si>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</si>
  <si>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</si>
  <si>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</si>
  <si>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</si>
  <si>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</si>
  <si>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</si>
  <si>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</si>
  <si>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</si>
  <si>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</si>
  <si>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</si>
  <si>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</si>
  <si>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</si>
  <si>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</si>
  <si>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</si>
  <si>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</si>
  <si>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</si>
  <si>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</si>
  <si>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</si>
  <si>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</si>
  <si>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</si>
  <si>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</si>
  <si>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</si>
  <si>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</si>
  <si>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</si>
  <si>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</si>
  <si>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</si>
  <si>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</si>
  <si>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</si>
  <si>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</si>
  <si>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</si>
  <si>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</si>
  <si>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</si>
  <si>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</si>
  <si>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</si>
  <si>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</si>
  <si>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</si>
  <si>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</si>
  <si>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</si>
  <si>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</si>
  <si>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</si>
  <si>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</si>
  <si>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</si>
  <si>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</si>
  <si>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</si>
  <si>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</si>
  <si>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</si>
  <si>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</si>
  <si>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</si>
  <si>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</si>
  <si>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</si>
  <si>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</si>
  <si>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</si>
  <si>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</si>
  <si>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</si>
  <si>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</si>
  <si>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</si>
  <si>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</si>
  <si>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</si>
  <si>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</si>
  <si>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</si>
  <si>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</si>
  <si>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</si>
  <si>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</si>
  <si>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</si>
  <si>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</si>
  <si>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</si>
  <si>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</si>
  <si>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</si>
  <si>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</si>
  <si>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</si>
  <si>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</si>
  <si>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</si>
  <si>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</si>
  <si>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</si>
  <si>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</si>
  <si>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</si>
  <si>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</si>
  <si>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</si>
  <si>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</si>
  <si>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</si>
  <si>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</si>
  <si>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</si>
  <si>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</si>
  <si>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</si>
  <si>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</si>
  <si>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</si>
  <si>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</si>
  <si>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</si>
  <si>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</si>
  <si>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</si>
  <si>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</si>
  <si>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</si>
  <si>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</si>
  <si>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</si>
  <si>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</si>
  <si>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</si>
  <si>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</si>
  <si>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</si>
  <si>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</si>
  <si>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</si>
  <si>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</si>
  <si>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</si>
  <si>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</si>
  <si>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</si>
  <si>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</si>
  <si>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</si>
  <si>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</si>
  <si>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</si>
  <si>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</si>
  <si>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</si>
  <si>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</si>
  <si>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</si>
  <si>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</si>
  <si>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</si>
  <si>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</si>
  <si>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</si>
  <si>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</si>
  <si>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</si>
  <si>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</si>
  <si>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</si>
  <si>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</si>
  <si>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</si>
  <si>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</si>
  <si>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</si>
  <si>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</si>
  <si>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</si>
  <si>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</si>
  <si>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</si>
  <si>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</si>
  <si>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</si>
  <si>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</si>
  <si>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</si>
  <si>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</si>
  <si>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</si>
  <si>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</si>
  <si>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</si>
  <si>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</si>
  <si>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</si>
  <si>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</si>
  <si>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</si>
  <si>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</si>
  <si>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</si>
  <si>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</si>
  <si>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</si>
  <si>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</si>
  <si>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</si>
  <si>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</si>
  <si>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</si>
  <si>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</si>
  <si>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</si>
  <si>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</si>
  <si>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</si>
  <si>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</si>
  <si>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</si>
  <si>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</si>
  <si>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</si>
  <si>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</si>
  <si>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</si>
  <si>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</si>
  <si>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</si>
  <si>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</si>
  <si>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</si>
  <si>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</si>
  <si>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</si>
  <si>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</si>
  <si>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</si>
  <si>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</si>
  <si>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</si>
  <si>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</si>
  <si>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</si>
  <si>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</si>
  <si>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</si>
  <si>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</si>
  <si>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</si>
  <si>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</si>
  <si>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</si>
  <si>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</si>
  <si>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</si>
  <si>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</si>
  <si>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</si>
  <si>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</si>
  <si>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</si>
  <si>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</si>
  <si>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</si>
  <si>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</si>
  <si>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</si>
  <si>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</si>
  <si>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</si>
  <si>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</si>
  <si>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</si>
  <si>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</si>
  <si>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</si>
  <si>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</si>
  <si>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</si>
  <si>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</si>
  <si>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</si>
  <si>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</si>
  <si>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</si>
  <si>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</si>
  <si>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</si>
  <si>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</si>
  <si>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</si>
  <si>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</si>
  <si>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</si>
  <si>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</si>
  <si>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</si>
  <si>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</si>
  <si>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</si>
  <si>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</si>
  <si>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</si>
  <si>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</si>
  <si>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</si>
  <si>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</si>
  <si>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</si>
  <si>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</si>
  <si>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</si>
  <si>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</si>
  <si>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</si>
  <si>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</si>
  <si>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</si>
  <si>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</si>
  <si>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</si>
  <si>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</si>
  <si>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</si>
  <si>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</si>
  <si>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</si>
  <si>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</si>
  <si>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</si>
  <si>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</si>
  <si>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</si>
  <si>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</si>
  <si>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</si>
  <si>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</si>
  <si>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</si>
  <si>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</si>
  <si>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</si>
  <si>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</si>
  <si>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</si>
  <si>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</si>
  <si>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</si>
  <si>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</si>
  <si>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</si>
  <si>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</si>
  <si>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</si>
  <si>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</si>
  <si>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</si>
  <si>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</si>
  <si>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</si>
  <si>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</si>
  <si>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</si>
  <si>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</si>
  <si>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</si>
  <si>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</si>
  <si>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</si>
  <si>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</si>
  <si>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</si>
  <si>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</si>
  <si>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</si>
  <si>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</si>
  <si>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</si>
  <si>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</si>
  <si>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</si>
  <si>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</si>
  <si>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</si>
  <si>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</si>
  <si>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</si>
  <si>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</si>
  <si>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</si>
  <si>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</si>
  <si>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</si>
  <si>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</si>
  <si>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</si>
  <si>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</si>
  <si>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</si>
  <si>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</si>
  <si>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</si>
  <si>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</si>
  <si>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</si>
  <si>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</si>
  <si>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</si>
  <si>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</si>
  <si>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</si>
  <si>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</si>
  <si>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</si>
  <si>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</si>
  <si>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</si>
  <si>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</si>
  <si>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</si>
  <si>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</si>
  <si>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</si>
  <si>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</si>
  <si>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</si>
  <si>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</si>
  <si>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</si>
  <si>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</si>
  <si>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</si>
  <si>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</si>
  <si>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</si>
  <si>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</si>
  <si>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</si>
  <si>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</si>
  <si>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</si>
  <si>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</si>
  <si>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</si>
  <si>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</si>
  <si>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</si>
  <si>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</si>
  <si>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</si>
  <si>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</si>
  <si>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</si>
  <si>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t>
  </si>
  <si>
    <t xml:space="preserve">of the project, unless a waiver has been approved by TCAC.  I certify that, when requesting a threshold basis </t>
  </si>
  <si>
    <t>increase for development impact fees, the impact fee amounts are accurate as of the application date.  In an</t>
  </si>
  <si>
    <t>application proposing rehabilitation work, I certify that all necessary work identified in the Capital Needs Assessment,</t>
  </si>
  <si>
    <t>including the immediate needs listed in the report, will be performed (unless a waiver is granted) prior to the project's</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</si>
  <si>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</si>
  <si>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</si>
  <si>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</si>
  <si>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</si>
  <si>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</si>
  <si>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</si>
  <si>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</si>
  <si>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</si>
  <si>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</si>
  <si>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</si>
  <si>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</si>
  <si>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</si>
  <si>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</si>
  <si>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</si>
  <si>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</si>
  <si>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</si>
  <si>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</si>
  <si>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</si>
  <si>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</si>
  <si>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</si>
  <si>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</si>
  <si>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</si>
  <si>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</si>
  <si>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</si>
  <si>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</si>
  <si>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</si>
  <si>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</si>
  <si>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</si>
  <si>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</si>
  <si>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</si>
  <si>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</si>
  <si>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</si>
  <si>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</si>
  <si>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</si>
  <si>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</si>
  <si>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</si>
  <si>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</si>
  <si>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</si>
  <si>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</si>
  <si>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</si>
  <si>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</si>
  <si>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</si>
  <si>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</si>
  <si>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</si>
  <si>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</si>
  <si>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</si>
  <si>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</si>
  <si>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</si>
  <si>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</si>
  <si>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</si>
  <si>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</si>
  <si>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</si>
  <si>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</si>
  <si>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</si>
  <si>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</si>
  <si>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</si>
  <si>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</si>
  <si>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</si>
  <si>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</si>
  <si>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</si>
  <si>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</si>
  <si>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</si>
  <si>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</si>
  <si>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</si>
  <si>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</si>
  <si>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</si>
  <si>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</si>
  <si>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</si>
  <si>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</si>
  <si>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</si>
  <si>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</si>
  <si>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</si>
  <si>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</si>
  <si>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</si>
  <si>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</si>
  <si>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</si>
  <si>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</si>
  <si>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</si>
  <si>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</si>
  <si>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</si>
  <si>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</si>
  <si>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</si>
  <si>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</si>
  <si>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</si>
  <si>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</si>
  <si>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</si>
  <si>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</si>
  <si>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</si>
  <si>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</si>
  <si>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</si>
  <si>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</si>
  <si>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</si>
  <si>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</si>
  <si>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</si>
  <si>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</si>
  <si>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</si>
  <si>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</si>
  <si>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</si>
  <si>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</si>
  <si>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</si>
  <si>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</si>
  <si>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</si>
  <si>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</si>
  <si>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</si>
  <si>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</si>
  <si>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</si>
  <si>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</si>
  <si>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</si>
  <si>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</si>
  <si>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</si>
  <si>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</si>
  <si>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</si>
  <si>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</si>
  <si>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</si>
  <si>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</si>
  <si>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</si>
  <si>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</si>
  <si>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</si>
  <si>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</si>
  <si>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</si>
  <si>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</si>
  <si>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</si>
  <si>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</si>
  <si>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</si>
  <si>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</si>
  <si>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</si>
  <si>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</si>
  <si>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</si>
  <si>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</si>
  <si>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</si>
  <si>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</si>
  <si>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</si>
  <si>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</si>
  <si>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</si>
  <si>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</si>
  <si>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</si>
  <si>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</si>
  <si>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</si>
  <si>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</si>
  <si>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</si>
  <si>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</si>
  <si>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</si>
  <si>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</si>
  <si>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</si>
  <si>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</si>
  <si>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</si>
  <si>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</si>
  <si>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</si>
  <si>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</si>
  <si>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</si>
  <si>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</si>
  <si>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</si>
  <si>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</si>
  <si>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</si>
  <si>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</si>
  <si>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</si>
  <si>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</si>
  <si>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</si>
  <si>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</si>
  <si>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</si>
  <si>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</si>
  <si>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</si>
  <si>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</si>
  <si>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</si>
  <si>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</si>
  <si>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</si>
  <si>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</si>
  <si>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</si>
  <si>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</si>
  <si>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</si>
  <si>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</si>
  <si>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</si>
  <si>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</si>
  <si>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</si>
  <si>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</si>
  <si>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</si>
  <si>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</si>
  <si>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</si>
  <si>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</si>
  <si>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</si>
  <si>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</si>
  <si>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</si>
  <si>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</si>
  <si>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</si>
  <si>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</si>
  <si>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</si>
  <si>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IV. SOURCES AND USES BUDGET - SECTION 2: SOURCES AND BASIS BREAKDOWN BY DDA/QCT AND NON-DDA/NON-QCT SITES</t>
  </si>
  <si>
    <t>TOTAL
RESIDENTIAL
COST</t>
  </si>
  <si>
    <t>DDA/QCT
SITES 
COST</t>
  </si>
  <si>
    <t>NON-DDA/
NON-QCT SITES
COST</t>
  </si>
  <si>
    <t>TOTAL
30% PVC for Acquisition</t>
  </si>
  <si>
    <t>30% PVC for Acquisition
DDA/QCT
SITES</t>
  </si>
  <si>
    <t>30% PVC for Acquisition
NON-DDA/
NON-QCT SITES</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</si>
  <si>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</si>
  <si>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</si>
  <si>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</si>
  <si>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</si>
  <si>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</si>
  <si>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</si>
  <si>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</si>
  <si>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</si>
  <si>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</si>
  <si>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</si>
  <si>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</si>
  <si>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</si>
  <si>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</si>
  <si>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</si>
  <si>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</si>
  <si>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</si>
  <si>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</si>
  <si>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</si>
  <si>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</si>
  <si>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</si>
  <si>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</si>
  <si>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</si>
  <si>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</si>
  <si>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</si>
  <si>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</si>
  <si>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</si>
  <si>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</si>
  <si>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</si>
  <si>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</si>
  <si>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</si>
  <si>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</si>
  <si>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</si>
  <si>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</si>
  <si>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</si>
  <si>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</si>
  <si>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</si>
  <si>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</si>
  <si>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</si>
  <si>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</si>
  <si>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</si>
  <si>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</si>
  <si>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</si>
  <si>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</si>
  <si>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</si>
  <si>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</si>
  <si>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</si>
  <si>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</si>
  <si>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</si>
  <si>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</si>
  <si>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</si>
  <si>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</si>
  <si>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</si>
  <si>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</si>
  <si>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</si>
  <si>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</si>
  <si>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</si>
  <si>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</si>
  <si>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</si>
  <si>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</si>
  <si>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</si>
  <si>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</si>
  <si>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</si>
  <si>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</si>
  <si>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</si>
  <si>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</si>
  <si>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</si>
  <si>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</si>
  <si>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</si>
  <si>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</si>
  <si>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</si>
  <si>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</si>
  <si>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</si>
  <si>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</si>
  <si>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</si>
  <si>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</si>
  <si>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</si>
  <si>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</si>
  <si>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</si>
  <si>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</si>
  <si>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</si>
  <si>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</si>
  <si>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</si>
  <si>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</si>
  <si>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</si>
  <si>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</si>
  <si>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</si>
  <si>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</si>
  <si>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</si>
  <si>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</si>
  <si>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</si>
  <si>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</si>
  <si>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</si>
  <si>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</si>
  <si>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</si>
  <si>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</si>
  <si>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</si>
  <si>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</si>
  <si>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</si>
  <si>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</si>
  <si>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</si>
  <si>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</si>
  <si>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</si>
  <si>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</si>
  <si>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</si>
  <si>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</si>
  <si>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</si>
  <si>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</si>
  <si>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</si>
  <si>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</si>
  <si>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</si>
  <si>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</si>
  <si>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</si>
  <si>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</si>
  <si>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</si>
  <si>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</si>
  <si>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</si>
  <si>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</si>
  <si>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</si>
  <si>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</si>
  <si>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</si>
  <si>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</si>
  <si>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</si>
  <si>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</si>
  <si>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</si>
  <si>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</si>
  <si>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</si>
  <si>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</si>
  <si>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</si>
  <si>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</si>
  <si>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</si>
  <si>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</si>
  <si>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</si>
  <si>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</si>
  <si>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</si>
  <si>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</si>
  <si>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</si>
  <si>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</si>
  <si>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</si>
  <si>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</si>
  <si>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</si>
  <si>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</si>
  <si>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</si>
  <si>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</si>
  <si>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</si>
  <si>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</si>
  <si>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</si>
  <si>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</si>
  <si>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</si>
  <si>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</si>
  <si>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</si>
  <si>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</si>
  <si>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</si>
  <si>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</si>
  <si>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</si>
  <si>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</si>
  <si>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</si>
  <si>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</si>
  <si>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</si>
  <si>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</si>
  <si>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</si>
  <si>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</si>
  <si>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</si>
  <si>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</si>
  <si>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</si>
  <si>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</si>
  <si>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</si>
  <si>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</si>
  <si>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</si>
  <si>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</si>
  <si>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</si>
  <si>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</si>
  <si>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</si>
  <si>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</si>
  <si>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</si>
  <si>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</si>
  <si>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</si>
  <si>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</si>
  <si>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</si>
  <si>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</si>
  <si>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</si>
  <si>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</si>
  <si>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</si>
  <si>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</si>
  <si>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</si>
  <si>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</si>
  <si>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</si>
  <si>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</si>
  <si>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</si>
  <si>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</si>
  <si>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</si>
  <si>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</si>
  <si>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</si>
  <si>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</si>
  <si>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</si>
  <si>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</si>
  <si>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</si>
  <si>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</si>
  <si>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</si>
  <si>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</si>
  <si>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</si>
  <si>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</si>
  <si>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</si>
  <si>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</si>
  <si>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</si>
  <si>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</si>
  <si>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</si>
  <si>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</si>
  <si>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</si>
  <si>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</si>
  <si>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</si>
  <si>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</si>
  <si>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</si>
  <si>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</si>
  <si>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</si>
  <si>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</si>
  <si>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</si>
  <si>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</si>
  <si>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</si>
  <si>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</si>
  <si>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</si>
  <si>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</si>
  <si>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</si>
  <si>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</si>
  <si>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Sources and Basis Breakdown by DDA/QCT and non-DDA/non-QCT Sites</t>
  </si>
  <si>
    <t xml:space="preserve">The total costs (Column B) and basis (Column E &amp; Column H) are auto-populated based on cost and basis entered in the Sources and Basis Budget tab. Breakdown the total cost and basis by DDA/QCT and non-DDA/non-QCT sites, then fill in each of the appropriated highlighted cells. </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</si>
  <si>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</si>
  <si>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</si>
  <si>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</si>
  <si>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</si>
  <si>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</si>
  <si>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</si>
  <si>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</si>
  <si>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</si>
  <si>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t>30% PVC for New Const/
Rehabilitation
DDA/QCT
SITES</t>
  </si>
  <si>
    <t>30% PVC for New Const/
Rehabilitation
NON-DDA/
NON-QCT SITES</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</si>
  <si>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</si>
  <si>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</si>
  <si>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</si>
  <si>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</si>
  <si>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</si>
  <si>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</si>
  <si>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</si>
  <si>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</si>
  <si>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r>
      <rPr>
        <b/>
        <sz val="10"/>
        <color indexed="10"/>
        <rFont val="Arial"/>
        <family val="2"/>
      </rPr>
      <t>DO NOT UNPROTECT OR UNLOCK CELLS</t>
    </r>
    <r>
      <rPr>
        <sz val="10"/>
        <rFont val="Arial"/>
        <family val="2"/>
      </rPr>
      <t xml:space="preserve"> in the spreadsheet. TCAC will verify formulas and data and will scan the disks for viruses upon receipt. Any tampering may result in disqualification of the application.</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</si>
  <si>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</si>
  <si>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</si>
  <si>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</si>
  <si>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</si>
  <si>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</si>
  <si>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</si>
  <si>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</si>
  <si>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</si>
  <si>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</si>
  <si>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</si>
  <si>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</si>
  <si>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</si>
  <si>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</si>
  <si>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</si>
  <si>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</si>
  <si>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</si>
  <si>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</si>
  <si>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</si>
  <si>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</si>
  <si>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</si>
  <si>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</si>
  <si>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</si>
  <si>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</si>
  <si>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</si>
  <si>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</si>
  <si>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</si>
  <si>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</si>
  <si>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</si>
  <si>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2018 100% RENTS</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</si>
  <si>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</si>
  <si>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</si>
  <si>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</si>
  <si>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</si>
  <si>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</si>
  <si>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</si>
  <si>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Applicants must submit all of the application materials electronically on a USB flash drive, CD, or DVD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</si>
  <si>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</si>
  <si>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</si>
  <si>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</si>
  <si>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</si>
  <si>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</si>
  <si>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</si>
  <si>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</si>
  <si>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</si>
  <si>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</si>
  <si>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</si>
  <si>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</si>
  <si>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</si>
  <si>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</si>
  <si>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</si>
  <si>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</si>
  <si>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</si>
  <si>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</si>
  <si>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</si>
  <si>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</si>
  <si>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</si>
  <si>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disc or flash drive.</t>
    </r>
  </si>
  <si>
    <t>An ELECTRONIC VERSION OF THE APPLICATION IN THE FORM OF A CD, DVD, OR USB FLASH DRIVE TO TCAC FOR NON-JOINT APPLICATIONS.</t>
  </si>
  <si>
    <t xml:space="preserve">2019 Attachments – Electronic Submission Guide </t>
  </si>
  <si>
    <t xml:space="preserve">2019 APPLICATION CHECKLIST for NON-JOINT APPLICATIONS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</si>
  <si>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</si>
  <si>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</si>
  <si>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</si>
  <si>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</si>
  <si>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</si>
  <si>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</si>
  <si>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</si>
  <si>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</si>
  <si>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</si>
  <si>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</si>
  <si>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</si>
  <si>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</si>
  <si>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</si>
  <si>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</si>
  <si>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</si>
  <si>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</si>
  <si>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</si>
  <si>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</si>
  <si>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</si>
  <si>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</si>
  <si>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</si>
  <si>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</si>
  <si>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**QCT or DDA Adjustment:</t>
  </si>
  <si>
    <t>**130% boost if the underlying site(s) is located in a DDA or QCT, or Reg. Section 10317(d) as applicable.</t>
  </si>
  <si>
    <t>*Projects w/ sites located in DDA/QCT &amp; non-DDA/Non-QCT, bifurcate by DDA/QCT &amp; non-DDA/non-QCT sites.</t>
  </si>
  <si>
    <t xml:space="preserve">Note that only NC/Rehab DDA/QCT sites will receive the 130% basis boost. The NC/Rehab non-DDA/non-QCT sites will not receive the 130% basis boost. </t>
  </si>
  <si>
    <t>A-C    See above instructions for Section 1: Basis and Credits for items A to C.</t>
  </si>
  <si>
    <t>Note: For projects requesting State Farmworker Credits. Not necessary to bifurcate by DDA/QCT and non-DDA/non-QCT sites.</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</si>
  <si>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</si>
  <si>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</si>
  <si>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Projects w/ sites located in both DDA/QCT &amp; non-DDA/Non-QCT areas must bifurcate by DDA/QCT and non-DDA/non-QCT sites.</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</si>
  <si>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</si>
  <si>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</si>
  <si>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</si>
  <si>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</si>
  <si>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</si>
  <si>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</si>
  <si>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</si>
  <si>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</si>
  <si>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</si>
  <si>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</si>
  <si>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</si>
  <si>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</si>
  <si>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</si>
  <si>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</si>
  <si>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</si>
  <si>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r>
      <rPr>
        <b/>
        <u/>
        <sz val="10"/>
        <color indexed="10"/>
        <rFont val="Arial"/>
        <family val="2"/>
      </rPr>
      <t xml:space="preserve">Use ONLY IF: </t>
    </r>
    <r>
      <rPr>
        <b/>
        <sz val="10"/>
        <color indexed="10"/>
        <rFont val="Arial"/>
        <family val="2"/>
      </rPr>
      <t xml:space="preserve">
(i) the project is a scattered site AND 
(ii) some sites are located in a DDA/QCT but other sites are located in a non-DDA/non-QCT. 
If not applicable, skip this section and go to V. Basis and Credits.</t>
    </r>
  </si>
  <si>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</si>
  <si>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</si>
  <si>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</si>
  <si>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</si>
  <si>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</si>
  <si>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</si>
  <si>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</si>
  <si>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 xml:space="preserve">Make sure that funding sources and costs are aligned appropriately. The total basis (Row 107) will auto-link to Basis &amp; Credits tab, where only NC/Rehab basis for the DDA/QCT sites will receive the 130% basis boost. </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</si>
  <si>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</si>
  <si>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</si>
  <si>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</si>
  <si>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</si>
  <si>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</si>
  <si>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</si>
  <si>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</si>
  <si>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</si>
  <si>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</si>
  <si>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Applicants are required to use these percentages in calculating credit at the application stage.</t>
  </si>
  <si>
    <t>***Applicable Percentage:</t>
  </si>
  <si>
    <t>December 28, 2018 Version</t>
  </si>
  <si>
    <t>http://www.treasurer.ca.gov/ctcac/2019/lra/contact.pdf</t>
  </si>
  <si>
    <t>http://www.treasurer.ca.gov/ctcac/2019/application.asp</t>
  </si>
  <si>
    <t>https://www.treasurer.ca.gov/ctcac/2019/submittals/non_competitive.asp</t>
  </si>
  <si>
    <t>40%/60%</t>
  </si>
  <si>
    <t>201 Wilshire Blvd, 2nd Floor</t>
  </si>
  <si>
    <t>Santa Monica</t>
  </si>
  <si>
    <t>CA</t>
  </si>
  <si>
    <t>Jacob Levy</t>
  </si>
  <si>
    <t>310-883-7900</t>
  </si>
  <si>
    <t>310-917-1101</t>
  </si>
  <si>
    <t>jacob@ledgcapital.com</t>
  </si>
  <si>
    <t>CDLAC-TCAC Joint Application (submitting concurrently)</t>
  </si>
  <si>
    <t>Administrative GP</t>
  </si>
  <si>
    <t>Managing GP</t>
  </si>
  <si>
    <t>LEDG Capital</t>
  </si>
  <si>
    <t>General partner, developer</t>
  </si>
  <si>
    <t>201 Wilshire Blvd, 2nd floor</t>
  </si>
  <si>
    <t>Santa Monica, CA  90401</t>
  </si>
  <si>
    <t>Pacific Rim Architects</t>
  </si>
  <si>
    <t>Mark Anderson</t>
  </si>
  <si>
    <t>4952 Warner Ave, Ste 236</t>
  </si>
  <si>
    <t>Huntington Beach, Ca  92649</t>
  </si>
  <si>
    <t>714-840-2100</t>
  </si>
  <si>
    <t>714-840-2101</t>
  </si>
  <si>
    <t>Irene Kuei</t>
  </si>
  <si>
    <t>Downs Pham &amp; Kuei</t>
  </si>
  <si>
    <t>235 Montgomery St</t>
  </si>
  <si>
    <t>San Francisco, CA  94104</t>
  </si>
  <si>
    <t>415-202-6397</t>
  </si>
  <si>
    <t>ikuei@downspham.com</t>
  </si>
  <si>
    <t>Partner Energy</t>
  </si>
  <si>
    <t>2154 Torrance Boulevard</t>
  </si>
  <si>
    <t>Torrance, CA  90501</t>
  </si>
  <si>
    <t>Philip Phongsak</t>
  </si>
  <si>
    <t>619-263-5858</t>
  </si>
  <si>
    <t>pphongsak@ptrenergy.com</t>
  </si>
  <si>
    <t>Kinetic Valuation Group</t>
  </si>
  <si>
    <t>PO Box 68</t>
  </si>
  <si>
    <t>Corona Del Mar, CA  92625</t>
  </si>
  <si>
    <t>Jay Wortmann</t>
  </si>
  <si>
    <t>818-914-1892</t>
  </si>
  <si>
    <t>jay@kvgteam.com</t>
  </si>
  <si>
    <t>Partner Engineering</t>
  </si>
  <si>
    <t>135 L Street</t>
  </si>
  <si>
    <t>Sacramento, CA  95814</t>
  </si>
  <si>
    <t>Rob Vaughn</t>
  </si>
  <si>
    <t>949-481-9818</t>
  </si>
  <si>
    <t>rvaughn@partneresi.com</t>
  </si>
  <si>
    <t>Platinum Realty Management</t>
  </si>
  <si>
    <t>201 Wilshire blvd, 2nd Floor</t>
  </si>
  <si>
    <t>Sasa Potestas</t>
  </si>
  <si>
    <t>310-883-7910</t>
  </si>
  <si>
    <t>sasa@levyre.com</t>
  </si>
  <si>
    <t>Appraisal</t>
  </si>
  <si>
    <t>Multi-family</t>
  </si>
  <si>
    <t>Deferred developer fee</t>
  </si>
  <si>
    <t>Deferred Fee</t>
  </si>
  <si>
    <t>Deferred Developer Fee</t>
  </si>
  <si>
    <t>Other: (Specify) Bond issuance costs</t>
  </si>
  <si>
    <t>Other: (Specify)  Borrower legal</t>
  </si>
  <si>
    <t>(specify here) Fire system</t>
  </si>
  <si>
    <t>(specify here) taxes &amp; benefits</t>
  </si>
  <si>
    <t>(specify here) supplies, phones</t>
  </si>
  <si>
    <t>Tax exempt bond</t>
  </si>
  <si>
    <t>Tax exempt Bonds</t>
  </si>
  <si>
    <t>LIBOR</t>
  </si>
  <si>
    <t>Fixed</t>
  </si>
  <si>
    <t>LIH Oak Grove, LP</t>
  </si>
  <si>
    <t>Oak Grove</t>
  </si>
  <si>
    <t>City of Healdsburg</t>
  </si>
  <si>
    <t>Mr. Richard Spitler</t>
  </si>
  <si>
    <t>401 Grove Street</t>
  </si>
  <si>
    <t>Healdsburg</t>
  </si>
  <si>
    <t>707-431-3346</t>
  </si>
  <si>
    <t>707-431-2710</t>
  </si>
  <si>
    <t>planning@ci.healdsburg.ca.us</t>
  </si>
  <si>
    <t>1578 Grove Street</t>
  </si>
  <si>
    <t>089-071-055-000</t>
  </si>
  <si>
    <t>LEDG Oak Grove GP, LLC</t>
  </si>
  <si>
    <t>AHA Norcal MGP, LLC</t>
  </si>
  <si>
    <t>Affordable Housing Access, Inc.</t>
  </si>
  <si>
    <t>3920 Birch Street, Suite 103</t>
  </si>
  <si>
    <t>Newport Beach</t>
  </si>
  <si>
    <t>Bill Hirsch</t>
  </si>
  <si>
    <t>949-253-3120 X234</t>
  </si>
  <si>
    <t>949-253-3125</t>
  </si>
  <si>
    <t>hirsch@ahaccess.org</t>
  </si>
  <si>
    <t>CalPFA</t>
  </si>
  <si>
    <t>Caitlin Lanctot</t>
  </si>
  <si>
    <t>2999 Oak Rd, Suite 710</t>
  </si>
  <si>
    <t>Walnut Creek, CA  94597</t>
  </si>
  <si>
    <t>925-280-4394</t>
  </si>
  <si>
    <t>clanctot@calpfa.org</t>
  </si>
  <si>
    <t>TBD</t>
  </si>
  <si>
    <t>Healdsburg/Oak Grove L.P.</t>
  </si>
  <si>
    <t>West Cedar Managing, Inc.</t>
  </si>
  <si>
    <t>Gregory Voyentzie</t>
  </si>
  <si>
    <t>President</t>
  </si>
  <si>
    <t>c/o BFIM, 101 Arch Street, Boston, MA  02110</t>
  </si>
  <si>
    <t>Other (Specify below)</t>
  </si>
  <si>
    <t>RM Multifamily Residential</t>
  </si>
  <si>
    <t>40 feet</t>
  </si>
  <si>
    <t>1.5 spaces per unit plus 1 guest/3 units</t>
  </si>
  <si>
    <t>Umpqua - Tax-exempt bond loan</t>
  </si>
  <si>
    <t>Umpqua - Tax exempt bond loan</t>
  </si>
  <si>
    <t>Monica Sharp</t>
  </si>
  <si>
    <t>916-341-7552</t>
  </si>
  <si>
    <t>One Capitol Mall, Suite 600</t>
  </si>
  <si>
    <t>Sonoma County Community Development Commission</t>
  </si>
  <si>
    <t>Net operating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</si>
</sst>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5" borderId="11" xfId="0" applyNumberFormat="1" applyFont="1" applyFill="1" applyBorder="1" applyAlignment="1" applyProtection="1">
      <alignment vertical="top" wrapText="1"/>
      <protection locked="0"/>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7" fillId="0" borderId="0" xfId="244" applyFill="1" applyAlignment="1" applyProtection="1">
      <protection locked="0"/>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43" fillId="5" borderId="11" xfId="0" applyFont="1" applyFill="1" applyBorder="1" applyAlignment="1" applyProtection="1">
      <alignment horizontal="right" vertical="top" wrapText="1"/>
      <protection locked="0"/>
    </xf>
    <xf numFmtId="0" fontId="6" fillId="0" borderId="0" xfId="0" applyFont="1" applyFill="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Border="1" applyAlignment="1">
      <alignment horizontal="left" vertical="top" wrapText="1"/>
    </xf>
    <xf numFmtId="0" fontId="15" fillId="0" borderId="0" xfId="0" applyFont="1" applyAlignment="1">
      <alignment horizontal="left"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1193" applyFont="1" applyFill="1" applyAlignment="1" applyProtection="1">
      <alignment horizontal="left" vertical="top" wrapText="1"/>
      <protection locked="0"/>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4" fontId="24" fillId="0" borderId="0" xfId="570" applyNumberFormat="1" applyFont="1" applyFill="1" applyAlignment="1" applyProtection="1">
      <alignment horizontal="left"/>
    </xf>
    <xf numFmtId="0" fontId="24" fillId="0" borderId="0" xfId="570" applyFont="1" applyAlignment="1">
      <alignment horizontal="left" vertical="top" wrapText="1"/>
    </xf>
    <xf numFmtId="49" fontId="6" fillId="0" borderId="0" xfId="570" applyNumberFormat="1" applyFont="1" applyFill="1" applyAlignment="1">
      <alignment horizontal="left" vertical="top" wrapText="1"/>
    </xf>
    <xf numFmtId="0" fontId="6" fillId="0" borderId="0" xfId="570" applyAlignment="1">
      <alignment horizontal="left" vertical="top" wrapText="1"/>
    </xf>
    <xf numFmtId="0" fontId="6" fillId="0" borderId="0" xfId="570" applyFont="1" applyAlignment="1" applyProtection="1">
      <alignment horizontal="left" vertical="top" wrapText="1"/>
    </xf>
    <xf numFmtId="0" fontId="6" fillId="0" borderId="0" xfId="570" applyFont="1" applyAlignment="1" applyProtection="1">
      <alignment horizontal="left"/>
    </xf>
    <xf numFmtId="0" fontId="24" fillId="0" borderId="0" xfId="570" applyFont="1" applyFill="1" applyAlignment="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24" fillId="0" borderId="0" xfId="570" applyFont="1" applyAlignment="1">
      <alignment horizontal="left" wrapText="1"/>
    </xf>
    <xf numFmtId="0" fontId="13" fillId="0" borderId="16" xfId="570" applyFont="1" applyFill="1" applyBorder="1" applyAlignment="1" applyProtection="1">
      <alignment horizontal="left"/>
    </xf>
    <xf numFmtId="0" fontId="6" fillId="0" borderId="27" xfId="570" applyFont="1" applyBorder="1" applyAlignment="1">
      <alignment horizontal="left"/>
    </xf>
    <xf numFmtId="0" fontId="6" fillId="0" borderId="0" xfId="1193" applyFont="1" applyAlignment="1" applyProtection="1">
      <alignment vertical="top" wrapText="1"/>
    </xf>
    <xf numFmtId="0" fontId="6" fillId="0" borderId="0" xfId="570" applyFont="1" applyFill="1" applyAlignment="1">
      <alignment horizontal="left"/>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15" fillId="5" borderId="11" xfId="0" applyNumberFormat="1" applyFont="1" applyFill="1" applyBorder="1" applyAlignment="1" applyProtection="1">
      <alignment horizontal="center"/>
      <protection locked="0"/>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5"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6" xfId="0" applyFont="1" applyFill="1" applyBorder="1" applyAlignment="1" applyProtection="1">
      <alignment horizontal="left" wrapText="1"/>
      <protection locked="0"/>
    </xf>
    <xf numFmtId="0" fontId="6" fillId="5" borderId="4" xfId="0"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15" fillId="0" borderId="1" xfId="543" applyFont="1" applyBorder="1" applyAlignment="1" applyProtection="1">
      <alignment horizontal="left" vertical="top" wrapText="1"/>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25" fillId="5" borderId="3" xfId="0" applyFont="1" applyFill="1" applyBorder="1" applyAlignment="1" applyProtection="1">
      <alignment horizontal="lef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15" fillId="5" borderId="6"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66" fontId="15" fillId="5" borderId="4" xfId="271" applyNumberFormat="1" applyFon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15" fillId="0" borderId="0" xfId="0" applyFont="1" applyAlignment="1" applyProtection="1">
      <alignment horizontal="center"/>
    </xf>
    <xf numFmtId="0" fontId="6" fillId="0" borderId="6" xfId="0" applyFont="1" applyFill="1" applyBorder="1" applyAlignment="1" applyProtection="1">
      <alignment horizontal="center"/>
      <protection locked="0"/>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 xfId="0" applyFont="1" applyFill="1" applyBorder="1" applyAlignment="1" applyProtection="1">
      <alignment horizontal="center"/>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0" fontId="15" fillId="5" borderId="4" xfId="0" applyNumberFormat="1" applyFont="1" applyFill="1" applyBorder="1" applyAlignment="1" applyProtection="1">
      <alignment horizontal="right"/>
      <protection locked="0"/>
    </xf>
    <xf numFmtId="0" fontId="6" fillId="0" borderId="4" xfId="0" applyFont="1"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8" xfId="543" applyFont="1" applyBorder="1" applyAlignment="1" applyProtection="1">
      <alignment horizontal="left" vertical="top"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0" fillId="44" borderId="4" xfId="0" applyFill="1" applyBorder="1" applyAlignment="1" applyProtection="1">
      <alignment horizontal="center"/>
      <protection locked="0"/>
    </xf>
    <xf numFmtId="0" fontId="15" fillId="5" borderId="6" xfId="271" applyFont="1" applyFill="1" applyBorder="1" applyAlignment="1" applyProtection="1">
      <protection locked="0"/>
    </xf>
    <xf numFmtId="168" fontId="15" fillId="5" borderId="6" xfId="0" applyNumberFormat="1" applyFont="1" applyFill="1" applyBorder="1" applyAlignment="1" applyProtection="1">
      <alignment horizontal="right"/>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11" xfId="0" applyNumberFormat="1" applyFill="1" applyBorder="1" applyAlignment="1">
      <alignment horizontal="center"/>
    </xf>
    <xf numFmtId="168" fontId="0" fillId="0" borderId="5" xfId="0" applyNumberFormat="1" applyFill="1" applyBorder="1" applyAlignment="1">
      <alignment horizontal="center"/>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0" fontId="0" fillId="0" borderId="11" xfId="0" applyNumberFormat="1" applyFill="1" applyBorder="1" applyAlignment="1" applyProtection="1">
      <alignment horizontal="center"/>
      <protection locked="0"/>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0" fontId="13" fillId="0" borderId="11" xfId="0" applyFont="1" applyBorder="1" applyAlignment="1">
      <alignment horizontal="center" wrapText="1"/>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65">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www.treasurer.ca.gov/ctcac/compliance/covenant/questionnaire.pdf"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9/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56"/>
  <sheetViews>
    <sheetView showGridLines="0" zoomScale="120" zoomScaleNormal="12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7" t="s">
        <v>627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5" thickTop="1"/>
    <row r="4" spans="1:38" s="11" customFormat="1">
      <c r="B4" s="20" t="s">
        <v>635</v>
      </c>
      <c r="C4" s="20" t="s">
        <v>585</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15" customHeight="1">
      <c r="A7" s="358"/>
      <c r="B7" s="356"/>
      <c r="C7" s="357"/>
      <c r="D7" s="980" t="s">
        <v>1514</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818"/>
    </row>
    <row r="8" spans="1:38">
      <c r="A8" s="358"/>
      <c r="B8" s="356"/>
      <c r="C8" s="357"/>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818"/>
    </row>
    <row r="9" spans="1:38">
      <c r="A9" s="358"/>
      <c r="B9" s="356"/>
      <c r="C9" s="357"/>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818"/>
    </row>
    <row r="10" spans="1:38">
      <c r="A10" s="358"/>
      <c r="B10" s="356"/>
      <c r="C10" s="357"/>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844"/>
      <c r="AL10" s="818"/>
    </row>
    <row r="11" spans="1:38" ht="12.95" customHeight="1">
      <c r="A11" s="358"/>
      <c r="B11" s="356"/>
      <c r="C11" s="357"/>
      <c r="D11" s="980" t="s">
        <v>1524</v>
      </c>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818"/>
    </row>
    <row r="12" spans="1:38">
      <c r="A12" s="358"/>
      <c r="B12" s="356"/>
      <c r="C12" s="357"/>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818"/>
    </row>
    <row r="13" spans="1:38" s="789" customFormat="1">
      <c r="A13" s="358"/>
      <c r="B13" s="356"/>
      <c r="C13" s="357"/>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818"/>
    </row>
    <row r="14" spans="1:38" s="789" customFormat="1" ht="13.15" customHeight="1">
      <c r="A14" s="358"/>
      <c r="B14" s="356"/>
      <c r="C14" s="357"/>
      <c r="E14" s="970" t="s">
        <v>1515</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818"/>
    </row>
    <row r="15" spans="1:38" s="789" customFormat="1">
      <c r="A15" s="358"/>
      <c r="B15" s="356"/>
      <c r="C15" s="357"/>
      <c r="D15" s="818"/>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818"/>
    </row>
    <row r="16" spans="1:38" s="789" customFormat="1">
      <c r="A16" s="358"/>
      <c r="B16" s="356"/>
      <c r="C16" s="357"/>
      <c r="D16" s="84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18"/>
    </row>
    <row r="17" spans="1:38" ht="13.15" customHeight="1">
      <c r="A17" s="358"/>
      <c r="B17" s="356"/>
      <c r="C17" s="357"/>
      <c r="D17" s="970" t="s">
        <v>1604</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56"/>
    </row>
    <row r="18" spans="1:38">
      <c r="A18" s="358"/>
      <c r="B18" s="356"/>
      <c r="C18" s="357"/>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56"/>
    </row>
    <row r="19" spans="1:38" s="789" customFormat="1">
      <c r="A19" s="358"/>
      <c r="B19" s="356"/>
      <c r="C19" s="357"/>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56"/>
    </row>
    <row r="20" spans="1:38" s="789" customFormat="1" ht="13.15" customHeight="1">
      <c r="A20" s="358"/>
      <c r="B20" s="356"/>
      <c r="C20" s="357"/>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56"/>
    </row>
    <row r="21" spans="1:38" s="789" customFormat="1">
      <c r="A21" s="358"/>
      <c r="B21" s="356"/>
      <c r="C21" s="357"/>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56"/>
    </row>
    <row r="22" spans="1:38" s="789" customFormat="1">
      <c r="A22" s="358"/>
      <c r="B22" s="356"/>
      <c r="C22" s="357"/>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56"/>
    </row>
    <row r="23" spans="1:38">
      <c r="A23" s="358"/>
      <c r="B23" s="356"/>
      <c r="C23" s="357"/>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56"/>
    </row>
    <row r="24" spans="1:38" s="789" customFormat="1">
      <c r="A24" s="358"/>
      <c r="B24" s="356"/>
      <c r="C24" s="357"/>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56"/>
    </row>
    <row r="25" spans="1:38" s="789" customFormat="1" ht="11.85" customHeight="1">
      <c r="A25" s="358"/>
      <c r="B25" s="356"/>
      <c r="C25" s="357"/>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56"/>
    </row>
    <row r="26" spans="1:38" s="789" customFormat="1" ht="13.15" customHeight="1">
      <c r="A26" s="358"/>
      <c r="B26" s="356"/>
      <c r="C26" s="357"/>
      <c r="E26" s="970" t="s">
        <v>1525</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56"/>
    </row>
    <row r="27" spans="1:38" s="789" customFormat="1">
      <c r="A27" s="358"/>
      <c r="B27" s="356"/>
      <c r="C27" s="357"/>
      <c r="D27" s="818"/>
      <c r="E27" s="970"/>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56"/>
    </row>
    <row r="28" spans="1:38" s="789" customFormat="1">
      <c r="A28" s="358"/>
      <c r="B28" s="356"/>
      <c r="C28" s="357"/>
      <c r="D28" s="818"/>
      <c r="E28" s="818"/>
      <c r="F28" s="818"/>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356"/>
    </row>
    <row r="29" spans="1:38" s="789" customFormat="1" ht="13.15" customHeight="1">
      <c r="A29" s="358"/>
      <c r="B29" s="356"/>
      <c r="C29" s="357"/>
      <c r="D29" s="968" t="s">
        <v>1526</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356"/>
    </row>
    <row r="30" spans="1:38" s="789" customFormat="1">
      <c r="A30" s="358"/>
      <c r="B30" s="356"/>
      <c r="C30" s="357"/>
      <c r="D30" s="818"/>
      <c r="E30" s="979" t="s">
        <v>1610</v>
      </c>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356"/>
    </row>
    <row r="31" spans="1:38">
      <c r="A31" s="159"/>
      <c r="C31" s="5"/>
    </row>
    <row r="32" spans="1:38">
      <c r="A32" s="159"/>
      <c r="D32" s="971" t="s">
        <v>1508</v>
      </c>
      <c r="E32" s="971"/>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159"/>
      <c r="D33" s="971"/>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9"/>
      <c r="D34" s="275"/>
      <c r="E34" s="972" t="s">
        <v>1183</v>
      </c>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9"/>
      <c r="D35" s="275"/>
      <c r="E35" s="972" t="s">
        <v>1523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9"/>
      <c r="C36" s="5"/>
      <c r="D36" s="5"/>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row>
    <row r="37" spans="1:38">
      <c r="A37" s="159"/>
      <c r="C37" s="5" t="s">
        <v>370</v>
      </c>
      <c r="D37" s="5" t="s">
        <v>831</v>
      </c>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B38" s="159"/>
      <c r="C38" s="159"/>
      <c r="D38" s="13" t="s">
        <v>120</v>
      </c>
      <c r="E38" s="159" t="s">
        <v>832</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s="970" customFormat="1" ht="13.15" customHeight="1">
      <c r="A39" s="159"/>
      <c r="B39"/>
      <c r="C39" s="5"/>
      <c r="D39" s="159"/>
      <c r="E39" s="159" t="s">
        <v>739</v>
      </c>
      <c r="F39" s="970" t="s">
        <v>1479</v>
      </c>
    </row>
    <row r="40" spans="1:38" s="970" customFormat="1" ht="13.15" customHeight="1">
      <c r="A40" s="159"/>
      <c r="B40" s="789"/>
      <c r="C40" s="5"/>
      <c r="D40" s="159"/>
      <c r="E40" s="159"/>
    </row>
    <row r="41" spans="1:38">
      <c r="A41" s="159"/>
      <c r="C41" s="5"/>
      <c r="D41" s="159"/>
      <c r="E41" s="159"/>
      <c r="F41" s="161" t="s">
        <v>774</v>
      </c>
      <c r="G41" s="159" t="s">
        <v>193</v>
      </c>
      <c r="H41" s="818"/>
      <c r="I41" s="818"/>
      <c r="J41" s="818"/>
      <c r="K41" s="818"/>
      <c r="L41" s="818"/>
      <c r="M41" s="818"/>
      <c r="N41" s="818"/>
      <c r="O41" s="818"/>
      <c r="P41" s="818"/>
      <c r="Q41" s="818"/>
      <c r="R41" s="818"/>
      <c r="S41" s="818"/>
      <c r="T41" s="818"/>
      <c r="U41" s="818"/>
      <c r="V41" s="818"/>
      <c r="W41" s="818"/>
      <c r="X41" s="818"/>
      <c r="Y41" s="818"/>
      <c r="Z41" s="818"/>
      <c r="AA41" s="818"/>
      <c r="AB41" s="818"/>
      <c r="AC41" s="818"/>
      <c r="AD41" s="818"/>
      <c r="AE41" s="818"/>
      <c r="AF41" s="818"/>
      <c r="AG41" s="818"/>
      <c r="AH41" s="818"/>
      <c r="AI41" s="818"/>
      <c r="AJ41" s="818"/>
      <c r="AK41" s="818"/>
    </row>
    <row r="42" spans="1:38" s="843" customFormat="1" ht="13.15" customHeight="1">
      <c r="A42" s="159"/>
      <c r="B42"/>
      <c r="C42" s="5"/>
      <c r="D42" s="159"/>
      <c r="E42" s="6" t="s">
        <v>377</v>
      </c>
      <c r="F42" s="974" t="s">
        <v>1537</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c r="AL42" s="974"/>
    </row>
    <row r="43" spans="1:38" s="843" customFormat="1">
      <c r="A43" s="159"/>
      <c r="B43" s="789"/>
      <c r="C43" s="5"/>
      <c r="D43" s="159"/>
      <c r="E43" s="159"/>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843" customFormat="1" ht="13.15" customHeight="1">
      <c r="A44" s="159"/>
      <c r="B44" s="789"/>
      <c r="C44" s="5"/>
      <c r="D44" s="159"/>
      <c r="E44" s="159"/>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c r="A45" s="159"/>
      <c r="C45" s="5"/>
      <c r="D45" s="159"/>
      <c r="E45" s="159"/>
      <c r="F45" s="843" t="s">
        <v>774</v>
      </c>
      <c r="G45" s="6" t="s">
        <v>735</v>
      </c>
      <c r="H45" s="848"/>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row>
    <row r="46" spans="1:38" s="789" customFormat="1">
      <c r="A46" s="159"/>
      <c r="C46" s="5"/>
      <c r="D46" s="159"/>
      <c r="E46" s="159"/>
      <c r="F46" s="161" t="s">
        <v>586</v>
      </c>
      <c r="G46" s="159" t="s">
        <v>624</v>
      </c>
      <c r="I46" s="159"/>
      <c r="J46" s="159"/>
      <c r="K46" s="159"/>
      <c r="L46" s="159"/>
      <c r="O46" s="159"/>
      <c r="P46" s="159"/>
      <c r="Q46" s="159"/>
      <c r="R46" s="159"/>
      <c r="S46" s="159"/>
      <c r="T46" s="159"/>
      <c r="U46" s="159"/>
      <c r="V46" s="159"/>
      <c r="W46" s="159"/>
      <c r="X46" s="159"/>
      <c r="Y46" s="159"/>
      <c r="Z46" s="159"/>
      <c r="AA46" s="159"/>
      <c r="AB46" s="159"/>
    </row>
    <row r="47" spans="1:38" s="789" customFormat="1">
      <c r="A47" s="159"/>
      <c r="C47" s="5"/>
      <c r="D47" s="159"/>
      <c r="E47" s="6" t="s">
        <v>378</v>
      </c>
      <c r="F47" s="970" t="s">
        <v>1480</v>
      </c>
      <c r="G47" s="970"/>
      <c r="H47" s="970"/>
      <c r="I47" s="970"/>
      <c r="J47" s="970"/>
      <c r="K47" s="970"/>
      <c r="L47" s="970"/>
      <c r="M47" s="970"/>
      <c r="N47" s="970"/>
      <c r="O47" s="970"/>
      <c r="P47" s="970"/>
      <c r="Q47" s="970"/>
      <c r="R47" s="970"/>
      <c r="S47" s="970"/>
      <c r="T47" s="970"/>
      <c r="U47" s="970"/>
      <c r="V47" s="970"/>
      <c r="W47" s="970"/>
      <c r="X47" s="970"/>
      <c r="Y47" s="970"/>
      <c r="Z47" s="970"/>
      <c r="AA47" s="970"/>
      <c r="AB47" s="970"/>
      <c r="AC47" s="970"/>
      <c r="AD47" s="970"/>
      <c r="AE47" s="970"/>
      <c r="AF47" s="970"/>
      <c r="AG47" s="970"/>
      <c r="AH47" s="970"/>
      <c r="AI47" s="970"/>
      <c r="AJ47" s="970"/>
      <c r="AK47" s="970"/>
    </row>
    <row r="48" spans="1:38">
      <c r="A48" s="159"/>
      <c r="C48" s="5"/>
      <c r="D48" s="159"/>
      <c r="E48" s="159"/>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9"/>
      <c r="C49" s="5"/>
      <c r="D49" s="159"/>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9"/>
      <c r="C50" s="5"/>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row>
    <row r="51" spans="1:38">
      <c r="A51" s="159"/>
      <c r="C51" s="5"/>
      <c r="D51" s="159" t="s">
        <v>121</v>
      </c>
      <c r="E51" s="159" t="s">
        <v>737</v>
      </c>
      <c r="F51" s="159"/>
      <c r="G51" s="159"/>
      <c r="H51" s="159"/>
      <c r="I51" s="159"/>
      <c r="J51" s="278"/>
      <c r="K51" s="278"/>
      <c r="L51" s="278"/>
      <c r="M51" s="278"/>
      <c r="N51" s="278"/>
      <c r="O51" s="204"/>
      <c r="P51" s="204"/>
      <c r="Q51" s="204"/>
      <c r="R51" s="204"/>
      <c r="S51" s="204"/>
      <c r="T51" s="204"/>
      <c r="U51" s="159"/>
      <c r="V51" s="159"/>
      <c r="W51" s="159"/>
      <c r="X51" s="159"/>
      <c r="Y51" s="159"/>
      <c r="Z51" s="159"/>
      <c r="AA51" s="159"/>
      <c r="AB51" s="159"/>
    </row>
    <row r="52" spans="1:38">
      <c r="A52" s="159"/>
      <c r="C52" s="5"/>
      <c r="D52" s="5"/>
      <c r="E52" s="159" t="s">
        <v>739</v>
      </c>
      <c r="F52" s="6" t="s">
        <v>1528</v>
      </c>
      <c r="G52" s="5"/>
      <c r="H52" s="204"/>
      <c r="I52" s="204"/>
      <c r="L52" s="204"/>
      <c r="M52" s="204"/>
      <c r="N52" s="204"/>
      <c r="O52" s="204"/>
      <c r="P52" s="204"/>
      <c r="Q52" s="204"/>
      <c r="R52" s="204"/>
      <c r="S52" s="204"/>
      <c r="T52" s="204"/>
      <c r="U52" s="204"/>
      <c r="V52" s="204"/>
      <c r="W52" s="204"/>
      <c r="X52" s="204"/>
      <c r="Y52" s="204"/>
      <c r="Z52" s="204"/>
      <c r="AA52" s="204"/>
      <c r="AB52" s="204"/>
      <c r="AC52" s="204"/>
      <c r="AD52" s="204"/>
      <c r="AE52" s="204"/>
      <c r="AF52" s="204"/>
      <c r="AG52" s="5"/>
    </row>
    <row r="53" spans="1:38" ht="13.15" customHeight="1">
      <c r="A53" s="358"/>
      <c r="B53" s="356"/>
      <c r="C53" s="357"/>
      <c r="D53" s="357"/>
      <c r="E53" s="358"/>
      <c r="F53" s="362" t="s">
        <v>774</v>
      </c>
      <c r="G53" s="969" t="s">
        <v>1527</v>
      </c>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356"/>
    </row>
    <row r="54" spans="1:38" s="789" customFormat="1" ht="13.15" customHeight="1">
      <c r="A54" s="358"/>
      <c r="B54" s="356"/>
      <c r="C54" s="357"/>
      <c r="D54" s="357"/>
      <c r="E54" s="358"/>
      <c r="F54" s="362"/>
      <c r="G54" s="850" t="s">
        <v>1529</v>
      </c>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42"/>
      <c r="AF54" s="842"/>
      <c r="AG54" s="842"/>
      <c r="AH54" s="842"/>
      <c r="AI54" s="842"/>
      <c r="AJ54" s="842"/>
      <c r="AK54" s="842"/>
      <c r="AL54" s="356"/>
    </row>
    <row r="55" spans="1:38" s="2" customFormat="1">
      <c r="A55" s="358"/>
      <c r="B55" s="356"/>
      <c r="C55" s="357"/>
      <c r="D55" s="357"/>
      <c r="E55" s="358"/>
      <c r="F55" s="362"/>
      <c r="G55" s="969" t="s">
        <v>656</v>
      </c>
      <c r="H55" s="969"/>
      <c r="I55" s="969"/>
      <c r="J55" s="814"/>
      <c r="K55" s="814"/>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356"/>
    </row>
    <row r="56" spans="1:38" s="2" customFormat="1" ht="13.15" customHeight="1">
      <c r="A56" s="358"/>
      <c r="B56" s="357"/>
      <c r="C56" s="357"/>
      <c r="D56" s="357"/>
      <c r="E56" s="358"/>
      <c r="F56" s="362" t="s">
        <v>586</v>
      </c>
      <c r="G56" s="973" t="s">
        <v>1538</v>
      </c>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row>
    <row r="57" spans="1:38" s="2" customFormat="1">
      <c r="A57" s="358"/>
      <c r="B57" s="356"/>
      <c r="C57" s="357"/>
      <c r="D57" s="357"/>
      <c r="E57" s="358"/>
      <c r="F57" s="362"/>
      <c r="G57" s="973"/>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c r="A58" s="360"/>
      <c r="B58" s="359"/>
      <c r="C58" s="361"/>
      <c r="D58" s="361"/>
      <c r="E58" s="360"/>
      <c r="F58" s="363"/>
      <c r="G58" s="851" t="s">
        <v>1530</v>
      </c>
      <c r="H58" s="849"/>
      <c r="I58" s="849"/>
      <c r="J58" s="849"/>
      <c r="K58" s="849"/>
      <c r="L58" s="849"/>
      <c r="M58" s="849"/>
      <c r="N58" s="849"/>
      <c r="O58" s="849"/>
      <c r="P58" s="849"/>
      <c r="Q58" s="849"/>
      <c r="R58" s="849"/>
      <c r="S58" s="849"/>
      <c r="T58" s="849"/>
      <c r="U58" s="849"/>
      <c r="V58" s="849"/>
      <c r="W58" s="849"/>
      <c r="X58" s="849"/>
      <c r="Y58" s="849"/>
      <c r="Z58" s="849"/>
      <c r="AA58" s="849"/>
      <c r="AB58" s="849"/>
      <c r="AC58" s="849"/>
      <c r="AD58" s="849"/>
      <c r="AE58" s="849"/>
      <c r="AF58" s="849"/>
      <c r="AG58" s="849"/>
      <c r="AH58" s="849"/>
      <c r="AI58" s="849"/>
      <c r="AJ58" s="849"/>
      <c r="AK58" s="849"/>
      <c r="AL58" s="359"/>
    </row>
    <row r="59" spans="1:38">
      <c r="A59" s="199"/>
      <c r="B59" s="2"/>
      <c r="C59" s="200"/>
      <c r="D59" s="200"/>
      <c r="E59" s="199"/>
      <c r="F59" s="200"/>
      <c r="G59" s="200"/>
      <c r="H59" s="749"/>
      <c r="I59" s="200"/>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
      <c r="AI59" s="2"/>
      <c r="AJ59" s="2"/>
      <c r="AK59" s="2"/>
      <c r="AL59" s="2"/>
    </row>
    <row r="60" spans="1:38">
      <c r="A60" s="159"/>
      <c r="B60" s="159"/>
      <c r="C60" s="159"/>
      <c r="D60" s="159" t="s">
        <v>127</v>
      </c>
      <c r="E60" s="159" t="s">
        <v>192</v>
      </c>
      <c r="F60" s="159"/>
      <c r="G60" s="159"/>
      <c r="H60" s="159"/>
      <c r="I60" s="159"/>
      <c r="J60" s="159"/>
      <c r="K60" s="159"/>
      <c r="L60" s="159"/>
      <c r="M60" s="159"/>
      <c r="N60" s="159"/>
      <c r="O60" s="159"/>
      <c r="P60" s="159"/>
      <c r="Q60" s="159"/>
      <c r="R60" s="159"/>
      <c r="S60" s="159"/>
      <c r="T60" s="159"/>
      <c r="U60" s="204"/>
      <c r="V60" s="204"/>
      <c r="W60" s="204"/>
      <c r="X60" s="204"/>
      <c r="Y60" s="204"/>
      <c r="Z60" s="204"/>
      <c r="AA60" s="204"/>
      <c r="AB60" s="204"/>
      <c r="AC60" s="204"/>
      <c r="AD60" s="204"/>
      <c r="AE60" s="204"/>
      <c r="AF60" s="204"/>
      <c r="AG60" s="5"/>
    </row>
    <row r="61" spans="1:38">
      <c r="A61" s="159"/>
      <c r="C61" s="5"/>
      <c r="E61" s="6" t="s">
        <v>1481</v>
      </c>
      <c r="G61" s="159"/>
      <c r="H61" s="159"/>
      <c r="I61" s="159"/>
      <c r="J61" s="159"/>
      <c r="K61" s="159"/>
      <c r="L61" s="159"/>
      <c r="M61" s="159"/>
      <c r="N61" s="159"/>
      <c r="O61" s="159"/>
      <c r="P61" s="159"/>
      <c r="Q61" s="159"/>
      <c r="R61" s="159"/>
      <c r="S61" s="159"/>
      <c r="T61" s="159"/>
      <c r="U61" s="159"/>
      <c r="V61" s="159"/>
      <c r="W61" s="159"/>
      <c r="X61" s="159"/>
      <c r="Y61" s="159"/>
      <c r="Z61" s="159"/>
      <c r="AA61" s="159"/>
      <c r="AB61" s="159"/>
    </row>
    <row r="62" spans="1:38">
      <c r="A62" s="159"/>
      <c r="C62" s="5"/>
      <c r="D62" s="159"/>
      <c r="E62" s="159" t="s">
        <v>739</v>
      </c>
      <c r="F62" s="159" t="s">
        <v>585</v>
      </c>
      <c r="G62" s="159"/>
      <c r="H62" s="159"/>
      <c r="I62" s="159"/>
      <c r="J62" s="159"/>
      <c r="K62" s="159"/>
      <c r="L62" s="159"/>
      <c r="M62" s="159"/>
      <c r="P62" s="159"/>
      <c r="Q62" s="159"/>
      <c r="R62" s="159"/>
      <c r="S62" s="159"/>
      <c r="T62" s="159"/>
      <c r="U62" s="159"/>
      <c r="V62" s="159"/>
      <c r="W62" s="159"/>
      <c r="X62" s="159"/>
      <c r="Y62" s="159"/>
      <c r="Z62" s="159"/>
      <c r="AA62" s="159"/>
      <c r="AB62" s="159"/>
    </row>
    <row r="63" spans="1:38">
      <c r="A63" s="159"/>
      <c r="C63" s="5"/>
      <c r="D63" s="159"/>
      <c r="E63" s="159"/>
      <c r="F63" s="12" t="s">
        <v>774</v>
      </c>
      <c r="G63" s="970" t="s">
        <v>1482</v>
      </c>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159"/>
      <c r="C64" s="5"/>
      <c r="D64" s="159"/>
      <c r="E64" s="159"/>
      <c r="F64" s="12"/>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9"/>
      <c r="C65" s="5"/>
      <c r="D65" s="159"/>
      <c r="E65" s="159"/>
      <c r="F65" s="12"/>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5" customHeight="1">
      <c r="A66" s="159"/>
      <c r="C66" s="5"/>
      <c r="D66" s="159"/>
      <c r="E66" s="159"/>
      <c r="F66" s="12" t="s">
        <v>586</v>
      </c>
      <c r="G66" s="970" t="s">
        <v>1483</v>
      </c>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159"/>
      <c r="C67" s="5"/>
      <c r="D67" s="159"/>
      <c r="E67" s="159"/>
      <c r="F67" s="418"/>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9"/>
      <c r="C68" s="5"/>
      <c r="D68" s="159"/>
      <c r="E68" s="159" t="s">
        <v>377</v>
      </c>
      <c r="F68" s="159" t="s">
        <v>469</v>
      </c>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8"/>
      <c r="AF68" s="818"/>
      <c r="AG68" s="818"/>
      <c r="AH68" s="818"/>
      <c r="AI68" s="818"/>
      <c r="AJ68" s="818"/>
      <c r="AK68" s="818"/>
    </row>
    <row r="69" spans="1:37">
      <c r="A69" s="159"/>
      <c r="C69" s="5"/>
      <c r="D69" s="159"/>
      <c r="E69" s="159"/>
      <c r="F69" s="274" t="s">
        <v>774</v>
      </c>
      <c r="G69" s="970" t="s">
        <v>1484</v>
      </c>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row>
    <row r="70" spans="1:37">
      <c r="A70" s="159"/>
      <c r="C70" s="5"/>
      <c r="D70" s="159"/>
      <c r="E70" s="159"/>
      <c r="F70" s="274"/>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9"/>
      <c r="C71" s="5"/>
      <c r="D71" s="159"/>
      <c r="E71" s="159"/>
      <c r="F71" s="274" t="s">
        <v>586</v>
      </c>
      <c r="G71" s="970" t="s">
        <v>1485</v>
      </c>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9"/>
      <c r="C72" s="5"/>
      <c r="D72" s="159"/>
      <c r="E72" s="159"/>
      <c r="F72" s="274"/>
      <c r="G72" s="970"/>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9"/>
      <c r="C73" s="5"/>
      <c r="D73" s="159"/>
      <c r="E73" s="159"/>
      <c r="F73" s="274"/>
      <c r="G73" s="204" t="s">
        <v>844</v>
      </c>
      <c r="H73" s="159"/>
      <c r="J73" s="204"/>
      <c r="K73" s="204"/>
      <c r="L73" s="204"/>
      <c r="P73" s="159"/>
      <c r="Q73" s="159"/>
      <c r="R73" s="159"/>
      <c r="S73" s="159"/>
      <c r="T73" s="159"/>
      <c r="U73" s="159"/>
      <c r="V73" s="159"/>
      <c r="W73" s="159"/>
      <c r="X73" s="159"/>
      <c r="Y73" s="159"/>
      <c r="Z73" s="159"/>
      <c r="AA73" s="159"/>
      <c r="AB73" s="159"/>
    </row>
    <row r="74" spans="1:37">
      <c r="A74" s="159"/>
      <c r="C74" s="5"/>
      <c r="D74" s="159"/>
      <c r="E74" s="159"/>
      <c r="F74" s="274"/>
      <c r="G74" s="204" t="s">
        <v>990</v>
      </c>
      <c r="J74" s="204"/>
      <c r="K74" s="204"/>
      <c r="L74" s="204"/>
      <c r="P74" s="159"/>
      <c r="Q74" s="159"/>
      <c r="R74" s="159"/>
      <c r="S74" s="159"/>
      <c r="T74" s="159"/>
      <c r="U74" s="159"/>
      <c r="V74" s="159"/>
      <c r="W74" s="159"/>
      <c r="X74" s="159"/>
      <c r="Y74" s="159"/>
      <c r="Z74" s="159"/>
      <c r="AA74" s="159"/>
      <c r="AB74" s="159"/>
    </row>
    <row r="75" spans="1:37">
      <c r="A75" s="159"/>
      <c r="C75" s="5"/>
      <c r="D75" s="159"/>
      <c r="E75" s="159"/>
      <c r="F75" s="274" t="s">
        <v>298</v>
      </c>
      <c r="G75" s="159" t="s">
        <v>1211</v>
      </c>
      <c r="H75" s="159"/>
      <c r="I75" s="159"/>
      <c r="K75" s="159"/>
      <c r="L75" s="159"/>
      <c r="M75" s="159"/>
      <c r="P75" s="159"/>
      <c r="Q75" s="159"/>
      <c r="R75" s="159"/>
      <c r="S75" s="159"/>
      <c r="T75" s="159"/>
      <c r="U75" s="159"/>
      <c r="V75" s="159"/>
      <c r="W75" s="159"/>
      <c r="X75" s="159"/>
      <c r="Y75" s="159"/>
      <c r="Z75" s="159"/>
      <c r="AA75" s="159"/>
      <c r="AB75" s="159"/>
    </row>
    <row r="76" spans="1:37">
      <c r="A76" s="159"/>
      <c r="C76" s="5"/>
      <c r="D76" s="159"/>
      <c r="E76" s="159"/>
      <c r="F76" s="159"/>
      <c r="G76" s="159" t="s">
        <v>584</v>
      </c>
      <c r="H76" s="159" t="s">
        <v>991</v>
      </c>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851</v>
      </c>
      <c r="H77" s="159" t="s">
        <v>847</v>
      </c>
      <c r="K77" s="159"/>
      <c r="L77" s="159"/>
      <c r="M77" s="159"/>
      <c r="P77" s="159"/>
      <c r="Q77" s="159"/>
      <c r="R77" s="159"/>
      <c r="S77" s="159"/>
      <c r="T77" s="159"/>
      <c r="U77" s="159"/>
      <c r="V77" s="159"/>
      <c r="W77" s="159"/>
      <c r="X77" s="159"/>
      <c r="Y77" s="159"/>
      <c r="Z77" s="159"/>
      <c r="AA77" s="159"/>
      <c r="AB77" s="159"/>
    </row>
    <row r="78" spans="1:37">
      <c r="A78" s="159"/>
      <c r="C78" s="5"/>
      <c r="D78" s="159"/>
      <c r="E78" s="159" t="s">
        <v>378</v>
      </c>
      <c r="F78" s="159" t="s">
        <v>26</v>
      </c>
      <c r="G78" s="159"/>
      <c r="H78" s="159"/>
      <c r="I78" s="159"/>
      <c r="J78" s="159"/>
      <c r="K78" s="159"/>
      <c r="L78" s="159"/>
      <c r="M78" s="159"/>
      <c r="P78" s="159"/>
      <c r="Q78" s="159"/>
      <c r="R78" s="159"/>
      <c r="S78" s="159"/>
      <c r="T78" s="159"/>
      <c r="U78" s="159"/>
      <c r="V78" s="159"/>
      <c r="W78" s="159"/>
      <c r="X78" s="159"/>
      <c r="Y78" s="159"/>
      <c r="Z78" s="159"/>
      <c r="AA78" s="159"/>
      <c r="AB78" s="159"/>
    </row>
    <row r="79" spans="1:37">
      <c r="A79" s="159"/>
      <c r="C79" s="5"/>
      <c r="D79" s="159"/>
      <c r="E79" s="159"/>
      <c r="F79" s="274"/>
      <c r="G79" s="970" t="s">
        <v>1486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159"/>
      <c r="C80" s="5"/>
      <c r="D80" s="159"/>
      <c r="E80" s="159"/>
      <c r="F80" s="159"/>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s="789" customFormat="1">
      <c r="A81" s="159"/>
      <c r="C81" s="5"/>
      <c r="D81" s="159"/>
      <c r="E81" s="159"/>
      <c r="F81" s="159"/>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159"/>
      <c r="C82" s="5"/>
      <c r="D82" s="159"/>
      <c r="E82" s="159" t="s">
        <v>511</v>
      </c>
      <c r="F82" s="159" t="s">
        <v>697</v>
      </c>
      <c r="G82" s="159"/>
      <c r="H82" s="159"/>
      <c r="I82" s="159"/>
      <c r="J82" s="159"/>
      <c r="K82" s="159"/>
      <c r="L82" s="159"/>
      <c r="M82" s="159"/>
      <c r="P82" s="159"/>
      <c r="Q82" s="159"/>
      <c r="R82" s="159"/>
      <c r="S82" s="159"/>
      <c r="T82" s="159"/>
      <c r="U82" s="159"/>
      <c r="V82" s="159"/>
      <c r="W82" s="159"/>
      <c r="X82" s="159"/>
      <c r="Y82" s="159"/>
      <c r="Z82" s="159"/>
      <c r="AA82" s="159"/>
      <c r="AB82" s="159"/>
    </row>
    <row r="83" spans="1:38">
      <c r="A83" s="159"/>
      <c r="C83" s="5"/>
      <c r="D83" s="159"/>
      <c r="E83" s="159"/>
      <c r="F83" s="274"/>
      <c r="G83" s="970" t="s">
        <v>1487</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159"/>
      <c r="C84" s="5"/>
      <c r="D84" s="159"/>
      <c r="E84" s="159"/>
      <c r="F84" s="159"/>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9"/>
      <c r="C85" s="5"/>
      <c r="D85" s="159"/>
      <c r="E85" s="159"/>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9"/>
      <c r="C86" s="5"/>
      <c r="D86" s="159"/>
      <c r="E86" s="159" t="s">
        <v>282</v>
      </c>
      <c r="F86" t="s">
        <v>992</v>
      </c>
      <c r="G86" s="159"/>
      <c r="L86" s="159"/>
      <c r="M86" s="159"/>
      <c r="P86" s="159"/>
      <c r="Q86" s="159"/>
      <c r="R86" s="159"/>
      <c r="S86" s="159"/>
      <c r="T86" s="159"/>
      <c r="U86" s="159"/>
      <c r="V86" s="159"/>
      <c r="W86" s="159"/>
      <c r="X86" s="159"/>
      <c r="Y86" s="159"/>
      <c r="Z86" s="159"/>
      <c r="AA86" s="159"/>
      <c r="AB86" s="159"/>
    </row>
    <row r="87" spans="1:38">
      <c r="A87" s="159"/>
      <c r="C87" s="5"/>
      <c r="D87" s="159"/>
      <c r="E87" s="159"/>
      <c r="G87" s="982" t="s">
        <v>1488</v>
      </c>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s="789" customFormat="1">
      <c r="A88" s="159"/>
      <c r="C88" s="5"/>
      <c r="D88" s="159"/>
      <c r="E88" s="159"/>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row>
    <row r="89" spans="1:38">
      <c r="A89" s="159"/>
      <c r="C89" s="5"/>
      <c r="D89" s="159"/>
      <c r="E89" s="159"/>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159"/>
      <c r="C90" s="5"/>
      <c r="D90" s="159"/>
      <c r="E90" s="159" t="s">
        <v>283</v>
      </c>
      <c r="F90" s="159" t="s">
        <v>593</v>
      </c>
      <c r="G90" s="159"/>
      <c r="H90" s="159"/>
      <c r="I90" s="159"/>
      <c r="J90" s="159"/>
      <c r="K90" s="159"/>
      <c r="L90" s="159"/>
      <c r="M90" s="159"/>
      <c r="P90" s="159"/>
      <c r="Q90" s="159"/>
      <c r="R90" s="159"/>
      <c r="S90" s="159"/>
      <c r="T90" s="159"/>
      <c r="U90" s="159"/>
      <c r="V90" s="159"/>
      <c r="W90" s="159"/>
      <c r="X90" s="159"/>
      <c r="Y90" s="159"/>
      <c r="Z90" s="159"/>
      <c r="AA90" s="159"/>
      <c r="AB90" s="159"/>
    </row>
    <row r="91" spans="1:38">
      <c r="A91" s="159"/>
      <c r="C91" s="5"/>
      <c r="D91" s="159"/>
      <c r="E91" s="159"/>
      <c r="F91" s="159"/>
      <c r="G91" s="970" t="s">
        <v>1489</v>
      </c>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159"/>
      <c r="C92" s="5"/>
      <c r="D92" s="159"/>
      <c r="E92" s="159"/>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9"/>
      <c r="C93" s="5"/>
      <c r="D93" s="159"/>
      <c r="E93" s="159" t="s">
        <v>1044</v>
      </c>
      <c r="F93" s="358" t="s">
        <v>1045</v>
      </c>
      <c r="G93" s="358"/>
      <c r="L93" s="159"/>
      <c r="M93" s="159"/>
      <c r="P93" s="159"/>
      <c r="Q93" s="159"/>
      <c r="R93" s="159"/>
      <c r="S93" s="159"/>
      <c r="T93" s="159"/>
      <c r="U93" s="159"/>
      <c r="V93" s="159"/>
      <c r="W93" s="159"/>
      <c r="X93" s="159"/>
      <c r="Y93" s="159"/>
      <c r="Z93" s="159"/>
      <c r="AA93" s="159"/>
      <c r="AB93" s="159"/>
    </row>
    <row r="94" spans="1:38">
      <c r="A94" s="159"/>
      <c r="C94" s="5"/>
      <c r="D94" s="159"/>
      <c r="E94" s="159"/>
      <c r="G94" s="970" t="s">
        <v>1490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row>
    <row r="95" spans="1:38">
      <c r="A95" s="159"/>
      <c r="C95" s="200"/>
      <c r="D95" s="199"/>
      <c r="E95" s="199"/>
      <c r="F95" s="2"/>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2"/>
    </row>
    <row r="96" spans="1:38">
      <c r="A96" s="159"/>
      <c r="C96" s="200"/>
      <c r="D96" s="199"/>
      <c r="E96" s="199"/>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9"/>
      <c r="C97" s="2"/>
      <c r="D97" s="530"/>
      <c r="E97" s="983" t="s">
        <v>1491</v>
      </c>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2"/>
    </row>
    <row r="98" spans="1:38">
      <c r="A98" s="159"/>
      <c r="D98" s="163"/>
      <c r="E98" s="983"/>
      <c r="F98" s="983"/>
      <c r="G98" s="983"/>
      <c r="H98" s="983"/>
      <c r="I98" s="9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row>
    <row r="99" spans="1:38">
      <c r="A99" s="159"/>
      <c r="B99" s="215"/>
      <c r="C99" s="163"/>
      <c r="D99" s="163"/>
      <c r="E99" s="215"/>
      <c r="F99" s="163"/>
      <c r="G99" s="163"/>
      <c r="H99" s="163"/>
      <c r="I99" s="5"/>
      <c r="J99" s="5"/>
      <c r="K99" s="5"/>
      <c r="L99" s="5"/>
      <c r="M99" s="5"/>
      <c r="N99" s="5"/>
      <c r="P99" s="159"/>
      <c r="Q99" s="159"/>
      <c r="R99" s="159"/>
      <c r="S99" s="159"/>
      <c r="T99" s="159"/>
      <c r="U99" s="159"/>
      <c r="V99" s="159"/>
      <c r="W99" s="159"/>
      <c r="X99" s="159"/>
      <c r="Y99" s="159"/>
      <c r="Z99" s="159"/>
      <c r="AA99" s="159"/>
      <c r="AB99" s="159"/>
    </row>
    <row r="100" spans="1:38">
      <c r="A100" s="11"/>
      <c r="B100" s="20" t="s">
        <v>369</v>
      </c>
      <c r="C100" s="20" t="s">
        <v>469</v>
      </c>
      <c r="D100" s="20"/>
      <c r="E100" s="20"/>
      <c r="F100" s="20"/>
      <c r="G100" s="20"/>
      <c r="H100" s="20"/>
      <c r="I100" s="20"/>
      <c r="J100" s="20"/>
      <c r="K100" s="20"/>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row>
    <row r="101" spans="1:38">
      <c r="B101" s="5"/>
      <c r="C101" s="5"/>
      <c r="D101" s="5"/>
      <c r="E101" s="5"/>
      <c r="F101" s="5"/>
      <c r="G101" s="5"/>
      <c r="H101" s="5"/>
      <c r="I101" s="5"/>
      <c r="J101" s="5"/>
      <c r="K101" s="5"/>
    </row>
    <row r="102" spans="1:38">
      <c r="A102" s="1"/>
      <c r="B102" s="218"/>
      <c r="C102" s="5" t="s">
        <v>494</v>
      </c>
      <c r="D102" s="12"/>
      <c r="E102" s="5"/>
      <c r="F102" s="5"/>
      <c r="G102" s="5" t="s">
        <v>1511</v>
      </c>
      <c r="H102" s="5"/>
      <c r="I102" s="218"/>
      <c r="J102" s="276"/>
      <c r="K102" s="2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276"/>
    </row>
    <row r="103" spans="1:38">
      <c r="B103" s="5"/>
      <c r="C103" s="5"/>
      <c r="D103" s="5" t="s">
        <v>225</v>
      </c>
      <c r="E103" s="5" t="s">
        <v>1513</v>
      </c>
      <c r="F103" s="5"/>
      <c r="G103" s="5"/>
      <c r="H103" s="5"/>
      <c r="I103" s="5"/>
      <c r="J103" s="5"/>
      <c r="K103" s="5"/>
      <c r="L103" s="5"/>
      <c r="M103" s="5"/>
    </row>
    <row r="104" spans="1:38">
      <c r="B104" s="5"/>
      <c r="C104" s="5"/>
      <c r="E104" s="159" t="s">
        <v>120</v>
      </c>
      <c r="F104" s="162" t="s">
        <v>738</v>
      </c>
      <c r="G104" s="5"/>
      <c r="H104" s="5"/>
      <c r="I104" s="5"/>
      <c r="J104" s="5"/>
      <c r="K104" s="5"/>
    </row>
    <row r="105" spans="1:38">
      <c r="E105" s="199"/>
      <c r="F105" s="2" t="s">
        <v>740</v>
      </c>
      <c r="G105" s="2"/>
      <c r="H105" s="2"/>
      <c r="I105" s="2"/>
      <c r="J105" s="2"/>
      <c r="K105" s="2"/>
      <c r="L105" s="2"/>
      <c r="M105" s="2"/>
    </row>
    <row r="106" spans="1:38">
      <c r="E106" s="159"/>
      <c r="F106" t="s">
        <v>741</v>
      </c>
      <c r="G106" s="12"/>
    </row>
    <row r="107" spans="1:38">
      <c r="E107" s="159"/>
    </row>
    <row r="108" spans="1:38">
      <c r="E108" s="159" t="s">
        <v>121</v>
      </c>
      <c r="F108" s="162" t="s">
        <v>742</v>
      </c>
      <c r="G108" s="5"/>
      <c r="H108" s="5"/>
      <c r="I108" s="5"/>
      <c r="J108" s="5"/>
    </row>
    <row r="109" spans="1:38" s="1" customFormat="1">
      <c r="A109"/>
      <c r="B109"/>
      <c r="C109"/>
      <c r="D109"/>
      <c r="E109" s="159"/>
      <c r="F109" t="s">
        <v>743</v>
      </c>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1:38">
      <c r="E110" s="159"/>
    </row>
    <row r="111" spans="1:38">
      <c r="E111" s="159" t="s">
        <v>127</v>
      </c>
      <c r="F111" s="162" t="s">
        <v>744</v>
      </c>
      <c r="G111" s="5"/>
      <c r="H111" s="5"/>
      <c r="I111" s="5"/>
      <c r="J111" s="5"/>
      <c r="K111" s="5"/>
      <c r="L111" s="5"/>
      <c r="M111" s="5"/>
      <c r="N111" s="5"/>
      <c r="O111" s="5"/>
      <c r="P111" s="5"/>
    </row>
    <row r="112" spans="1:38">
      <c r="E112" s="159"/>
      <c r="F112" s="159" t="s">
        <v>1069</v>
      </c>
    </row>
    <row r="113" spans="1:38" s="12" customFormat="1" ht="12.75" customHeight="1">
      <c r="A113"/>
      <c r="B113"/>
      <c r="C113"/>
      <c r="D113"/>
      <c r="E113"/>
      <c r="F113" s="159" t="s">
        <v>1101</v>
      </c>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1:38"/>
    <row r="115" spans="1:38">
      <c r="E115" t="s">
        <v>662</v>
      </c>
      <c r="F115" s="162" t="s">
        <v>1070</v>
      </c>
    </row>
    <row r="116" spans="1:38">
      <c r="F116" s="159" t="s">
        <v>1212</v>
      </c>
      <c r="G116" s="159"/>
    </row>
    <row r="117" spans="1:38">
      <c r="F117" s="163" t="s">
        <v>1512</v>
      </c>
      <c r="G117" s="163"/>
    </row>
    <row r="118" spans="1:38">
      <c r="G118" s="163"/>
    </row>
    <row r="119" spans="1:38">
      <c r="E119" s="159" t="s">
        <v>874</v>
      </c>
      <c r="F119" s="162" t="s">
        <v>423</v>
      </c>
    </row>
    <row r="120" spans="1:38">
      <c r="E120" s="159"/>
      <c r="F120" s="159" t="s">
        <v>1203</v>
      </c>
    </row>
    <row r="121" spans="1:38">
      <c r="B121" s="5"/>
      <c r="C121" s="5"/>
      <c r="F121" s="5"/>
    </row>
    <row r="122" spans="1:38">
      <c r="B122" s="5"/>
      <c r="C122" s="5" t="s">
        <v>495</v>
      </c>
      <c r="G122" s="5" t="s">
        <v>424</v>
      </c>
    </row>
    <row r="123" spans="1:38">
      <c r="B123" s="5"/>
      <c r="C123" s="5"/>
      <c r="D123" s="5" t="s">
        <v>225</v>
      </c>
      <c r="E123" s="164" t="s">
        <v>346</v>
      </c>
      <c r="F123" s="5"/>
      <c r="G123" s="5"/>
      <c r="H123" s="5"/>
      <c r="I123" s="5"/>
      <c r="J123" s="5"/>
    </row>
    <row r="124" spans="1:38">
      <c r="B124" s="5"/>
      <c r="C124" s="5"/>
      <c r="E124" s="159" t="s">
        <v>1071</v>
      </c>
      <c r="F124" s="159"/>
    </row>
    <row r="125" spans="1:38"/>
    <row r="126" spans="1:38">
      <c r="D126" s="5" t="s">
        <v>370</v>
      </c>
      <c r="E126" s="5" t="s">
        <v>658</v>
      </c>
    </row>
    <row r="127" spans="1:38">
      <c r="E127" s="159" t="s">
        <v>1071</v>
      </c>
      <c r="F127" s="159"/>
    </row>
    <row r="128" spans="1:38"/>
    <row r="129" spans="3:37">
      <c r="D129" s="5" t="s">
        <v>655</v>
      </c>
      <c r="E129" s="5" t="s">
        <v>818</v>
      </c>
      <c r="G129" s="5"/>
      <c r="H129" s="5"/>
      <c r="I129" s="5"/>
      <c r="J129" s="5"/>
      <c r="K129" s="5"/>
      <c r="L129" s="5"/>
      <c r="M129" s="5"/>
      <c r="N129" s="5"/>
    </row>
    <row r="130" spans="3:37">
      <c r="E130" s="970" t="s">
        <v>1492</v>
      </c>
      <c r="F130" s="970"/>
      <c r="G130" s="970"/>
      <c r="H130" s="970"/>
      <c r="I130" s="970"/>
      <c r="J130" s="970"/>
      <c r="K130" s="970"/>
      <c r="L130" s="970"/>
      <c r="M130" s="970"/>
      <c r="N130" s="970"/>
      <c r="O130" s="970"/>
      <c r="P130" s="970"/>
      <c r="Q130" s="970"/>
      <c r="R130" s="970"/>
      <c r="S130" s="970"/>
      <c r="T130" s="970"/>
      <c r="U130" s="970"/>
      <c r="V130" s="970"/>
      <c r="W130" s="970"/>
      <c r="X130" s="970"/>
      <c r="Y130" s="970"/>
      <c r="Z130" s="970"/>
      <c r="AA130" s="970"/>
      <c r="AB130" s="970"/>
      <c r="AC130" s="970"/>
      <c r="AD130" s="970"/>
      <c r="AE130" s="970"/>
      <c r="AF130" s="970"/>
      <c r="AG130" s="970"/>
      <c r="AH130" s="970"/>
      <c r="AI130" s="970"/>
      <c r="AJ130" s="970"/>
      <c r="AK130" s="970"/>
    </row>
    <row r="131" spans="3:37">
      <c r="E131" s="970"/>
      <c r="F131" s="970"/>
      <c r="G131" s="970"/>
      <c r="H131" s="970"/>
      <c r="I131" s="970"/>
      <c r="J131" s="970"/>
      <c r="K131" s="970"/>
      <c r="L131" s="970"/>
      <c r="M131" s="970"/>
      <c r="N131" s="970"/>
      <c r="O131" s="970"/>
      <c r="P131" s="970"/>
      <c r="Q131" s="970"/>
      <c r="R131" s="970"/>
      <c r="S131" s="970"/>
      <c r="T131" s="970"/>
      <c r="U131" s="970"/>
      <c r="V131" s="970"/>
      <c r="W131" s="970"/>
      <c r="X131" s="970"/>
      <c r="Y131" s="970"/>
      <c r="Z131" s="970"/>
      <c r="AA131" s="970"/>
      <c r="AB131" s="970"/>
      <c r="AC131" s="970"/>
      <c r="AD131" s="970"/>
      <c r="AE131" s="970"/>
      <c r="AF131" s="970"/>
      <c r="AG131" s="970"/>
      <c r="AH131" s="970"/>
      <c r="AI131" s="970"/>
      <c r="AJ131" s="970"/>
      <c r="AK131" s="970"/>
    </row>
    <row r="132" spans="3:37">
      <c r="F132" s="159"/>
    </row>
    <row r="133" spans="3:37">
      <c r="D133" s="5" t="s">
        <v>591</v>
      </c>
      <c r="E133" s="5" t="s">
        <v>594</v>
      </c>
      <c r="F133" s="5"/>
    </row>
    <row r="134" spans="3:37">
      <c r="E134" s="6" t="s">
        <v>1570</v>
      </c>
      <c r="F134" s="159"/>
    </row>
    <row r="135" spans="3:37">
      <c r="F135" s="159"/>
    </row>
    <row r="136" spans="3:37">
      <c r="D136" s="5" t="s">
        <v>328</v>
      </c>
      <c r="E136" s="5" t="s">
        <v>1049</v>
      </c>
      <c r="F136" s="5"/>
      <c r="G136" s="5"/>
      <c r="H136" s="5"/>
    </row>
    <row r="137" spans="3:37">
      <c r="E137" t="s">
        <v>120</v>
      </c>
      <c r="F137" t="s">
        <v>58</v>
      </c>
    </row>
    <row r="138" spans="3:37">
      <c r="E138" t="s">
        <v>121</v>
      </c>
      <c r="F138" t="s">
        <v>542</v>
      </c>
    </row>
    <row r="139" spans="3:37"/>
    <row r="140" spans="3:37">
      <c r="D140" s="5" t="s">
        <v>483</v>
      </c>
      <c r="E140" s="5" t="s">
        <v>1073</v>
      </c>
    </row>
    <row r="141" spans="3:37">
      <c r="E141" s="358" t="s">
        <v>1074</v>
      </c>
      <c r="F141" s="358"/>
    </row>
    <row r="142" spans="3:37"/>
    <row r="143" spans="3:37">
      <c r="C143" s="5" t="s">
        <v>6</v>
      </c>
      <c r="G143" s="5" t="s">
        <v>425</v>
      </c>
    </row>
    <row r="144" spans="3:37">
      <c r="D144" s="200" t="s">
        <v>225</v>
      </c>
      <c r="E144" s="200" t="s">
        <v>146</v>
      </c>
    </row>
    <row r="145" spans="4:7">
      <c r="D145" s="2"/>
      <c r="E145" t="s">
        <v>912</v>
      </c>
    </row>
    <row r="146" spans="4:7">
      <c r="D146" s="2"/>
      <c r="E146" s="2"/>
    </row>
    <row r="147" spans="4:7">
      <c r="D147" s="200" t="s">
        <v>370</v>
      </c>
      <c r="E147" s="200" t="s">
        <v>601</v>
      </c>
      <c r="F147" s="5"/>
    </row>
    <row r="148" spans="4:7">
      <c r="D148" s="2"/>
      <c r="E148" s="159" t="s">
        <v>1075</v>
      </c>
      <c r="F148" s="159"/>
    </row>
    <row r="149" spans="4:7">
      <c r="D149" s="2"/>
      <c r="E149" s="2"/>
    </row>
    <row r="150" spans="4:7">
      <c r="D150" s="200" t="s">
        <v>655</v>
      </c>
      <c r="E150" s="200" t="s">
        <v>632</v>
      </c>
    </row>
    <row r="151" spans="4:7">
      <c r="D151" s="2"/>
      <c r="E151" s="159" t="s">
        <v>1076</v>
      </c>
    </row>
    <row r="152" spans="4:7">
      <c r="D152" s="2"/>
      <c r="E152" s="159" t="s">
        <v>1072</v>
      </c>
      <c r="G152" s="159"/>
    </row>
    <row r="153" spans="4:7">
      <c r="D153" s="2"/>
      <c r="E153" s="2"/>
    </row>
    <row r="154" spans="4:7">
      <c r="D154" s="200" t="s">
        <v>591</v>
      </c>
      <c r="E154" s="54" t="s">
        <v>610</v>
      </c>
    </row>
    <row r="155" spans="4:7">
      <c r="D155" s="2"/>
      <c r="E155" s="2" t="s">
        <v>120</v>
      </c>
      <c r="F155" s="159" t="s">
        <v>1077</v>
      </c>
    </row>
    <row r="156" spans="4:7">
      <c r="D156" s="2"/>
      <c r="E156" s="199" t="s">
        <v>121</v>
      </c>
      <c r="F156" s="159" t="s">
        <v>1078</v>
      </c>
    </row>
    <row r="157" spans="4:7">
      <c r="D157" s="2"/>
      <c r="E157" s="199" t="s">
        <v>127</v>
      </c>
      <c r="F157" t="s">
        <v>819</v>
      </c>
    </row>
    <row r="158" spans="4:7">
      <c r="D158" s="2"/>
      <c r="E158" s="2"/>
    </row>
    <row r="159" spans="4:7">
      <c r="D159" s="200" t="s">
        <v>328</v>
      </c>
      <c r="E159" s="200" t="s">
        <v>426</v>
      </c>
    </row>
    <row r="160" spans="4:7">
      <c r="D160" s="2"/>
      <c r="E160" s="159" t="s">
        <v>1079</v>
      </c>
      <c r="F160" s="159"/>
    </row>
    <row r="161" spans="3:20">
      <c r="D161" s="2"/>
      <c r="E161" s="2"/>
    </row>
    <row r="162" spans="3:20">
      <c r="D162" s="200" t="s">
        <v>483</v>
      </c>
      <c r="E162" s="200" t="s">
        <v>189</v>
      </c>
    </row>
    <row r="163" spans="3:20">
      <c r="D163" s="2"/>
      <c r="E163" s="159" t="s">
        <v>1081</v>
      </c>
    </row>
    <row r="164" spans="3:20">
      <c r="D164" s="2"/>
      <c r="E164" s="159" t="s">
        <v>1080</v>
      </c>
    </row>
    <row r="165" spans="3:20">
      <c r="D165" s="2"/>
      <c r="E165" s="2"/>
    </row>
    <row r="166" spans="3:20">
      <c r="D166" s="200" t="s">
        <v>636</v>
      </c>
      <c r="E166" s="200" t="s">
        <v>703</v>
      </c>
    </row>
    <row r="167" spans="3:20">
      <c r="D167" s="2"/>
      <c r="E167" s="2" t="s">
        <v>120</v>
      </c>
      <c r="F167" t="s">
        <v>820</v>
      </c>
    </row>
    <row r="168" spans="3:20">
      <c r="E168" s="2" t="s">
        <v>121</v>
      </c>
      <c r="F168" t="s">
        <v>320</v>
      </c>
    </row>
    <row r="169" spans="3:20">
      <c r="F169" s="159"/>
    </row>
    <row r="170" spans="3:20">
      <c r="C170" s="5" t="s">
        <v>7</v>
      </c>
      <c r="E170" s="159"/>
      <c r="G170" s="5" t="s">
        <v>427</v>
      </c>
    </row>
    <row r="171" spans="3:20">
      <c r="E171" s="159" t="s">
        <v>993</v>
      </c>
      <c r="F171" s="159"/>
      <c r="I171" s="159"/>
      <c r="J171" s="159"/>
      <c r="K171" s="159"/>
      <c r="L171" s="159"/>
      <c r="M171" s="159"/>
      <c r="N171" s="159"/>
      <c r="O171" s="159"/>
      <c r="P171" s="159"/>
      <c r="Q171" s="159"/>
      <c r="R171" s="159"/>
      <c r="S171" s="159"/>
      <c r="T171" s="159"/>
    </row>
    <row r="172" spans="3:20">
      <c r="F172" s="159"/>
      <c r="H172" s="159"/>
      <c r="I172" s="159"/>
      <c r="J172" s="159"/>
      <c r="K172" s="159"/>
      <c r="L172" s="159"/>
      <c r="M172" s="159"/>
      <c r="N172" s="159"/>
      <c r="O172" s="159"/>
      <c r="P172" s="159"/>
      <c r="Q172" s="159"/>
      <c r="R172" s="159"/>
      <c r="S172" s="159"/>
      <c r="T172" s="159"/>
    </row>
    <row r="173" spans="3:20">
      <c r="C173" s="5" t="s">
        <v>8</v>
      </c>
      <c r="D173" s="5"/>
      <c r="F173" s="159"/>
      <c r="G173" s="5" t="s">
        <v>658</v>
      </c>
    </row>
    <row r="174" spans="3:20">
      <c r="D174" s="5" t="s">
        <v>225</v>
      </c>
      <c r="E174" s="5" t="s">
        <v>321</v>
      </c>
      <c r="G174" s="159"/>
      <c r="H174" s="159"/>
      <c r="I174" s="159"/>
      <c r="J174" s="159"/>
      <c r="K174" s="159"/>
      <c r="L174" s="159"/>
      <c r="M174" s="159"/>
      <c r="N174" s="159"/>
    </row>
    <row r="175" spans="3:20">
      <c r="E175" t="s">
        <v>120</v>
      </c>
      <c r="F175" s="159" t="s">
        <v>1082</v>
      </c>
    </row>
    <row r="176" spans="3:20">
      <c r="F176" s="204" t="s">
        <v>1453</v>
      </c>
      <c r="I176" s="204"/>
    </row>
    <row r="177" spans="2:19">
      <c r="I177" s="204"/>
    </row>
    <row r="178" spans="2:19">
      <c r="B178" s="159"/>
      <c r="C178" s="159"/>
      <c r="E178" t="s">
        <v>121</v>
      </c>
      <c r="F178" s="159" t="s">
        <v>994</v>
      </c>
      <c r="H178" s="159"/>
    </row>
    <row r="179" spans="2:19">
      <c r="B179" s="159"/>
      <c r="C179" s="159"/>
      <c r="F179" t="s">
        <v>739</v>
      </c>
      <c r="G179" t="s">
        <v>802</v>
      </c>
      <c r="H179" s="159"/>
      <c r="O179" s="159"/>
      <c r="P179" s="159"/>
      <c r="Q179" s="159"/>
      <c r="R179" s="159"/>
      <c r="S179" s="159"/>
    </row>
    <row r="180" spans="2:19">
      <c r="B180" s="159"/>
      <c r="C180" s="159"/>
      <c r="H180" s="159"/>
      <c r="O180" s="159"/>
      <c r="P180" s="159"/>
      <c r="Q180" s="159"/>
      <c r="R180" s="159"/>
      <c r="S180" s="159"/>
    </row>
    <row r="181" spans="2:19">
      <c r="D181" s="5" t="s">
        <v>370</v>
      </c>
      <c r="E181" s="54" t="s">
        <v>1204</v>
      </c>
    </row>
    <row r="182" spans="2:19">
      <c r="B182" s="159"/>
      <c r="C182" s="159"/>
      <c r="E182" s="159" t="s">
        <v>803</v>
      </c>
      <c r="F182" s="159"/>
      <c r="I182" s="159"/>
    </row>
    <row r="183" spans="2:19">
      <c r="B183" s="159"/>
      <c r="C183" s="159"/>
      <c r="E183" s="159" t="s">
        <v>1202</v>
      </c>
      <c r="F183" s="204"/>
      <c r="G183" s="159"/>
      <c r="I183" s="204"/>
    </row>
    <row r="184" spans="2:19">
      <c r="B184" s="159"/>
      <c r="C184" s="159"/>
      <c r="F184" s="204"/>
      <c r="G184" s="159"/>
      <c r="I184" s="204"/>
    </row>
    <row r="185" spans="2:19">
      <c r="B185" s="159"/>
      <c r="C185" s="159"/>
      <c r="D185" s="5" t="s">
        <v>655</v>
      </c>
      <c r="E185" s="5" t="s">
        <v>3</v>
      </c>
      <c r="F185" s="204"/>
      <c r="G185" s="159"/>
      <c r="I185" s="204"/>
    </row>
    <row r="186" spans="2:19">
      <c r="B186" s="159"/>
      <c r="C186" s="159"/>
      <c r="D186" s="5"/>
      <c r="E186" s="159" t="s">
        <v>322</v>
      </c>
      <c r="F186" s="159"/>
      <c r="G186" s="159"/>
      <c r="I186" s="204"/>
    </row>
    <row r="187" spans="2:19">
      <c r="B187" s="159"/>
      <c r="C187" s="159"/>
      <c r="F187" s="204"/>
      <c r="G187" s="159"/>
      <c r="I187" s="204"/>
    </row>
    <row r="188" spans="2:19">
      <c r="D188" s="5" t="s">
        <v>591</v>
      </c>
      <c r="E188" s="5" t="s">
        <v>119</v>
      </c>
    </row>
    <row r="189" spans="2:19">
      <c r="B189" s="159"/>
      <c r="C189" s="5"/>
      <c r="E189" t="s">
        <v>120</v>
      </c>
      <c r="F189" s="159" t="s">
        <v>1213</v>
      </c>
      <c r="G189" s="159"/>
      <c r="H189" s="159"/>
      <c r="I189" s="159"/>
    </row>
    <row r="190" spans="2:19">
      <c r="B190" s="159"/>
      <c r="C190" s="5"/>
      <c r="F190" s="159" t="s">
        <v>739</v>
      </c>
      <c r="G190" s="6" t="s">
        <v>1555</v>
      </c>
    </row>
    <row r="191" spans="2:19">
      <c r="B191" s="159"/>
      <c r="C191" s="159"/>
      <c r="F191" s="159" t="s">
        <v>377</v>
      </c>
      <c r="G191" s="165" t="s">
        <v>1556</v>
      </c>
      <c r="I191" s="159"/>
      <c r="J191" s="159"/>
      <c r="M191" s="159"/>
      <c r="N191" s="159"/>
      <c r="O191" s="159"/>
      <c r="P191" s="159"/>
      <c r="Q191" s="159"/>
      <c r="R191" s="159"/>
      <c r="S191" s="159"/>
    </row>
    <row r="192" spans="2:19">
      <c r="B192" s="159"/>
      <c r="C192" s="159"/>
      <c r="F192" s="159" t="s">
        <v>378</v>
      </c>
      <c r="G192" s="159" t="s">
        <v>1083</v>
      </c>
      <c r="I192" s="159"/>
      <c r="J192" s="159"/>
      <c r="M192" s="159"/>
      <c r="N192" s="159"/>
      <c r="O192" s="159"/>
      <c r="P192" s="159"/>
      <c r="Q192" s="159"/>
      <c r="R192" s="159"/>
      <c r="S192" s="159"/>
    </row>
    <row r="193" spans="2:37">
      <c r="B193" s="159"/>
      <c r="C193" s="159"/>
      <c r="F193" s="159"/>
      <c r="G193" s="159"/>
      <c r="I193" s="159"/>
      <c r="J193" s="159"/>
      <c r="M193" s="159"/>
      <c r="N193" s="159"/>
      <c r="O193" s="159"/>
      <c r="P193" s="159"/>
      <c r="Q193" s="159"/>
      <c r="R193" s="159"/>
      <c r="S193" s="159"/>
    </row>
    <row r="194" spans="2:37">
      <c r="B194" s="159"/>
      <c r="C194" s="159"/>
      <c r="D194" s="5" t="s">
        <v>328</v>
      </c>
      <c r="E194" s="5" t="s">
        <v>122</v>
      </c>
      <c r="G194" s="159"/>
      <c r="H194" s="159"/>
      <c r="I194" s="159"/>
      <c r="J194" s="159"/>
      <c r="M194" s="159"/>
      <c r="N194" s="159"/>
      <c r="O194" s="159"/>
      <c r="P194" s="159"/>
      <c r="Q194" s="159"/>
      <c r="R194" s="159"/>
      <c r="S194" s="159"/>
    </row>
    <row r="195" spans="2:37">
      <c r="B195" s="159"/>
      <c r="C195" s="159"/>
      <c r="D195" s="159"/>
      <c r="E195" s="159" t="s">
        <v>1084</v>
      </c>
      <c r="F195" s="159"/>
      <c r="G195" s="159"/>
      <c r="H195" s="159"/>
      <c r="I195" s="159"/>
      <c r="J195" s="159"/>
      <c r="M195" s="159"/>
      <c r="N195" s="159"/>
      <c r="O195" s="159"/>
      <c r="P195" s="159"/>
      <c r="Q195" s="159"/>
      <c r="R195" s="159"/>
      <c r="S195" s="159"/>
    </row>
    <row r="196" spans="2:37">
      <c r="B196" s="159"/>
      <c r="C196" s="159"/>
      <c r="D196" s="159"/>
      <c r="F196" s="159"/>
      <c r="G196" s="159"/>
      <c r="H196" s="159"/>
      <c r="I196" s="159"/>
      <c r="J196" s="159"/>
      <c r="M196" s="159"/>
      <c r="N196" s="159"/>
      <c r="O196" s="159"/>
      <c r="P196" s="159"/>
      <c r="Q196" s="159"/>
      <c r="R196" s="159"/>
      <c r="S196" s="159"/>
    </row>
    <row r="197" spans="2:37">
      <c r="B197" s="159"/>
      <c r="C197" s="159"/>
      <c r="D197" s="5" t="s">
        <v>483</v>
      </c>
      <c r="E197" s="5" t="s">
        <v>128</v>
      </c>
      <c r="G197" s="159"/>
      <c r="H197" s="159"/>
      <c r="I197" s="159"/>
      <c r="J197" s="159"/>
      <c r="M197" s="159"/>
      <c r="N197" s="159"/>
      <c r="O197" s="159"/>
      <c r="P197" s="159"/>
      <c r="Q197" s="159"/>
      <c r="R197" s="159"/>
      <c r="S197" s="159"/>
    </row>
    <row r="198" spans="2:37">
      <c r="B198" s="159"/>
      <c r="C198" s="159"/>
      <c r="D198" s="5"/>
      <c r="E198" s="159" t="s">
        <v>120</v>
      </c>
      <c r="F198" s="159" t="s">
        <v>1085</v>
      </c>
      <c r="M198" s="159"/>
      <c r="N198" s="159"/>
      <c r="O198" s="159"/>
      <c r="P198" s="159"/>
      <c r="Q198" s="159"/>
      <c r="R198" s="159"/>
      <c r="S198" s="159"/>
    </row>
    <row r="199" spans="2:37">
      <c r="B199" s="159"/>
      <c r="C199" s="159"/>
      <c r="D199" s="5"/>
      <c r="E199" s="159" t="s">
        <v>121</v>
      </c>
      <c r="F199" s="159" t="s">
        <v>1214</v>
      </c>
      <c r="I199" s="159"/>
      <c r="J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row>
    <row r="200" spans="2:37">
      <c r="B200" s="159"/>
      <c r="C200" s="159"/>
      <c r="D200" s="5"/>
      <c r="E200" s="159" t="s">
        <v>127</v>
      </c>
      <c r="F200" s="159" t="s">
        <v>804</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F201" s="159" t="s">
        <v>739</v>
      </c>
      <c r="G201" s="159" t="s">
        <v>1086</v>
      </c>
      <c r="I201" s="159"/>
      <c r="J201" s="159"/>
      <c r="M201" s="159"/>
      <c r="N201" s="159"/>
      <c r="O201" s="159"/>
      <c r="P201" s="159"/>
      <c r="Q201" s="159"/>
      <c r="R201" s="159"/>
      <c r="S201" s="159"/>
      <c r="T201" s="159"/>
      <c r="U201" s="159"/>
      <c r="V201" s="159"/>
      <c r="W201" s="159"/>
      <c r="X201" s="159"/>
      <c r="Y201" s="159"/>
    </row>
    <row r="202" spans="2:37">
      <c r="B202" s="159"/>
      <c r="C202" s="159"/>
      <c r="D202" s="5"/>
      <c r="E202" s="159" t="s">
        <v>662</v>
      </c>
      <c r="F202" s="159" t="s">
        <v>1087</v>
      </c>
      <c r="M202" s="159"/>
      <c r="N202" s="159"/>
      <c r="O202" s="159"/>
      <c r="P202" s="159"/>
      <c r="Q202" s="159"/>
      <c r="R202" s="159"/>
      <c r="S202" s="159"/>
    </row>
    <row r="203" spans="2:37">
      <c r="B203" s="159"/>
      <c r="C203" s="159"/>
      <c r="D203" s="5"/>
      <c r="F203" t="s">
        <v>739</v>
      </c>
      <c r="G203" s="970" t="s">
        <v>1493</v>
      </c>
      <c r="H203" s="970"/>
      <c r="I203" s="970"/>
      <c r="J203" s="970"/>
      <c r="K203" s="970"/>
      <c r="L203" s="970"/>
      <c r="M203" s="970"/>
      <c r="N203" s="970"/>
      <c r="O203" s="970"/>
      <c r="P203" s="970"/>
      <c r="Q203" s="970"/>
      <c r="R203" s="970"/>
      <c r="S203" s="970"/>
      <c r="T203" s="970"/>
      <c r="U203" s="970"/>
      <c r="V203" s="970"/>
      <c r="W203" s="970"/>
      <c r="X203" s="970"/>
      <c r="Y203" s="970"/>
      <c r="Z203" s="970"/>
      <c r="AA203" s="970"/>
      <c r="AB203" s="970"/>
      <c r="AC203" s="970"/>
      <c r="AD203" s="970"/>
      <c r="AE203" s="970"/>
      <c r="AF203" s="970"/>
      <c r="AG203" s="970"/>
      <c r="AH203" s="970"/>
      <c r="AI203" s="970"/>
      <c r="AJ203" s="970"/>
      <c r="AK203" s="970"/>
    </row>
    <row r="204" spans="2:37">
      <c r="B204" s="159"/>
      <c r="C204" s="159"/>
      <c r="D204" s="5"/>
      <c r="G204" s="970"/>
      <c r="H204" s="970"/>
      <c r="I204" s="970"/>
      <c r="J204" s="970"/>
      <c r="K204" s="970"/>
      <c r="L204" s="970"/>
      <c r="M204" s="970"/>
      <c r="N204" s="970"/>
      <c r="O204" s="970"/>
      <c r="P204" s="970"/>
      <c r="Q204" s="970"/>
      <c r="R204" s="970"/>
      <c r="S204" s="970"/>
      <c r="T204" s="970"/>
      <c r="U204" s="970"/>
      <c r="V204" s="970"/>
      <c r="W204" s="970"/>
      <c r="X204" s="970"/>
      <c r="Y204" s="970"/>
      <c r="Z204" s="970"/>
      <c r="AA204" s="970"/>
      <c r="AB204" s="970"/>
      <c r="AC204" s="970"/>
      <c r="AD204" s="970"/>
      <c r="AE204" s="970"/>
      <c r="AF204" s="970"/>
      <c r="AG204" s="970"/>
      <c r="AH204" s="970"/>
      <c r="AI204" s="970"/>
      <c r="AJ204" s="970"/>
      <c r="AK204" s="970"/>
    </row>
    <row r="205" spans="2:37">
      <c r="B205" s="159"/>
      <c r="C205" s="159"/>
      <c r="D205" s="5"/>
      <c r="M205" s="159"/>
      <c r="N205" s="159"/>
      <c r="O205" s="159"/>
      <c r="P205" s="159"/>
      <c r="Q205" s="159"/>
      <c r="R205" s="159"/>
      <c r="S205" s="159"/>
    </row>
    <row r="206" spans="2:37">
      <c r="B206" s="159"/>
      <c r="C206" s="159"/>
      <c r="D206" s="5" t="s">
        <v>636</v>
      </c>
      <c r="E206" s="5" t="s">
        <v>875</v>
      </c>
      <c r="G206" s="159"/>
      <c r="H206" s="159"/>
      <c r="I206" s="159"/>
      <c r="J206" s="159"/>
      <c r="M206" s="159"/>
      <c r="N206" s="159"/>
      <c r="O206" s="159"/>
      <c r="P206" s="159"/>
      <c r="Q206" s="159"/>
      <c r="R206" s="159"/>
      <c r="S206" s="159"/>
      <c r="T206" s="159"/>
      <c r="U206" s="159"/>
      <c r="V206" s="159"/>
      <c r="W206" s="159"/>
    </row>
    <row r="207" spans="2:37">
      <c r="B207" s="159"/>
      <c r="C207" s="159"/>
      <c r="E207" s="159" t="s">
        <v>805</v>
      </c>
      <c r="F207" s="159"/>
      <c r="I207" s="159"/>
      <c r="J207" s="159"/>
      <c r="M207" s="159"/>
      <c r="N207" s="159"/>
      <c r="O207" s="159"/>
      <c r="P207" s="159"/>
      <c r="Q207" s="159"/>
      <c r="R207" s="159"/>
      <c r="S207" s="159"/>
      <c r="T207" s="159"/>
      <c r="U207" s="159"/>
      <c r="V207" s="159"/>
      <c r="W207" s="159"/>
    </row>
    <row r="208" spans="2:37">
      <c r="B208" s="159"/>
      <c r="C208" s="159"/>
      <c r="F208" s="159"/>
      <c r="G208" s="159"/>
      <c r="I208" s="159"/>
      <c r="J208" s="159"/>
      <c r="M208" s="159"/>
      <c r="N208" s="159"/>
      <c r="O208" s="159"/>
      <c r="P208" s="159"/>
      <c r="Q208" s="159"/>
      <c r="R208" s="159"/>
      <c r="S208" s="159"/>
      <c r="T208" s="159"/>
      <c r="U208" s="159"/>
      <c r="V208" s="159"/>
      <c r="W208" s="159"/>
    </row>
    <row r="209" spans="1:38">
      <c r="B209" s="159"/>
      <c r="C209" s="159"/>
      <c r="D209" s="5" t="s">
        <v>634</v>
      </c>
      <c r="E209" s="5" t="s">
        <v>267</v>
      </c>
      <c r="F209" s="159"/>
      <c r="G209" s="159"/>
      <c r="I209" s="159"/>
      <c r="J209" s="159"/>
      <c r="M209" s="159"/>
      <c r="N209" s="159"/>
      <c r="O209" s="159"/>
      <c r="P209" s="159"/>
      <c r="Q209" s="159"/>
      <c r="R209" s="159"/>
      <c r="S209" s="159"/>
      <c r="T209" s="159"/>
      <c r="U209" s="159"/>
      <c r="V209" s="159"/>
      <c r="W209" s="159"/>
    </row>
    <row r="210" spans="1:38">
      <c r="B210" s="159"/>
      <c r="C210" s="159"/>
      <c r="D210" s="5"/>
      <c r="E210" s="159" t="s">
        <v>322</v>
      </c>
      <c r="F210" s="159"/>
      <c r="G210" s="159"/>
      <c r="I210" s="159"/>
      <c r="J210" s="159"/>
      <c r="M210" s="159"/>
      <c r="N210" s="159"/>
      <c r="O210" s="159"/>
      <c r="P210" s="159"/>
      <c r="Q210" s="159"/>
      <c r="R210" s="159"/>
      <c r="S210" s="159"/>
      <c r="T210" s="159"/>
      <c r="U210" s="159"/>
      <c r="V210" s="159"/>
      <c r="W210" s="159"/>
    </row>
    <row r="211" spans="1:38">
      <c r="B211" s="159"/>
      <c r="C211" s="159"/>
      <c r="D211" s="5"/>
      <c r="M211" s="159"/>
      <c r="N211" s="159"/>
      <c r="O211" s="159"/>
      <c r="P211" s="159"/>
      <c r="Q211" s="159"/>
      <c r="R211" s="159"/>
      <c r="S211" s="159"/>
    </row>
    <row r="212" spans="1:38">
      <c r="C212" s="5" t="s">
        <v>806</v>
      </c>
      <c r="D212" s="5"/>
      <c r="G212" s="5" t="s">
        <v>925</v>
      </c>
      <c r="M212" s="159"/>
      <c r="N212" s="159"/>
      <c r="O212" s="159"/>
      <c r="P212" s="159"/>
      <c r="Q212" s="159"/>
      <c r="R212" s="159"/>
      <c r="S212" s="159"/>
    </row>
    <row r="213" spans="1:38">
      <c r="B213" s="159"/>
      <c r="C213" s="159"/>
      <c r="E213" t="s">
        <v>120</v>
      </c>
      <c r="F213" s="159" t="s">
        <v>924</v>
      </c>
      <c r="G213" s="159"/>
      <c r="H213" s="159"/>
      <c r="I213" s="159"/>
      <c r="L213" s="159"/>
      <c r="N213" s="159"/>
      <c r="O213" s="159"/>
      <c r="P213" s="159"/>
      <c r="Q213" s="159"/>
      <c r="R213" s="159"/>
      <c r="S213" s="159"/>
    </row>
    <row r="214" spans="1:38">
      <c r="B214" s="159"/>
      <c r="C214" s="159"/>
      <c r="F214" s="159" t="s">
        <v>739</v>
      </c>
      <c r="G214" s="159" t="s">
        <v>809</v>
      </c>
      <c r="I214" s="159"/>
      <c r="M214" s="159"/>
      <c r="N214" s="159"/>
      <c r="O214" s="159"/>
      <c r="P214" s="159"/>
      <c r="Q214" s="159"/>
      <c r="R214" s="159"/>
      <c r="S214" s="159"/>
    </row>
    <row r="215" spans="1:38">
      <c r="B215" s="159"/>
      <c r="C215" s="159"/>
      <c r="E215" t="s">
        <v>121</v>
      </c>
      <c r="F215" s="159" t="s">
        <v>448</v>
      </c>
      <c r="G215" s="159"/>
      <c r="H215" s="159"/>
      <c r="I215" s="159"/>
      <c r="M215" s="159"/>
      <c r="N215" s="159"/>
      <c r="O215" s="159"/>
      <c r="P215" s="159"/>
      <c r="Q215" s="159"/>
      <c r="R215" s="159"/>
      <c r="S215" s="159"/>
    </row>
    <row r="216" spans="1:38">
      <c r="B216" s="159"/>
      <c r="C216" s="159"/>
      <c r="F216" s="159" t="s">
        <v>739</v>
      </c>
      <c r="G216" s="159" t="s">
        <v>807</v>
      </c>
      <c r="I216" s="159"/>
      <c r="M216" s="159"/>
      <c r="N216" s="159"/>
      <c r="O216" s="159"/>
      <c r="P216" s="159"/>
      <c r="Q216" s="159"/>
      <c r="R216" s="159"/>
      <c r="S216" s="159"/>
    </row>
    <row r="217" spans="1:38">
      <c r="B217" s="159"/>
      <c r="C217" s="159"/>
      <c r="F217" s="159"/>
      <c r="G217" s="159" t="s">
        <v>808</v>
      </c>
      <c r="I217" s="159"/>
      <c r="M217" s="159"/>
      <c r="N217" s="159"/>
      <c r="O217" s="159"/>
      <c r="P217" s="159"/>
      <c r="Q217" s="159"/>
      <c r="R217" s="159"/>
      <c r="S217" s="159"/>
    </row>
    <row r="218" spans="1:38">
      <c r="B218" s="159"/>
      <c r="C218" s="159"/>
      <c r="F218" s="159"/>
      <c r="K218" s="159"/>
      <c r="M218" s="159"/>
      <c r="N218" s="159"/>
      <c r="O218" s="159"/>
      <c r="P218" s="159"/>
      <c r="Q218" s="159"/>
      <c r="R218" s="159"/>
      <c r="S218" s="159"/>
    </row>
    <row r="219" spans="1:38">
      <c r="A219" s="11"/>
      <c r="B219" s="20" t="s">
        <v>9</v>
      </c>
      <c r="C219" s="20" t="s">
        <v>196</v>
      </c>
      <c r="D219" s="11"/>
      <c r="E219" s="216"/>
      <c r="F219" s="216"/>
      <c r="G219" s="216"/>
      <c r="H219" s="216"/>
      <c r="I219" s="216"/>
      <c r="J219" s="216"/>
      <c r="K219" s="11"/>
      <c r="L219" s="216"/>
      <c r="M219" s="216"/>
      <c r="N219" s="216"/>
      <c r="O219" s="216"/>
      <c r="P219" s="216"/>
      <c r="Q219" s="216"/>
      <c r="R219" s="216"/>
      <c r="S219" s="216"/>
      <c r="T219" s="11"/>
      <c r="U219" s="11"/>
      <c r="V219" s="11"/>
      <c r="W219" s="11"/>
      <c r="X219" s="11"/>
      <c r="Y219" s="11"/>
      <c r="Z219" s="11"/>
      <c r="AA219" s="11"/>
      <c r="AB219" s="11"/>
      <c r="AC219" s="11"/>
      <c r="AD219" s="11"/>
      <c r="AE219" s="11"/>
      <c r="AF219" s="11"/>
      <c r="AG219" s="11"/>
      <c r="AH219" s="11"/>
      <c r="AI219" s="11"/>
      <c r="AJ219" s="11"/>
      <c r="AK219" s="11"/>
      <c r="AL219" s="11"/>
    </row>
    <row r="220" spans="1:38">
      <c r="B220" s="5"/>
      <c r="D220" s="5"/>
      <c r="E220" s="159"/>
      <c r="F220" s="159"/>
      <c r="G220" s="159"/>
      <c r="H220" s="159"/>
      <c r="I220" s="159"/>
      <c r="J220" s="159"/>
      <c r="L220" s="159"/>
      <c r="M220" s="159"/>
      <c r="N220" s="159"/>
      <c r="O220" s="159"/>
      <c r="P220" s="159"/>
      <c r="Q220" s="159"/>
      <c r="R220" s="159"/>
      <c r="S220" s="159"/>
    </row>
    <row r="221" spans="1:38">
      <c r="B221" s="159"/>
      <c r="C221" s="5" t="s">
        <v>494</v>
      </c>
      <c r="D221" s="159"/>
      <c r="E221" s="159"/>
      <c r="F221" s="159"/>
      <c r="G221" s="5" t="s">
        <v>526</v>
      </c>
      <c r="I221" s="159"/>
      <c r="J221" s="159"/>
      <c r="K221" s="159"/>
      <c r="M221" s="159"/>
      <c r="N221" s="159"/>
      <c r="O221" s="159"/>
      <c r="P221" s="159"/>
      <c r="Q221" s="159"/>
      <c r="R221" s="159"/>
      <c r="S221" s="159"/>
    </row>
    <row r="222" spans="1:38">
      <c r="B222" s="5"/>
      <c r="E222" s="159" t="s">
        <v>120</v>
      </c>
      <c r="F222" s="159" t="s">
        <v>810</v>
      </c>
      <c r="G222" s="159"/>
      <c r="I222" s="159"/>
      <c r="J222" s="159"/>
      <c r="K222" s="159"/>
      <c r="L222" s="159"/>
      <c r="M222" s="159"/>
      <c r="N222" s="159"/>
      <c r="O222" s="159"/>
      <c r="P222" s="159"/>
      <c r="Q222" s="159"/>
      <c r="R222" s="159"/>
      <c r="S222" s="159"/>
    </row>
    <row r="223" spans="1:38">
      <c r="B223" s="5"/>
      <c r="E223" s="159" t="s">
        <v>121</v>
      </c>
      <c r="F223" s="159" t="s">
        <v>766</v>
      </c>
      <c r="G223" s="159"/>
      <c r="I223" s="159"/>
      <c r="J223" s="159"/>
      <c r="K223" s="159"/>
      <c r="L223" s="159"/>
      <c r="M223" s="159"/>
      <c r="N223" s="159"/>
      <c r="O223" s="159"/>
      <c r="P223" s="159"/>
      <c r="Q223" s="159"/>
      <c r="R223" s="159"/>
      <c r="S223" s="159"/>
    </row>
    <row r="224" spans="1:38">
      <c r="B224" s="5"/>
      <c r="E224" s="159"/>
      <c r="F224" s="159"/>
      <c r="G224" s="159"/>
      <c r="H224" s="159"/>
      <c r="I224" s="159"/>
      <c r="J224" s="159"/>
      <c r="K224" s="159"/>
      <c r="L224" s="159"/>
      <c r="M224" s="159"/>
      <c r="N224" s="159"/>
      <c r="O224" s="159"/>
      <c r="P224" s="159"/>
      <c r="Q224" s="159"/>
      <c r="R224" s="159"/>
      <c r="S224" s="159"/>
    </row>
    <row r="225" spans="2:19">
      <c r="B225" s="5"/>
      <c r="C225" s="5" t="s">
        <v>495</v>
      </c>
      <c r="D225" s="159"/>
      <c r="E225" s="159"/>
      <c r="F225" s="159"/>
      <c r="G225" s="5" t="s">
        <v>24</v>
      </c>
      <c r="I225" s="159"/>
      <c r="J225" s="159"/>
      <c r="K225" s="159"/>
      <c r="L225" s="159"/>
      <c r="M225" s="159"/>
      <c r="N225" s="159"/>
      <c r="O225" s="159"/>
      <c r="P225" s="159"/>
      <c r="Q225" s="159"/>
      <c r="R225" s="159"/>
      <c r="S225" s="159"/>
    </row>
    <row r="226" spans="2:19">
      <c r="B226" s="5"/>
      <c r="E226" s="159" t="s">
        <v>120</v>
      </c>
      <c r="F226" s="159" t="s">
        <v>811</v>
      </c>
      <c r="G226" s="159"/>
      <c r="I226" s="159"/>
      <c r="J226" s="159"/>
      <c r="K226" s="159"/>
      <c r="L226" s="159"/>
      <c r="M226" s="159"/>
      <c r="N226" s="159"/>
      <c r="O226" s="159"/>
      <c r="P226" s="159"/>
      <c r="Q226" s="159"/>
      <c r="R226" s="159"/>
      <c r="S226" s="159"/>
    </row>
    <row r="227" spans="2:19">
      <c r="B227" s="5"/>
      <c r="E227" s="159"/>
      <c r="F227" s="159" t="s">
        <v>812</v>
      </c>
      <c r="G227" s="159"/>
      <c r="H227" s="159"/>
      <c r="I227" s="159"/>
      <c r="J227" s="159"/>
      <c r="K227" s="159"/>
      <c r="L227" s="159"/>
      <c r="M227" s="159"/>
      <c r="N227" s="159"/>
      <c r="O227" s="159"/>
      <c r="P227" s="159"/>
      <c r="Q227" s="159"/>
      <c r="R227" s="159"/>
      <c r="S227" s="159"/>
    </row>
    <row r="228" spans="2:19">
      <c r="B228" s="5"/>
      <c r="D228" s="159"/>
      <c r="E228" s="159" t="s">
        <v>121</v>
      </c>
      <c r="F228" s="159" t="s">
        <v>766</v>
      </c>
      <c r="G228" s="159"/>
      <c r="I228" s="159"/>
      <c r="J228" s="159"/>
      <c r="K228" s="159"/>
      <c r="L228" s="159"/>
      <c r="M228" s="159"/>
      <c r="N228" s="159"/>
      <c r="O228" s="159"/>
      <c r="P228" s="159"/>
      <c r="Q228" s="159"/>
      <c r="R228" s="159"/>
      <c r="S228" s="159"/>
    </row>
    <row r="229" spans="2:19">
      <c r="B229" s="5"/>
      <c r="E229" s="159" t="s">
        <v>127</v>
      </c>
      <c r="F229" s="162" t="s">
        <v>1102</v>
      </c>
      <c r="G229" s="159"/>
      <c r="I229" s="159"/>
      <c r="J229" s="159"/>
      <c r="K229" s="159"/>
      <c r="L229" s="159"/>
      <c r="M229" s="159"/>
      <c r="N229" s="159"/>
      <c r="O229" s="159"/>
      <c r="P229" s="159"/>
      <c r="Q229" s="159"/>
      <c r="R229" s="159"/>
      <c r="S229" s="159"/>
    </row>
    <row r="230" spans="2:19">
      <c r="B230" s="5"/>
      <c r="D230" s="159"/>
      <c r="E230" s="159"/>
      <c r="F230" s="159"/>
      <c r="G230" s="159"/>
      <c r="H230" s="159"/>
      <c r="I230" s="159"/>
      <c r="J230" s="159"/>
      <c r="K230" s="159"/>
      <c r="L230" s="159"/>
      <c r="M230" s="159"/>
      <c r="N230" s="159"/>
      <c r="O230" s="159"/>
      <c r="P230" s="159"/>
      <c r="Q230" s="159"/>
      <c r="R230" s="159"/>
      <c r="S230" s="159"/>
    </row>
    <row r="231" spans="2:19">
      <c r="B231" s="159"/>
      <c r="C231" s="5"/>
      <c r="E231" s="5" t="s">
        <v>354</v>
      </c>
      <c r="F231" s="159"/>
      <c r="J231" s="159"/>
      <c r="K231" s="159"/>
      <c r="M231" s="159"/>
      <c r="N231" s="159"/>
      <c r="O231" s="159"/>
      <c r="P231" s="159"/>
      <c r="Q231" s="159"/>
      <c r="R231" s="159"/>
      <c r="S231" s="159"/>
    </row>
    <row r="232" spans="2:19">
      <c r="B232" s="159"/>
      <c r="C232" s="159"/>
      <c r="E232" t="s">
        <v>120</v>
      </c>
      <c r="F232" s="159" t="s">
        <v>354</v>
      </c>
      <c r="G232" s="5"/>
      <c r="H232" s="5"/>
      <c r="I232" s="5"/>
      <c r="L232" s="5"/>
      <c r="M232" s="5"/>
      <c r="N232" s="5"/>
      <c r="O232" s="5"/>
      <c r="P232" s="5"/>
      <c r="Q232" s="5"/>
      <c r="R232" s="159"/>
      <c r="S232" s="159"/>
    </row>
    <row r="233" spans="2:19">
      <c r="B233" s="159"/>
      <c r="C233" s="159"/>
      <c r="F233" s="159" t="s">
        <v>739</v>
      </c>
      <c r="G233" s="159" t="s">
        <v>813</v>
      </c>
      <c r="I233" s="159"/>
      <c r="M233" s="159"/>
      <c r="N233" s="159"/>
      <c r="O233" s="159"/>
      <c r="P233" s="159"/>
      <c r="Q233" s="159"/>
      <c r="R233" s="159"/>
      <c r="S233" s="159"/>
    </row>
    <row r="234" spans="2:19">
      <c r="B234" s="159"/>
      <c r="C234" s="159"/>
      <c r="F234" s="159"/>
      <c r="G234" s="159" t="s">
        <v>913</v>
      </c>
      <c r="I234" s="159"/>
      <c r="M234" s="159"/>
      <c r="N234" s="159"/>
      <c r="O234" s="159"/>
      <c r="P234" s="159"/>
      <c r="Q234" s="159"/>
      <c r="R234" s="159"/>
      <c r="S234" s="159"/>
    </row>
    <row r="235" spans="2:19">
      <c r="B235" s="159"/>
      <c r="C235" s="159"/>
      <c r="E235" t="s">
        <v>121</v>
      </c>
      <c r="F235" s="229" t="s">
        <v>512</v>
      </c>
      <c r="G235" s="5"/>
      <c r="H235" s="5"/>
      <c r="I235" s="5"/>
      <c r="L235" s="5"/>
      <c r="M235" s="5"/>
      <c r="N235" s="5"/>
      <c r="O235" s="5"/>
      <c r="P235" s="5"/>
      <c r="Q235" s="5"/>
      <c r="R235" s="5"/>
      <c r="S235" s="5"/>
    </row>
    <row r="236" spans="2:19">
      <c r="B236" s="159"/>
      <c r="C236" s="159"/>
      <c r="F236" s="159" t="s">
        <v>739</v>
      </c>
      <c r="G236" s="159" t="s">
        <v>816</v>
      </c>
      <c r="I236" s="159"/>
      <c r="M236" s="159"/>
      <c r="N236" s="159"/>
      <c r="O236" s="159"/>
      <c r="P236" s="159"/>
      <c r="Q236" s="159"/>
      <c r="R236" s="159"/>
      <c r="S236" s="159"/>
    </row>
    <row r="237" spans="2:19">
      <c r="B237" s="159"/>
      <c r="C237" s="159"/>
      <c r="F237" s="159"/>
      <c r="G237" s="159" t="s">
        <v>774</v>
      </c>
      <c r="H237" s="159" t="s">
        <v>1091</v>
      </c>
      <c r="I237" s="159"/>
      <c r="M237" s="159"/>
      <c r="N237" s="159"/>
      <c r="O237" s="159"/>
      <c r="P237" s="159"/>
      <c r="Q237" s="159"/>
      <c r="R237" s="159"/>
      <c r="S237" s="159"/>
    </row>
    <row r="238" spans="2:19">
      <c r="B238" s="159"/>
      <c r="C238" s="159"/>
      <c r="F238" s="159" t="s">
        <v>377</v>
      </c>
      <c r="G238" s="227" t="s">
        <v>817</v>
      </c>
      <c r="I238" s="159"/>
      <c r="M238" s="159"/>
      <c r="N238" s="159"/>
      <c r="O238" s="159"/>
      <c r="P238" s="159"/>
      <c r="Q238" s="159"/>
      <c r="R238" s="159"/>
      <c r="S238" s="159"/>
    </row>
    <row r="239" spans="2:19">
      <c r="B239" s="159"/>
      <c r="C239" s="159"/>
      <c r="E239" t="s">
        <v>127</v>
      </c>
      <c r="F239" s="159" t="s">
        <v>739</v>
      </c>
      <c r="G239" s="227" t="s">
        <v>1092</v>
      </c>
      <c r="I239" s="159"/>
      <c r="M239" s="159"/>
      <c r="N239" s="159"/>
      <c r="O239" s="159"/>
      <c r="P239" s="159"/>
      <c r="Q239" s="159"/>
      <c r="R239" s="159"/>
      <c r="S239" s="159"/>
    </row>
    <row r="240" spans="2:19">
      <c r="B240" s="159"/>
      <c r="C240" s="159"/>
      <c r="F240" s="159" t="s">
        <v>377</v>
      </c>
      <c r="G240" s="227" t="s">
        <v>1093</v>
      </c>
      <c r="I240" s="159"/>
      <c r="M240" s="159"/>
      <c r="N240" s="159"/>
      <c r="O240" s="159"/>
      <c r="P240" s="159"/>
      <c r="Q240" s="159"/>
      <c r="R240" s="159"/>
      <c r="S240" s="159"/>
    </row>
    <row r="241" spans="2:21">
      <c r="B241" s="159"/>
      <c r="C241" s="159"/>
      <c r="F241" s="159" t="s">
        <v>378</v>
      </c>
      <c r="G241" s="229" t="s">
        <v>814</v>
      </c>
      <c r="I241" s="159"/>
      <c r="M241" s="159"/>
      <c r="N241" s="159"/>
      <c r="O241" s="159"/>
      <c r="P241" s="159"/>
      <c r="Q241" s="159"/>
      <c r="R241" s="159"/>
      <c r="S241" s="159"/>
    </row>
    <row r="242" spans="2:21">
      <c r="B242" s="159"/>
      <c r="C242" s="159"/>
      <c r="F242" s="159"/>
      <c r="G242" s="229" t="s">
        <v>815</v>
      </c>
      <c r="I242" s="159"/>
      <c r="M242" s="159"/>
      <c r="N242" s="159"/>
      <c r="O242" s="159"/>
      <c r="P242" s="159"/>
      <c r="Q242" s="159"/>
      <c r="R242" s="159"/>
      <c r="S242" s="159"/>
    </row>
    <row r="243" spans="2:21">
      <c r="B243" s="159"/>
      <c r="C243" s="159"/>
      <c r="D243" s="5"/>
      <c r="E243" s="159" t="s">
        <v>127</v>
      </c>
      <c r="F243" s="159" t="s">
        <v>355</v>
      </c>
      <c r="H243" s="159"/>
      <c r="I243" s="159"/>
      <c r="M243" s="159"/>
      <c r="N243" s="159"/>
      <c r="O243" s="159"/>
      <c r="P243" s="159"/>
      <c r="Q243" s="159"/>
      <c r="R243" s="159"/>
      <c r="S243" s="159"/>
    </row>
    <row r="244" spans="2:21">
      <c r="B244" s="159"/>
      <c r="C244" s="159"/>
      <c r="D244" s="5"/>
      <c r="E244" s="5"/>
      <c r="F244" t="s">
        <v>739</v>
      </c>
      <c r="G244" s="159" t="s">
        <v>497</v>
      </c>
      <c r="I244" s="159"/>
      <c r="M244" s="159"/>
      <c r="N244" s="159"/>
      <c r="O244" s="159"/>
      <c r="P244" s="159"/>
      <c r="Q244" s="159"/>
      <c r="R244" s="159"/>
      <c r="S244" s="159"/>
    </row>
    <row r="245" spans="2:21">
      <c r="B245" s="159"/>
      <c r="C245" s="159"/>
      <c r="D245" s="5"/>
      <c r="E245" s="5"/>
      <c r="F245" s="159"/>
      <c r="G245" s="159" t="s">
        <v>498</v>
      </c>
      <c r="I245" s="159"/>
      <c r="M245" s="159"/>
      <c r="N245" s="159"/>
      <c r="O245" s="159"/>
      <c r="P245" s="159"/>
      <c r="Q245" s="159"/>
      <c r="R245" s="159"/>
      <c r="S245" s="159"/>
    </row>
    <row r="246" spans="2:21">
      <c r="B246" s="159"/>
      <c r="C246" s="159"/>
      <c r="D246" s="5"/>
      <c r="E246" s="5"/>
      <c r="F246" s="159"/>
      <c r="G246" s="159"/>
      <c r="I246" s="159"/>
      <c r="M246" s="159"/>
      <c r="N246" s="159"/>
      <c r="O246" s="159"/>
      <c r="P246" s="159"/>
      <c r="Q246" s="159"/>
      <c r="R246" s="159"/>
      <c r="S246" s="159"/>
    </row>
    <row r="247" spans="2:21">
      <c r="B247" s="5"/>
      <c r="C247" s="5" t="s">
        <v>6</v>
      </c>
      <c r="E247" s="159"/>
      <c r="F247" s="159"/>
      <c r="G247" s="5" t="s">
        <v>428</v>
      </c>
      <c r="I247" s="159"/>
      <c r="J247" s="159"/>
      <c r="K247" s="159"/>
      <c r="L247" s="159"/>
      <c r="M247" s="159"/>
      <c r="N247" s="159"/>
      <c r="O247" s="159"/>
      <c r="P247" s="159"/>
      <c r="Q247" s="159"/>
      <c r="R247" s="159"/>
      <c r="S247" s="159"/>
    </row>
    <row r="248" spans="2:21">
      <c r="B248" s="5"/>
      <c r="C248" s="5"/>
      <c r="E248" s="159" t="s">
        <v>120</v>
      </c>
      <c r="F248" s="159" t="s">
        <v>78</v>
      </c>
      <c r="G248" s="159"/>
      <c r="I248" s="159"/>
      <c r="J248" s="159"/>
      <c r="K248" s="159"/>
      <c r="L248" s="159"/>
      <c r="M248" s="159"/>
      <c r="N248" s="159"/>
      <c r="O248" s="159"/>
      <c r="P248" s="159"/>
      <c r="Q248" s="159"/>
      <c r="R248" s="159"/>
      <c r="S248" s="159"/>
      <c r="T248" s="159"/>
      <c r="U248" s="159"/>
    </row>
    <row r="249" spans="2:21">
      <c r="B249" s="5"/>
      <c r="C249" s="5"/>
      <c r="E249" s="159"/>
      <c r="F249" s="204" t="s">
        <v>1454</v>
      </c>
      <c r="G249" s="159"/>
      <c r="I249" s="204"/>
      <c r="J249" s="159"/>
      <c r="K249" s="159"/>
      <c r="L249" s="159"/>
      <c r="M249" s="159"/>
      <c r="N249" s="159"/>
      <c r="O249" s="159"/>
      <c r="P249" s="159"/>
      <c r="Q249" s="159"/>
      <c r="R249" s="159"/>
      <c r="S249" s="159"/>
      <c r="T249" s="159"/>
      <c r="U249" s="159"/>
    </row>
    <row r="250" spans="2:21">
      <c r="B250" s="5"/>
      <c r="C250" s="5"/>
      <c r="E250" s="159" t="s">
        <v>121</v>
      </c>
      <c r="F250" s="159" t="s">
        <v>1088</v>
      </c>
      <c r="I250" s="159"/>
      <c r="J250" s="159"/>
      <c r="K250" s="159"/>
      <c r="L250" s="159"/>
      <c r="M250" s="159"/>
      <c r="N250" s="159"/>
      <c r="O250" s="159"/>
      <c r="P250" s="159"/>
      <c r="Q250" s="159"/>
      <c r="R250" s="159"/>
      <c r="S250" s="159"/>
      <c r="T250" s="159"/>
      <c r="U250" s="159"/>
    </row>
    <row r="251" spans="2:21">
      <c r="B251" s="5"/>
      <c r="C251" s="5"/>
      <c r="E251" s="159"/>
      <c r="F251" s="358" t="s">
        <v>739</v>
      </c>
      <c r="G251" s="358" t="s">
        <v>928</v>
      </c>
      <c r="I251" s="6"/>
      <c r="K251" s="165"/>
      <c r="L251" s="165"/>
      <c r="M251" s="165"/>
      <c r="N251" s="165"/>
      <c r="O251" s="165"/>
      <c r="P251" s="1"/>
      <c r="Q251" s="159"/>
      <c r="R251" s="159"/>
      <c r="S251" s="159"/>
      <c r="T251" s="159"/>
      <c r="U251" s="159"/>
    </row>
    <row r="252" spans="2:21">
      <c r="B252" s="5"/>
      <c r="C252" s="5"/>
      <c r="E252" s="159"/>
      <c r="F252" s="356"/>
      <c r="G252" s="358" t="s">
        <v>929</v>
      </c>
      <c r="I252" s="6"/>
      <c r="K252" s="165"/>
      <c r="L252" s="165"/>
      <c r="M252" s="165"/>
      <c r="N252" s="165"/>
      <c r="O252" s="165"/>
      <c r="P252" s="165"/>
    </row>
    <row r="253" spans="2:21">
      <c r="B253" s="5"/>
      <c r="C253" s="5"/>
      <c r="E253" s="159"/>
      <c r="F253" s="356" t="s">
        <v>377</v>
      </c>
      <c r="G253" s="358" t="s">
        <v>1094</v>
      </c>
      <c r="I253" s="159"/>
      <c r="K253" s="159"/>
      <c r="L253" s="159"/>
      <c r="M253" s="159"/>
      <c r="N253" s="159"/>
      <c r="O253" s="159"/>
      <c r="P253" s="165"/>
      <c r="Q253" s="1"/>
      <c r="R253" s="1"/>
      <c r="S253" s="1"/>
      <c r="T253" s="1"/>
      <c r="U253" s="1"/>
    </row>
    <row r="254" spans="2:21">
      <c r="B254" s="5"/>
      <c r="C254" s="5"/>
      <c r="E254" s="159"/>
      <c r="F254" s="356"/>
      <c r="G254" s="358" t="s">
        <v>996</v>
      </c>
      <c r="I254" s="159"/>
      <c r="K254" s="159"/>
      <c r="L254" s="159"/>
      <c r="M254" s="159"/>
      <c r="N254" s="159"/>
      <c r="O254" s="159"/>
      <c r="P254" s="159"/>
      <c r="Q254" s="165"/>
      <c r="R254" s="165"/>
      <c r="S254" s="165"/>
      <c r="T254" s="165"/>
      <c r="U254" s="165"/>
    </row>
    <row r="255" spans="2:21">
      <c r="B255" s="5"/>
      <c r="C255" s="5"/>
      <c r="E255" s="159"/>
      <c r="G255" s="159"/>
      <c r="I255" s="159"/>
      <c r="K255" s="159"/>
      <c r="L255" s="159"/>
      <c r="M255" s="159"/>
      <c r="N255" s="159"/>
      <c r="O255" s="159"/>
      <c r="P255" s="159"/>
      <c r="Q255" s="165"/>
      <c r="R255" s="165"/>
      <c r="S255" s="165"/>
      <c r="T255" s="165"/>
      <c r="U255" s="165"/>
    </row>
    <row r="256" spans="2:21">
      <c r="B256" s="5"/>
      <c r="C256" s="5"/>
      <c r="D256" s="5" t="s">
        <v>225</v>
      </c>
      <c r="E256" s="5" t="s">
        <v>429</v>
      </c>
      <c r="G256" s="159"/>
      <c r="H256" s="159"/>
      <c r="I256" s="159"/>
      <c r="J256" s="159"/>
      <c r="K256" s="159"/>
      <c r="L256" s="159"/>
      <c r="M256" s="159"/>
      <c r="N256" s="159"/>
      <c r="O256" s="159"/>
      <c r="P256" s="159"/>
      <c r="Q256" s="159"/>
      <c r="R256" s="159"/>
      <c r="S256" s="159"/>
    </row>
    <row r="257" spans="2:21">
      <c r="B257" s="5"/>
      <c r="C257" s="5"/>
      <c r="E257" s="159" t="s">
        <v>120</v>
      </c>
      <c r="F257" s="159" t="s">
        <v>273</v>
      </c>
      <c r="G257" s="159"/>
      <c r="I257" s="159"/>
      <c r="J257" s="159"/>
      <c r="K257" s="159"/>
      <c r="L257" s="159"/>
      <c r="M257" s="159"/>
      <c r="N257" s="159"/>
      <c r="O257" s="159"/>
      <c r="P257" s="159"/>
      <c r="Q257" s="159"/>
      <c r="R257" s="159"/>
      <c r="S257" s="159"/>
    </row>
    <row r="258" spans="2:21">
      <c r="B258" s="5"/>
      <c r="C258" s="5"/>
      <c r="E258" s="159" t="s">
        <v>121</v>
      </c>
      <c r="F258" s="159" t="s">
        <v>919</v>
      </c>
      <c r="G258" s="159"/>
      <c r="I258" s="159"/>
      <c r="J258" s="159"/>
      <c r="K258" s="159"/>
      <c r="L258" s="159"/>
      <c r="M258" s="159"/>
      <c r="N258" s="159"/>
      <c r="O258" s="159"/>
      <c r="P258" s="159"/>
      <c r="Q258" s="159"/>
      <c r="R258" s="159"/>
      <c r="S258" s="159"/>
    </row>
    <row r="259" spans="2:21">
      <c r="B259" s="5"/>
      <c r="C259" s="5"/>
      <c r="E259" s="159" t="s">
        <v>127</v>
      </c>
      <c r="F259" s="159" t="s">
        <v>274</v>
      </c>
      <c r="I259" s="159"/>
      <c r="J259" s="159"/>
      <c r="K259" s="159"/>
      <c r="L259" s="159"/>
      <c r="M259" s="159"/>
      <c r="N259" s="159"/>
      <c r="O259" s="159"/>
      <c r="P259" s="159"/>
      <c r="Q259" s="159"/>
      <c r="R259" s="159"/>
      <c r="S259" s="159"/>
    </row>
    <row r="260" spans="2:21">
      <c r="B260" s="5"/>
      <c r="C260" s="5"/>
      <c r="E260" s="5"/>
      <c r="F260" s="159" t="s">
        <v>920</v>
      </c>
      <c r="I260" s="159"/>
      <c r="J260" s="159"/>
      <c r="K260" s="159"/>
      <c r="L260" s="159"/>
      <c r="M260" s="159"/>
      <c r="N260" s="159"/>
      <c r="O260" s="159"/>
      <c r="P260" s="159"/>
      <c r="Q260" s="159"/>
      <c r="R260" s="159"/>
      <c r="S260" s="159"/>
    </row>
    <row r="261" spans="2:21">
      <c r="B261" s="5"/>
      <c r="C261" s="5"/>
      <c r="E261" s="159" t="s">
        <v>662</v>
      </c>
      <c r="F261" s="358" t="s">
        <v>930</v>
      </c>
      <c r="I261" s="159"/>
      <c r="J261" s="159"/>
      <c r="K261" s="159"/>
      <c r="L261" s="159"/>
      <c r="M261" s="159"/>
      <c r="N261" s="159"/>
      <c r="O261" s="159"/>
      <c r="P261" s="159"/>
      <c r="Q261" s="159"/>
      <c r="R261" s="159"/>
      <c r="S261" s="159"/>
    </row>
    <row r="262" spans="2:21">
      <c r="B262" s="5"/>
      <c r="C262" s="5"/>
      <c r="E262" s="5"/>
      <c r="F262" s="159"/>
      <c r="H262" s="159"/>
      <c r="I262" s="159"/>
      <c r="J262" s="159"/>
      <c r="K262" s="159"/>
      <c r="L262" s="159"/>
      <c r="M262" s="159"/>
      <c r="N262" s="159"/>
      <c r="O262" s="159"/>
      <c r="P262" s="159"/>
      <c r="Q262" s="159"/>
      <c r="R262" s="159"/>
      <c r="S262" s="159"/>
    </row>
    <row r="263" spans="2:21">
      <c r="B263" s="5"/>
      <c r="C263" s="5"/>
      <c r="D263" s="5" t="s">
        <v>370</v>
      </c>
      <c r="E263" s="5" t="s">
        <v>79</v>
      </c>
      <c r="G263" s="159"/>
      <c r="H263" s="159"/>
      <c r="I263" s="159"/>
      <c r="J263" s="159"/>
      <c r="K263" s="159"/>
      <c r="L263" s="159"/>
      <c r="M263" s="159"/>
      <c r="N263" s="159"/>
      <c r="O263" s="159"/>
      <c r="P263" s="159"/>
      <c r="Q263" s="159"/>
      <c r="R263" s="159"/>
      <c r="S263" s="159"/>
    </row>
    <row r="264" spans="2:21">
      <c r="B264" s="5"/>
      <c r="C264" s="5"/>
      <c r="E264" s="159" t="s">
        <v>1215</v>
      </c>
      <c r="F264" s="159"/>
      <c r="G264" s="159"/>
      <c r="O264" s="159"/>
      <c r="P264" s="159"/>
      <c r="Q264" s="159"/>
      <c r="R264" s="159"/>
      <c r="S264" s="159"/>
    </row>
    <row r="265" spans="2:21">
      <c r="B265" s="5"/>
      <c r="C265" s="5"/>
      <c r="E265" s="5"/>
      <c r="G265" s="159"/>
      <c r="H265" s="159"/>
      <c r="O265" s="159"/>
      <c r="P265" s="159"/>
      <c r="Q265" s="159"/>
      <c r="R265" s="159"/>
      <c r="S265" s="159"/>
    </row>
    <row r="266" spans="2:21">
      <c r="B266" s="5"/>
      <c r="C266" s="5"/>
      <c r="D266" s="5" t="s">
        <v>655</v>
      </c>
      <c r="E266" s="5" t="s">
        <v>310</v>
      </c>
      <c r="G266" s="159"/>
    </row>
    <row r="267" spans="2:21">
      <c r="B267" s="5"/>
      <c r="C267" s="5"/>
      <c r="E267" s="159" t="s">
        <v>275</v>
      </c>
      <c r="F267" s="159"/>
      <c r="G267" s="159"/>
      <c r="J267" s="159"/>
      <c r="K267" s="159"/>
      <c r="L267" s="159"/>
      <c r="M267" s="159"/>
      <c r="N267" s="159"/>
    </row>
    <row r="268" spans="2:21">
      <c r="B268" s="5"/>
      <c r="C268" s="5"/>
      <c r="E268" s="159" t="s">
        <v>1095</v>
      </c>
      <c r="F268" s="159"/>
      <c r="G268" s="159"/>
      <c r="J268" s="159"/>
      <c r="K268" s="159"/>
      <c r="L268" s="159"/>
      <c r="M268" s="159"/>
      <c r="N268" s="159"/>
    </row>
    <row r="269" spans="2:21">
      <c r="B269" s="5"/>
      <c r="C269" s="5"/>
      <c r="E269" s="5"/>
      <c r="G269" s="159"/>
      <c r="H269" s="159"/>
      <c r="J269" s="159"/>
      <c r="K269" s="159"/>
      <c r="L269" s="159"/>
      <c r="M269" s="159"/>
      <c r="N269" s="159"/>
      <c r="O269" s="159"/>
      <c r="P269" s="159"/>
      <c r="Q269" s="159"/>
      <c r="R269" s="159"/>
      <c r="S269" s="159"/>
      <c r="T269" s="159"/>
      <c r="U269" s="159"/>
    </row>
    <row r="270" spans="2:21">
      <c r="B270" s="5"/>
      <c r="D270" s="5" t="s">
        <v>591</v>
      </c>
      <c r="E270" s="5" t="s">
        <v>693</v>
      </c>
      <c r="G270" s="159"/>
      <c r="H270" s="159"/>
      <c r="J270" s="159"/>
      <c r="K270" s="159"/>
      <c r="L270" s="159"/>
      <c r="M270" s="159"/>
      <c r="N270" s="159"/>
      <c r="O270" s="159"/>
      <c r="P270" s="159"/>
      <c r="Q270" s="159"/>
      <c r="R270" s="159"/>
      <c r="S270" s="159"/>
      <c r="T270" s="159"/>
      <c r="U270" s="159"/>
    </row>
    <row r="271" spans="2:21">
      <c r="B271" s="5"/>
      <c r="D271" s="159"/>
      <c r="E271" s="159" t="s">
        <v>1207</v>
      </c>
      <c r="J271" s="159"/>
      <c r="K271" s="159"/>
      <c r="L271" s="159"/>
      <c r="M271" s="159"/>
      <c r="N271" s="159"/>
      <c r="O271" s="159"/>
      <c r="P271" s="159"/>
      <c r="Q271" s="159"/>
      <c r="R271" s="159"/>
      <c r="S271" s="159"/>
      <c r="T271" s="159"/>
      <c r="U271" s="159"/>
    </row>
    <row r="272" spans="2:21">
      <c r="B272" s="5"/>
      <c r="D272" s="159"/>
      <c r="E272" s="159" t="s">
        <v>1089</v>
      </c>
      <c r="J272" s="159"/>
      <c r="K272" s="159"/>
      <c r="L272" s="159"/>
      <c r="M272" s="159"/>
      <c r="N272" s="159"/>
      <c r="O272" s="159"/>
      <c r="P272" s="159"/>
      <c r="Q272" s="159"/>
      <c r="R272" s="159"/>
      <c r="S272" s="159"/>
      <c r="T272" s="159"/>
      <c r="U272" s="159"/>
    </row>
    <row r="273" spans="2:23">
      <c r="B273" s="5"/>
      <c r="D273" s="159"/>
      <c r="E273" s="159"/>
      <c r="J273" s="159"/>
      <c r="K273" s="159"/>
      <c r="L273" s="159"/>
      <c r="M273" s="159"/>
      <c r="N273" s="159"/>
      <c r="O273" s="159"/>
      <c r="P273" s="159"/>
      <c r="Q273" s="159"/>
      <c r="R273" s="159"/>
      <c r="S273" s="159"/>
      <c r="T273" s="159"/>
      <c r="U273" s="159"/>
    </row>
    <row r="274" spans="2:23">
      <c r="B274" s="5"/>
      <c r="D274" s="5" t="s">
        <v>328</v>
      </c>
      <c r="E274" s="5" t="s">
        <v>311</v>
      </c>
      <c r="K274" s="159"/>
      <c r="L274" s="159"/>
      <c r="M274" s="159"/>
      <c r="N274" s="159"/>
      <c r="O274" s="159"/>
      <c r="P274" s="159"/>
      <c r="Q274" s="159"/>
      <c r="R274" s="159"/>
      <c r="S274" s="159"/>
      <c r="T274" s="159"/>
      <c r="U274" s="159"/>
    </row>
    <row r="275" spans="2:23">
      <c r="B275" s="5"/>
      <c r="D275" s="5"/>
      <c r="E275" t="s">
        <v>276</v>
      </c>
      <c r="K275" s="159"/>
      <c r="L275" s="159"/>
      <c r="M275" s="159"/>
      <c r="N275" s="159"/>
      <c r="O275" s="159"/>
      <c r="P275" s="159"/>
      <c r="Q275" s="159"/>
      <c r="R275" s="159"/>
      <c r="S275" s="159"/>
    </row>
    <row r="276" spans="2:23">
      <c r="B276" s="5"/>
      <c r="D276" s="159"/>
      <c r="E276" s="159" t="s">
        <v>1096</v>
      </c>
      <c r="I276" s="159"/>
      <c r="J276" s="159"/>
      <c r="K276" s="159"/>
      <c r="L276" s="159"/>
      <c r="M276" s="159"/>
      <c r="N276" s="159"/>
      <c r="O276" s="159"/>
      <c r="P276" s="159"/>
      <c r="Q276" s="159"/>
      <c r="R276" s="159"/>
      <c r="S276" s="159"/>
    </row>
    <row r="277" spans="2:23">
      <c r="B277" s="5"/>
      <c r="D277" s="159"/>
      <c r="E277" s="159"/>
      <c r="I277" s="159"/>
      <c r="J277" s="159"/>
      <c r="K277" s="159"/>
      <c r="L277" s="159"/>
      <c r="M277" s="159"/>
      <c r="N277" s="159"/>
      <c r="O277" s="159"/>
      <c r="P277" s="159"/>
      <c r="Q277" s="159"/>
      <c r="R277" s="159"/>
      <c r="S277" s="159"/>
    </row>
    <row r="278" spans="2:23">
      <c r="B278" s="5"/>
      <c r="D278" s="5" t="s">
        <v>483</v>
      </c>
      <c r="E278" s="5" t="s">
        <v>473</v>
      </c>
      <c r="G278" s="159"/>
      <c r="H278" s="159"/>
      <c r="I278" s="159"/>
      <c r="J278" s="159"/>
      <c r="K278" s="159"/>
      <c r="L278" s="159"/>
      <c r="M278" s="159"/>
      <c r="O278" s="159"/>
      <c r="P278" s="159"/>
      <c r="Q278" s="159"/>
      <c r="R278" s="159"/>
      <c r="S278" s="159"/>
    </row>
    <row r="279" spans="2:23">
      <c r="B279" s="5"/>
      <c r="D279" s="5"/>
      <c r="E279" t="s">
        <v>277</v>
      </c>
      <c r="G279" s="159"/>
      <c r="H279" s="159"/>
      <c r="I279" s="159"/>
      <c r="J279" s="159"/>
      <c r="K279" s="159"/>
      <c r="L279" s="159"/>
      <c r="M279" s="159"/>
      <c r="P279" s="159"/>
      <c r="Q279" s="159"/>
      <c r="R279" s="159"/>
      <c r="S279" s="159"/>
    </row>
    <row r="280" spans="2:23">
      <c r="B280" s="5"/>
      <c r="D280" s="5"/>
      <c r="E280" t="s">
        <v>278</v>
      </c>
      <c r="G280" s="159"/>
      <c r="H280" s="159"/>
      <c r="I280" s="159"/>
      <c r="J280" s="159"/>
      <c r="K280" s="159"/>
      <c r="L280" s="159"/>
      <c r="M280" s="159"/>
      <c r="P280" s="159"/>
      <c r="Q280" s="159"/>
      <c r="R280" s="159"/>
      <c r="S280" s="159"/>
    </row>
    <row r="281" spans="2:23">
      <c r="B281" s="5"/>
      <c r="D281" s="5"/>
      <c r="E281" s="204" t="s">
        <v>1097</v>
      </c>
      <c r="F281" s="204"/>
      <c r="G281" s="159"/>
      <c r="H281" s="204"/>
      <c r="I281" s="204"/>
      <c r="J281" s="159"/>
      <c r="K281" s="159"/>
      <c r="L281" s="159"/>
      <c r="M281" s="159"/>
      <c r="P281" s="159"/>
      <c r="Q281" s="159"/>
      <c r="R281" s="159"/>
      <c r="S281" s="159"/>
    </row>
    <row r="282" spans="2:23">
      <c r="B282" s="5"/>
      <c r="D282" s="5"/>
      <c r="E282" s="809" t="s">
        <v>995</v>
      </c>
      <c r="G282" s="159"/>
      <c r="H282" s="204"/>
      <c r="I282" s="204"/>
      <c r="J282" s="159"/>
      <c r="K282" s="159"/>
      <c r="L282" s="159"/>
      <c r="M282" s="159"/>
      <c r="O282" s="159"/>
      <c r="P282" s="159"/>
      <c r="Q282" s="159"/>
      <c r="R282" s="159"/>
      <c r="S282" s="159"/>
    </row>
    <row r="283" spans="2:23">
      <c r="B283" s="5"/>
      <c r="D283" s="5"/>
      <c r="E283" s="159"/>
      <c r="F283" s="159"/>
      <c r="G283" s="159"/>
      <c r="H283" s="159"/>
      <c r="I283" s="159"/>
      <c r="J283" s="159"/>
      <c r="K283" s="159"/>
      <c r="L283" s="159"/>
      <c r="M283" s="159"/>
    </row>
    <row r="284" spans="2:23">
      <c r="B284" s="5"/>
      <c r="D284" s="5" t="s">
        <v>636</v>
      </c>
      <c r="E284" s="5" t="s">
        <v>637</v>
      </c>
      <c r="K284" s="159"/>
      <c r="L284" s="159"/>
      <c r="M284" s="159"/>
      <c r="N284" s="159"/>
    </row>
    <row r="285" spans="2:23">
      <c r="B285" s="5"/>
      <c r="D285" s="159"/>
      <c r="E285" s="159" t="s">
        <v>120</v>
      </c>
      <c r="F285" s="159" t="s">
        <v>638</v>
      </c>
      <c r="G285" s="159"/>
      <c r="O285" s="159"/>
      <c r="P285" s="159"/>
      <c r="Q285" s="159"/>
      <c r="R285" s="159"/>
      <c r="S285" s="159"/>
      <c r="T285" s="159"/>
      <c r="U285" s="159"/>
      <c r="V285" s="159"/>
      <c r="W285" s="159"/>
    </row>
    <row r="286" spans="2:23">
      <c r="B286" s="5"/>
      <c r="D286" s="159"/>
      <c r="E286" s="159"/>
      <c r="F286" s="204" t="s">
        <v>1455</v>
      </c>
      <c r="G286" s="204"/>
      <c r="H286" s="204"/>
      <c r="I286" s="204"/>
      <c r="J286" s="204"/>
      <c r="K286" s="204"/>
      <c r="L286" s="204"/>
      <c r="M286" s="204"/>
      <c r="N286" s="204"/>
      <c r="O286" s="159"/>
      <c r="P286" s="159"/>
      <c r="Q286" s="159"/>
      <c r="R286" s="159"/>
      <c r="S286" s="159"/>
      <c r="T286" s="159"/>
      <c r="U286" s="159"/>
      <c r="V286" s="159"/>
      <c r="W286" s="159"/>
    </row>
    <row r="287" spans="2:23">
      <c r="B287" s="5"/>
      <c r="D287" s="159"/>
      <c r="E287" s="159" t="s">
        <v>121</v>
      </c>
      <c r="F287" s="159" t="s">
        <v>639</v>
      </c>
      <c r="G287" s="159"/>
      <c r="L287" s="159"/>
      <c r="M287" s="159"/>
      <c r="N287" s="159"/>
      <c r="O287" s="159"/>
      <c r="P287" s="159"/>
      <c r="Q287" s="159"/>
      <c r="R287" s="159"/>
      <c r="S287" s="159"/>
      <c r="T287" s="159"/>
      <c r="U287" s="159"/>
      <c r="V287" s="159"/>
      <c r="W287" s="159"/>
    </row>
    <row r="288" spans="2:23">
      <c r="B288" s="5"/>
      <c r="D288" s="159"/>
      <c r="E288" s="159" t="s">
        <v>127</v>
      </c>
      <c r="F288" s="159" t="s">
        <v>279</v>
      </c>
      <c r="G288" s="159"/>
      <c r="H288" s="159"/>
      <c r="K288" s="159"/>
      <c r="L288" s="159"/>
      <c r="M288" s="159"/>
      <c r="N288" s="159"/>
      <c r="O288" s="159"/>
      <c r="P288" s="159"/>
      <c r="Q288" s="159"/>
      <c r="R288" s="159"/>
      <c r="S288" s="159"/>
      <c r="T288" s="159"/>
      <c r="U288" s="159"/>
      <c r="V288" s="159"/>
      <c r="W288" s="159"/>
    </row>
    <row r="289" spans="2:38">
      <c r="B289" s="5"/>
      <c r="D289" s="159"/>
      <c r="E289" s="159"/>
      <c r="F289" s="159" t="s">
        <v>739</v>
      </c>
      <c r="G289" s="159" t="s">
        <v>280</v>
      </c>
      <c r="K289" s="159"/>
      <c r="L289" s="159"/>
      <c r="M289" s="159"/>
      <c r="N289" s="159"/>
      <c r="O289" s="159"/>
      <c r="P289" s="159"/>
      <c r="Q289" s="159"/>
      <c r="R289" s="159"/>
      <c r="S289" s="159"/>
      <c r="T289" s="159"/>
      <c r="U289" s="159"/>
      <c r="V289" s="159"/>
      <c r="W289" s="159"/>
    </row>
    <row r="290" spans="2:38">
      <c r="B290" s="5"/>
      <c r="D290" s="159"/>
      <c r="E290" s="159"/>
      <c r="F290" s="159" t="s">
        <v>377</v>
      </c>
      <c r="G290" s="159" t="s">
        <v>1090</v>
      </c>
      <c r="H290" s="159"/>
      <c r="K290" s="159"/>
      <c r="L290" s="159"/>
      <c r="M290" s="159"/>
      <c r="N290" s="159"/>
      <c r="O290" s="159"/>
      <c r="P290" s="159"/>
      <c r="Q290" s="159"/>
      <c r="R290" s="159"/>
      <c r="S290" s="159"/>
      <c r="T290" s="159"/>
      <c r="U290" s="159"/>
      <c r="V290" s="159"/>
      <c r="W290" s="159"/>
    </row>
    <row r="291" spans="2:38">
      <c r="B291" s="5"/>
      <c r="D291" s="159"/>
      <c r="E291" s="159"/>
      <c r="F291" s="159" t="s">
        <v>378</v>
      </c>
      <c r="G291" s="159" t="s">
        <v>640</v>
      </c>
      <c r="K291" s="159"/>
      <c r="L291" s="159"/>
      <c r="M291" s="159"/>
      <c r="N291" s="159"/>
      <c r="O291" s="159"/>
      <c r="P291" s="159"/>
      <c r="Q291" s="159"/>
      <c r="R291" s="159"/>
      <c r="S291" s="159"/>
      <c r="T291" s="159"/>
      <c r="U291" s="159"/>
      <c r="V291" s="159"/>
      <c r="W291" s="159"/>
    </row>
    <row r="292" spans="2:38">
      <c r="B292" s="5"/>
      <c r="D292" s="159"/>
      <c r="E292" s="159"/>
      <c r="F292" s="159" t="s">
        <v>511</v>
      </c>
      <c r="G292" s="159" t="s">
        <v>281</v>
      </c>
      <c r="H292" s="159"/>
      <c r="K292" s="159"/>
      <c r="L292" s="159"/>
      <c r="M292" s="159"/>
      <c r="N292" s="159"/>
      <c r="O292" s="159"/>
      <c r="P292" s="159"/>
      <c r="Q292" s="159"/>
      <c r="R292" s="159"/>
      <c r="S292" s="159"/>
      <c r="T292" s="159"/>
      <c r="U292" s="159"/>
      <c r="V292" s="159"/>
      <c r="W292" s="159"/>
    </row>
    <row r="293" spans="2:38">
      <c r="B293" s="5"/>
      <c r="D293" s="159"/>
      <c r="E293" s="159"/>
      <c r="F293" s="159" t="s">
        <v>282</v>
      </c>
      <c r="G293" s="159" t="s">
        <v>436</v>
      </c>
      <c r="K293" s="159"/>
      <c r="L293" s="159"/>
      <c r="M293" s="159"/>
      <c r="N293" s="159"/>
      <c r="O293" s="159"/>
      <c r="P293" s="159"/>
      <c r="Q293" s="159"/>
      <c r="R293" s="159"/>
      <c r="S293" s="159"/>
      <c r="T293" s="159"/>
      <c r="U293" s="159"/>
      <c r="V293" s="159"/>
      <c r="W293" s="159"/>
    </row>
    <row r="294" spans="2:38">
      <c r="B294" s="5"/>
      <c r="D294" s="159"/>
      <c r="E294" s="159"/>
      <c r="F294" s="159" t="s">
        <v>283</v>
      </c>
      <c r="G294" s="159" t="s">
        <v>181</v>
      </c>
      <c r="H294" s="159"/>
      <c r="K294" s="159"/>
      <c r="L294" s="159"/>
      <c r="M294" s="159"/>
      <c r="N294" s="159"/>
      <c r="O294" s="159"/>
      <c r="P294" s="159"/>
      <c r="Q294" s="159"/>
      <c r="R294" s="159"/>
      <c r="S294" s="159"/>
      <c r="T294" s="159"/>
      <c r="U294" s="159"/>
      <c r="V294" s="159"/>
      <c r="W294" s="159"/>
    </row>
    <row r="295" spans="2:38">
      <c r="B295" s="5"/>
      <c r="D295" s="159"/>
      <c r="E295" s="159" t="s">
        <v>662</v>
      </c>
      <c r="F295" s="159" t="s">
        <v>836</v>
      </c>
      <c r="G295" s="159"/>
      <c r="K295" s="159"/>
      <c r="L295" s="159"/>
      <c r="M295" s="159"/>
      <c r="N295" s="159"/>
      <c r="O295" s="159"/>
      <c r="P295" s="159"/>
      <c r="Q295" s="159"/>
      <c r="R295" s="159"/>
      <c r="S295" s="159"/>
      <c r="T295" s="159"/>
      <c r="U295" s="159"/>
      <c r="V295" s="159"/>
      <c r="W295" s="159"/>
    </row>
    <row r="296" spans="2:38">
      <c r="B296" s="5"/>
      <c r="D296" s="159"/>
      <c r="E296" s="159" t="s">
        <v>874</v>
      </c>
      <c r="F296" s="159" t="s">
        <v>843</v>
      </c>
      <c r="G296" s="159"/>
      <c r="K296" s="159"/>
      <c r="L296" s="159"/>
      <c r="M296" s="159"/>
      <c r="N296" s="159"/>
      <c r="O296" s="159"/>
      <c r="P296" s="159"/>
      <c r="Q296" s="159"/>
      <c r="R296" s="159"/>
      <c r="S296" s="159"/>
      <c r="T296" s="159"/>
      <c r="U296" s="159"/>
      <c r="V296" s="159"/>
      <c r="W296" s="159"/>
    </row>
    <row r="297" spans="2:38">
      <c r="B297" s="5"/>
      <c r="D297" s="159"/>
      <c r="E297" s="159"/>
      <c r="F297" s="273" t="s">
        <v>1114</v>
      </c>
      <c r="G297" s="204"/>
      <c r="H297" s="204"/>
      <c r="I297" s="273"/>
      <c r="J297" s="273"/>
      <c r="K297" s="273"/>
      <c r="L297" s="273"/>
      <c r="M297" s="199"/>
      <c r="N297" s="199"/>
      <c r="O297" s="199"/>
      <c r="P297" s="199"/>
      <c r="Q297" s="199"/>
      <c r="R297" s="199"/>
      <c r="S297" s="199"/>
      <c r="T297" s="199"/>
      <c r="U297" s="199"/>
      <c r="V297" s="199"/>
      <c r="W297" s="199"/>
      <c r="X297" s="2"/>
      <c r="Y297" s="2"/>
      <c r="Z297" s="2"/>
      <c r="AA297" s="2"/>
      <c r="AB297" s="2"/>
      <c r="AC297" s="2"/>
      <c r="AD297" s="2"/>
      <c r="AE297" s="2"/>
      <c r="AF297" s="2"/>
      <c r="AG297" s="2"/>
      <c r="AH297" s="2"/>
      <c r="AI297" s="2"/>
      <c r="AJ297" s="2"/>
      <c r="AK297" s="2"/>
      <c r="AL297" s="2"/>
    </row>
    <row r="298" spans="2:38">
      <c r="B298" s="5"/>
      <c r="D298" s="159"/>
      <c r="E298" s="159"/>
      <c r="F298" s="273" t="s">
        <v>1115</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1116</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04"/>
      <c r="G300" s="204"/>
      <c r="H300" s="204"/>
      <c r="I300" s="204"/>
      <c r="J300" s="204"/>
      <c r="K300" s="204"/>
      <c r="L300" s="204"/>
      <c r="M300" s="159"/>
      <c r="N300" s="159"/>
      <c r="O300" s="159"/>
      <c r="P300" s="159"/>
      <c r="Q300" s="159"/>
      <c r="R300" s="159"/>
      <c r="S300" s="159"/>
      <c r="T300" s="159"/>
      <c r="U300" s="159"/>
      <c r="V300" s="159"/>
      <c r="W300" s="159"/>
    </row>
    <row r="301" spans="2:38">
      <c r="B301" s="5"/>
      <c r="D301" s="5" t="s">
        <v>634</v>
      </c>
      <c r="E301" s="5" t="s">
        <v>312</v>
      </c>
      <c r="G301" s="159"/>
      <c r="H301" s="159"/>
      <c r="I301" s="159"/>
      <c r="J301" s="159"/>
      <c r="K301" s="159"/>
      <c r="L301" s="159"/>
      <c r="M301" s="159"/>
      <c r="N301" s="159"/>
      <c r="O301" s="159"/>
      <c r="P301" s="159"/>
      <c r="Q301" s="159"/>
      <c r="R301" s="159"/>
      <c r="S301" s="159"/>
      <c r="T301" s="159"/>
      <c r="U301" s="159"/>
      <c r="V301" s="159"/>
      <c r="W301" s="159"/>
    </row>
    <row r="302" spans="2:38">
      <c r="B302" s="5"/>
      <c r="D302" s="5"/>
      <c r="E302" s="159" t="s">
        <v>1098</v>
      </c>
      <c r="F302" s="159"/>
      <c r="K302" s="159"/>
      <c r="L302" s="159"/>
      <c r="M302" s="159"/>
      <c r="N302" s="159"/>
      <c r="O302" s="159"/>
      <c r="P302" s="159"/>
      <c r="Q302" s="159"/>
      <c r="R302" s="159"/>
      <c r="S302" s="159"/>
      <c r="T302" s="159"/>
      <c r="U302" s="159"/>
      <c r="V302" s="159"/>
      <c r="W302" s="159"/>
    </row>
    <row r="303" spans="2:38">
      <c r="B303" s="5"/>
      <c r="D303" s="5"/>
      <c r="E303" s="159" t="s">
        <v>1096</v>
      </c>
      <c r="F303" s="159"/>
      <c r="I303" s="159"/>
      <c r="J303" s="159"/>
      <c r="K303" s="159"/>
      <c r="L303" s="159"/>
      <c r="M303" s="159"/>
      <c r="N303" s="159"/>
      <c r="O303" s="159"/>
      <c r="P303" s="159"/>
      <c r="Q303" s="159"/>
      <c r="R303" s="159"/>
      <c r="S303" s="159"/>
      <c r="T303" s="159"/>
      <c r="U303" s="159"/>
      <c r="V303" s="159"/>
      <c r="W303" s="159"/>
    </row>
    <row r="304" spans="2:38">
      <c r="B304" s="5"/>
      <c r="D304" s="159"/>
      <c r="E304" s="159"/>
      <c r="F304" s="204"/>
      <c r="G304" s="204"/>
      <c r="H304" s="204"/>
      <c r="I304" s="204"/>
      <c r="J304" s="204"/>
      <c r="K304" s="204"/>
      <c r="L304" s="204"/>
      <c r="M304" s="159"/>
      <c r="N304" s="159"/>
      <c r="O304" s="159"/>
      <c r="P304" s="159"/>
      <c r="Q304" s="159"/>
      <c r="R304" s="159"/>
      <c r="S304" s="159"/>
      <c r="T304" s="159"/>
      <c r="U304" s="159"/>
      <c r="V304" s="159"/>
      <c r="W304" s="159"/>
    </row>
    <row r="305" spans="2:19">
      <c r="B305" s="5"/>
      <c r="C305" s="5" t="s">
        <v>7</v>
      </c>
      <c r="D305" s="5"/>
      <c r="F305" s="5"/>
      <c r="G305" s="5" t="s">
        <v>695</v>
      </c>
      <c r="I305" s="159"/>
      <c r="J305" s="159"/>
      <c r="K305" s="159"/>
      <c r="L305" s="159"/>
      <c r="M305" s="159"/>
      <c r="N305" s="159"/>
      <c r="O305" s="159"/>
      <c r="P305" s="159"/>
    </row>
    <row r="306" spans="2:19">
      <c r="B306" s="5"/>
      <c r="D306" s="5" t="s">
        <v>225</v>
      </c>
      <c r="E306" s="5" t="s">
        <v>284</v>
      </c>
      <c r="G306" s="5"/>
      <c r="H306" s="5"/>
      <c r="I306" s="5"/>
      <c r="J306" s="5"/>
      <c r="K306" s="5"/>
      <c r="L306" s="5"/>
      <c r="M306" s="5"/>
      <c r="N306" s="5"/>
      <c r="O306" s="5"/>
      <c r="P306" s="5"/>
      <c r="Q306" s="5"/>
      <c r="R306" s="5"/>
    </row>
    <row r="307" spans="2:19">
      <c r="B307" s="5"/>
      <c r="D307" s="5"/>
      <c r="E307" t="s">
        <v>285</v>
      </c>
      <c r="G307" s="159"/>
      <c r="I307" s="159"/>
      <c r="K307" s="159"/>
    </row>
    <row r="308" spans="2:19">
      <c r="B308" s="5"/>
      <c r="D308" s="5"/>
      <c r="E308" s="159" t="s">
        <v>914</v>
      </c>
      <c r="F308" s="159"/>
      <c r="G308" s="159"/>
      <c r="I308" s="159"/>
      <c r="K308" s="159"/>
    </row>
    <row r="309" spans="2:19">
      <c r="B309" s="5"/>
      <c r="D309" s="5"/>
      <c r="E309" s="159" t="s">
        <v>1099</v>
      </c>
      <c r="F309" s="159"/>
      <c r="G309" s="159"/>
      <c r="I309" s="159"/>
      <c r="K309" s="159"/>
    </row>
    <row r="310" spans="2:19">
      <c r="B310" s="5"/>
      <c r="D310" s="5"/>
      <c r="E310" s="159" t="s">
        <v>915</v>
      </c>
      <c r="F310" s="159"/>
      <c r="G310" s="159"/>
      <c r="I310" s="159"/>
      <c r="K310" s="159"/>
    </row>
    <row r="311" spans="2:19">
      <c r="B311" s="5"/>
      <c r="D311" s="5"/>
      <c r="G311" s="159"/>
      <c r="I311" s="159"/>
      <c r="K311" s="159"/>
    </row>
    <row r="312" spans="2:19">
      <c r="B312" s="5"/>
      <c r="D312" s="5" t="s">
        <v>370</v>
      </c>
      <c r="E312" s="5" t="s">
        <v>845</v>
      </c>
      <c r="G312" s="159"/>
      <c r="H312" s="159"/>
      <c r="I312" s="159"/>
      <c r="J312" s="159"/>
      <c r="K312" s="159"/>
      <c r="P312" s="159"/>
      <c r="Q312" s="159"/>
      <c r="R312" s="159"/>
      <c r="S312" s="159"/>
    </row>
    <row r="313" spans="2:19">
      <c r="B313" s="5"/>
      <c r="D313" s="5"/>
      <c r="E313" t="s">
        <v>286</v>
      </c>
      <c r="G313" s="159"/>
      <c r="I313" s="159"/>
      <c r="J313" s="159"/>
      <c r="K313" s="159"/>
      <c r="L313" s="159"/>
      <c r="M313" s="159"/>
      <c r="N313" s="159"/>
      <c r="O313" s="159"/>
      <c r="P313" s="159"/>
      <c r="Q313" s="159"/>
      <c r="R313" s="159"/>
      <c r="S313" s="159"/>
    </row>
    <row r="314" spans="2:19">
      <c r="B314" s="5"/>
      <c r="D314" s="5"/>
      <c r="G314" s="159"/>
      <c r="I314" s="159"/>
      <c r="J314" s="159"/>
      <c r="K314" s="159"/>
      <c r="L314" s="159"/>
      <c r="M314" s="159"/>
      <c r="N314" s="159"/>
      <c r="O314" s="159"/>
      <c r="P314" s="159"/>
      <c r="Q314" s="159"/>
      <c r="R314" s="159"/>
      <c r="S314" s="159"/>
    </row>
    <row r="315" spans="2:19">
      <c r="B315" s="5"/>
      <c r="D315" s="277" t="s">
        <v>655</v>
      </c>
      <c r="E315" s="277" t="s">
        <v>829</v>
      </c>
      <c r="F315" s="26"/>
      <c r="G315" s="159"/>
      <c r="H315" s="159"/>
      <c r="I315" s="159"/>
      <c r="J315" s="159"/>
      <c r="K315" s="159"/>
      <c r="L315" s="159"/>
      <c r="M315" s="159"/>
      <c r="N315" s="159"/>
      <c r="O315" s="159"/>
      <c r="P315" s="159"/>
      <c r="Q315" s="159"/>
      <c r="R315" s="159"/>
      <c r="S315" s="159"/>
    </row>
    <row r="316" spans="2:19">
      <c r="B316" s="5"/>
      <c r="E316" t="s">
        <v>826</v>
      </c>
      <c r="I316" s="159"/>
      <c r="J316" s="159"/>
      <c r="K316" s="159"/>
      <c r="L316" s="159"/>
      <c r="M316" s="159"/>
      <c r="N316" s="159"/>
      <c r="O316" s="159"/>
      <c r="P316" s="159"/>
      <c r="Q316" s="159"/>
      <c r="R316" s="159"/>
      <c r="S316" s="159"/>
    </row>
    <row r="317" spans="2:19">
      <c r="B317" s="5"/>
      <c r="E317" t="s">
        <v>827</v>
      </c>
      <c r="I317" s="159"/>
      <c r="J317" s="159"/>
      <c r="K317" s="159"/>
      <c r="L317" s="159"/>
      <c r="M317" s="159"/>
      <c r="N317" s="159"/>
      <c r="O317" s="159"/>
      <c r="P317" s="159"/>
      <c r="Q317" s="159"/>
      <c r="R317" s="159"/>
      <c r="S317" s="159"/>
    </row>
    <row r="318" spans="2:19">
      <c r="B318" s="5"/>
      <c r="E318" t="s">
        <v>828</v>
      </c>
      <c r="I318" s="159"/>
      <c r="J318" s="159"/>
      <c r="K318" s="159"/>
      <c r="L318" s="159"/>
      <c r="M318" s="159"/>
      <c r="N318" s="159"/>
      <c r="O318" s="159"/>
      <c r="P318" s="159"/>
      <c r="Q318" s="159"/>
      <c r="R318" s="159"/>
      <c r="S318" s="159"/>
    </row>
    <row r="319" spans="2:19">
      <c r="B319" s="5"/>
      <c r="I319" s="159"/>
      <c r="J319" s="159"/>
      <c r="K319" s="159"/>
      <c r="L319" s="159"/>
      <c r="M319" s="159"/>
      <c r="N319" s="159"/>
      <c r="O319" s="159"/>
      <c r="P319" s="159"/>
      <c r="Q319" s="159"/>
      <c r="R319" s="159"/>
      <c r="S319" s="159"/>
    </row>
    <row r="320" spans="2:19">
      <c r="B320" s="5"/>
      <c r="C320" s="200" t="s">
        <v>8</v>
      </c>
      <c r="G320" s="200" t="s">
        <v>696</v>
      </c>
      <c r="I320" s="159"/>
      <c r="J320" s="159"/>
      <c r="K320" s="159"/>
      <c r="L320" s="159"/>
      <c r="M320" s="159"/>
      <c r="N320" s="159"/>
      <c r="O320" s="159"/>
      <c r="P320" s="159"/>
      <c r="Q320" s="159"/>
      <c r="R320" s="159"/>
      <c r="S320" s="159"/>
    </row>
    <row r="321" spans="1:38">
      <c r="A321" t="s">
        <v>270</v>
      </c>
      <c r="D321" s="5" t="s">
        <v>225</v>
      </c>
      <c r="E321" s="200" t="s">
        <v>696</v>
      </c>
      <c r="J321" s="200"/>
      <c r="K321" s="200"/>
      <c r="L321" s="200"/>
      <c r="M321" s="199"/>
      <c r="N321" s="199"/>
      <c r="O321" s="199"/>
      <c r="P321" s="199"/>
      <c r="Q321" s="199"/>
      <c r="R321" s="199"/>
      <c r="S321" s="159"/>
    </row>
    <row r="322" spans="1:38">
      <c r="E322" t="s">
        <v>120</v>
      </c>
      <c r="F322" s="159" t="s">
        <v>1100</v>
      </c>
      <c r="J322" s="159"/>
      <c r="K322" s="159"/>
      <c r="L322" s="159"/>
      <c r="M322" s="159"/>
      <c r="N322" s="159"/>
      <c r="O322" s="159"/>
      <c r="P322" s="159"/>
      <c r="Q322" s="159"/>
      <c r="R322" s="159"/>
      <c r="S322" s="159"/>
    </row>
    <row r="323" spans="1:38">
      <c r="E323" s="159" t="s">
        <v>121</v>
      </c>
      <c r="F323" t="s">
        <v>830</v>
      </c>
      <c r="J323" s="159"/>
      <c r="K323" s="159"/>
      <c r="L323" s="159"/>
      <c r="M323" s="159"/>
      <c r="N323" s="159"/>
      <c r="O323" s="159"/>
      <c r="P323" s="159"/>
      <c r="Q323" s="159"/>
      <c r="R323" s="159"/>
      <c r="S323" s="159"/>
    </row>
    <row r="324" spans="1:38">
      <c r="F324" s="204" t="s">
        <v>1456</v>
      </c>
      <c r="I324" s="204"/>
      <c r="J324" s="159"/>
      <c r="K324" s="159"/>
      <c r="L324" s="159"/>
      <c r="M324" s="159"/>
      <c r="N324" s="159"/>
      <c r="O324" s="159"/>
      <c r="P324" s="159"/>
      <c r="Q324" s="159"/>
      <c r="R324" s="159"/>
      <c r="S324" s="159"/>
    </row>
    <row r="325" spans="1:38">
      <c r="F325" s="204" t="s">
        <v>1457</v>
      </c>
      <c r="I325" s="204"/>
      <c r="J325" s="159"/>
      <c r="K325" s="159"/>
      <c r="L325" s="159"/>
      <c r="M325" s="159"/>
      <c r="N325" s="159"/>
      <c r="O325" s="159"/>
      <c r="P325" s="159"/>
      <c r="Q325" s="159"/>
      <c r="R325" s="159"/>
      <c r="S325" s="159"/>
    </row>
    <row r="326" spans="1:38">
      <c r="J326" s="159"/>
      <c r="K326" s="159"/>
      <c r="L326" s="159"/>
      <c r="M326" s="159"/>
      <c r="N326" s="159"/>
      <c r="O326" s="159"/>
      <c r="P326" s="159"/>
      <c r="Q326" s="159"/>
      <c r="R326" s="159"/>
      <c r="S326" s="159"/>
    </row>
    <row r="327" spans="1:38">
      <c r="A327" s="11"/>
      <c r="B327" s="20" t="s">
        <v>592</v>
      </c>
      <c r="C327" s="217" t="s">
        <v>26</v>
      </c>
      <c r="D327" s="11"/>
      <c r="E327" s="217"/>
      <c r="F327" s="217"/>
      <c r="G327" s="217"/>
      <c r="H327" s="217"/>
      <c r="I327" s="217"/>
      <c r="J327" s="216"/>
      <c r="K327" s="216"/>
      <c r="L327" s="216"/>
      <c r="M327" s="216"/>
      <c r="N327" s="216"/>
      <c r="O327" s="216"/>
      <c r="P327" s="216"/>
      <c r="Q327" s="216"/>
      <c r="R327" s="216"/>
      <c r="S327" s="216"/>
      <c r="T327" s="11"/>
      <c r="U327" s="11"/>
      <c r="V327" s="11"/>
      <c r="W327" s="11"/>
      <c r="X327" s="11"/>
      <c r="Y327" s="11"/>
      <c r="Z327" s="11"/>
      <c r="AA327" s="11"/>
      <c r="AB327" s="11"/>
      <c r="AC327" s="11"/>
      <c r="AD327" s="11"/>
      <c r="AE327" s="11"/>
      <c r="AF327" s="11"/>
      <c r="AG327" s="11"/>
      <c r="AH327" s="11"/>
      <c r="AI327" s="11"/>
      <c r="AJ327" s="11"/>
      <c r="AK327" s="11"/>
      <c r="AL327" s="11"/>
    </row>
    <row r="328" spans="1:38">
      <c r="A328" s="1"/>
      <c r="B328" s="218"/>
      <c r="C328" s="1"/>
      <c r="D328" s="219"/>
      <c r="E328" s="219"/>
      <c r="F328" s="219"/>
      <c r="G328" s="219"/>
      <c r="H328" s="219"/>
      <c r="I328" s="219"/>
      <c r="J328" s="160"/>
      <c r="K328" s="160"/>
      <c r="L328" s="160"/>
      <c r="M328" s="160"/>
      <c r="N328" s="160"/>
      <c r="O328" s="160"/>
      <c r="P328" s="160"/>
      <c r="Q328" s="160"/>
      <c r="R328" s="160"/>
      <c r="S328" s="160"/>
      <c r="T328" s="1"/>
      <c r="U328" s="1"/>
      <c r="V328" s="1"/>
      <c r="W328" s="1"/>
      <c r="X328" s="1"/>
      <c r="Y328" s="1"/>
      <c r="Z328" s="1"/>
      <c r="AA328" s="1"/>
      <c r="AB328" s="1"/>
      <c r="AC328" s="1"/>
      <c r="AD328" s="1"/>
      <c r="AE328" s="1"/>
      <c r="AF328" s="1"/>
      <c r="AG328" s="1"/>
      <c r="AH328" s="1"/>
      <c r="AI328" s="1"/>
      <c r="AJ328" s="1"/>
      <c r="AK328" s="1"/>
      <c r="AL328" s="1"/>
    </row>
    <row r="329" spans="1:38">
      <c r="B329" s="5"/>
      <c r="C329" s="200" t="s">
        <v>494</v>
      </c>
      <c r="G329" s="219" t="s">
        <v>26</v>
      </c>
      <c r="I329" s="200"/>
      <c r="J329" s="159"/>
      <c r="K329" s="159"/>
      <c r="L329" s="159"/>
      <c r="M329" s="159"/>
      <c r="N329" s="159"/>
      <c r="O329" s="159"/>
      <c r="P329" s="159"/>
      <c r="Q329" s="159"/>
      <c r="R329" s="159"/>
      <c r="S329" s="159"/>
    </row>
    <row r="330" spans="1:38" s="1" customFormat="1">
      <c r="A330"/>
      <c r="B330" s="5"/>
      <c r="C330" s="200"/>
      <c r="D330" s="5" t="s">
        <v>225</v>
      </c>
      <c r="E330" s="5" t="s">
        <v>26</v>
      </c>
      <c r="F330"/>
      <c r="G330" s="219"/>
      <c r="H330"/>
      <c r="I330" s="200"/>
      <c r="J330" s="159"/>
      <c r="K330" s="159"/>
      <c r="L330" s="159"/>
      <c r="M330" s="159"/>
      <c r="N330" s="159"/>
      <c r="O330" s="159"/>
      <c r="P330" s="159"/>
      <c r="Q330" s="159"/>
      <c r="R330" s="159"/>
      <c r="S330" s="159"/>
      <c r="T330"/>
      <c r="U330"/>
      <c r="V330"/>
      <c r="W330"/>
      <c r="X330"/>
      <c r="Y330"/>
      <c r="Z330"/>
      <c r="AA330"/>
      <c r="AB330"/>
      <c r="AC330"/>
      <c r="AD330"/>
      <c r="AE330"/>
      <c r="AF330"/>
      <c r="AG330"/>
      <c r="AH330"/>
      <c r="AI330"/>
      <c r="AJ330"/>
      <c r="AK330"/>
      <c r="AL330"/>
    </row>
    <row r="331" spans="1:38">
      <c r="B331" s="5"/>
      <c r="E331" t="s">
        <v>120</v>
      </c>
      <c r="F331" t="s">
        <v>833</v>
      </c>
      <c r="J331" s="159"/>
      <c r="K331" s="159"/>
      <c r="L331" s="159"/>
      <c r="M331" s="159"/>
      <c r="N331" s="159"/>
      <c r="O331" s="159"/>
      <c r="P331" s="159"/>
      <c r="Q331" s="159"/>
      <c r="R331" s="159"/>
      <c r="S331" s="159"/>
    </row>
    <row r="332" spans="1:38">
      <c r="B332" s="5"/>
      <c r="E332" s="159"/>
      <c r="F332" s="159" t="s">
        <v>834</v>
      </c>
      <c r="J332" s="159"/>
      <c r="K332" s="159"/>
      <c r="L332" s="159"/>
      <c r="M332" s="159"/>
      <c r="N332" s="159"/>
      <c r="O332" s="159"/>
      <c r="P332" s="159"/>
      <c r="Q332" s="159"/>
      <c r="R332" s="159"/>
      <c r="S332" s="159"/>
    </row>
    <row r="333" spans="1:38">
      <c r="B333" s="5"/>
      <c r="E333" s="159"/>
      <c r="F333" s="159" t="s">
        <v>835</v>
      </c>
      <c r="I333" s="159"/>
      <c r="J333" s="159"/>
      <c r="K333" s="159"/>
      <c r="L333" s="159"/>
      <c r="M333" s="159"/>
      <c r="N333" s="159"/>
      <c r="O333" s="159"/>
      <c r="P333" s="159"/>
      <c r="Q333" s="159"/>
      <c r="R333" s="159"/>
      <c r="S333" s="159"/>
    </row>
    <row r="334" spans="1:38">
      <c r="B334" s="5"/>
      <c r="E334" s="159" t="s">
        <v>121</v>
      </c>
      <c r="F334" s="970" t="s">
        <v>1462</v>
      </c>
      <c r="G334" s="970"/>
      <c r="H334" s="970"/>
      <c r="I334" s="970"/>
      <c r="J334" s="970"/>
      <c r="K334" s="970"/>
      <c r="L334" s="970"/>
      <c r="M334" s="970"/>
      <c r="N334" s="970"/>
      <c r="O334" s="970"/>
      <c r="P334" s="970"/>
      <c r="Q334" s="970"/>
      <c r="R334" s="970"/>
      <c r="S334" s="970"/>
      <c r="T334" s="970"/>
      <c r="U334" s="970"/>
      <c r="V334" s="970"/>
      <c r="W334" s="970"/>
      <c r="X334" s="970"/>
      <c r="Y334" s="970"/>
      <c r="Z334" s="970"/>
      <c r="AA334" s="970"/>
      <c r="AB334" s="970"/>
      <c r="AC334" s="970"/>
      <c r="AD334" s="970"/>
      <c r="AE334" s="970"/>
      <c r="AF334" s="970"/>
      <c r="AG334" s="970"/>
      <c r="AH334" s="970"/>
      <c r="AI334" s="970"/>
      <c r="AJ334" s="970"/>
      <c r="AK334" s="970"/>
    </row>
    <row r="335" spans="1:38">
      <c r="B335" s="5"/>
      <c r="E335" s="159"/>
      <c r="F335" s="970"/>
      <c r="G335" s="970"/>
      <c r="H335" s="970"/>
      <c r="I335" s="970"/>
      <c r="J335" s="970"/>
      <c r="K335" s="970"/>
      <c r="L335" s="970"/>
      <c r="M335" s="970"/>
      <c r="N335" s="970"/>
      <c r="O335" s="970"/>
      <c r="P335" s="970"/>
      <c r="Q335" s="970"/>
      <c r="R335" s="970"/>
      <c r="S335" s="970"/>
      <c r="T335" s="970"/>
      <c r="U335" s="970"/>
      <c r="V335" s="970"/>
      <c r="W335" s="970"/>
      <c r="X335" s="970"/>
      <c r="Y335" s="970"/>
      <c r="Z335" s="970"/>
      <c r="AA335" s="970"/>
      <c r="AB335" s="970"/>
      <c r="AC335" s="970"/>
      <c r="AD335" s="970"/>
      <c r="AE335" s="970"/>
      <c r="AF335" s="970"/>
      <c r="AG335" s="970"/>
      <c r="AH335" s="970"/>
      <c r="AI335" s="970"/>
      <c r="AJ335" s="970"/>
      <c r="AK335" s="970"/>
    </row>
    <row r="336" spans="1:38">
      <c r="B336" s="5"/>
      <c r="E336" s="159"/>
      <c r="F336" s="970"/>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1:38">
      <c r="B337" s="5"/>
      <c r="F337" s="159"/>
      <c r="H337" s="159"/>
      <c r="I337" s="159"/>
      <c r="J337" s="159"/>
      <c r="K337" s="159"/>
      <c r="L337" s="159"/>
      <c r="M337" s="159"/>
      <c r="N337" s="159"/>
      <c r="O337" s="159"/>
      <c r="P337" s="159"/>
      <c r="Q337" s="159"/>
      <c r="R337" s="159"/>
      <c r="S337" s="159"/>
    </row>
    <row r="338" spans="1:38" s="789" customFormat="1">
      <c r="B338" s="5"/>
      <c r="C338" s="200" t="s">
        <v>495</v>
      </c>
      <c r="G338" s="219" t="s">
        <v>1460</v>
      </c>
      <c r="I338" s="200"/>
      <c r="J338" s="159"/>
      <c r="K338" s="159"/>
      <c r="L338" s="159"/>
      <c r="M338" s="159"/>
      <c r="N338" s="159"/>
      <c r="O338" s="159"/>
      <c r="P338" s="159"/>
      <c r="Q338" s="159"/>
      <c r="R338" s="159"/>
      <c r="S338" s="159"/>
    </row>
    <row r="339" spans="1:38" s="789" customFormat="1" ht="13.15" customHeight="1">
      <c r="B339" s="5"/>
      <c r="E339" s="969" t="s">
        <v>1587</v>
      </c>
      <c r="F339" s="969"/>
      <c r="G339" s="969"/>
      <c r="H339" s="969"/>
      <c r="I339" s="969"/>
      <c r="J339" s="969"/>
      <c r="K339" s="969"/>
      <c r="L339" s="969"/>
      <c r="M339" s="969"/>
      <c r="N339" s="969"/>
      <c r="O339" s="969"/>
      <c r="P339" s="969"/>
      <c r="Q339" s="969"/>
      <c r="R339" s="969"/>
      <c r="S339" s="969"/>
      <c r="T339" s="969"/>
      <c r="U339" s="969"/>
      <c r="V339" s="969"/>
      <c r="W339" s="969"/>
      <c r="X339" s="969"/>
      <c r="Y339" s="969"/>
      <c r="Z339" s="969"/>
      <c r="AA339" s="969"/>
      <c r="AB339" s="969"/>
      <c r="AC339" s="969"/>
      <c r="AD339" s="969"/>
      <c r="AE339" s="969"/>
      <c r="AF339" s="969"/>
      <c r="AG339" s="969"/>
      <c r="AH339" s="969"/>
      <c r="AI339" s="969"/>
      <c r="AJ339" s="969"/>
      <c r="AK339" s="969"/>
    </row>
    <row r="340" spans="1:38" s="789" customFormat="1">
      <c r="B340" s="5"/>
      <c r="E340" s="969"/>
      <c r="F340" s="969"/>
      <c r="G340" s="969"/>
      <c r="H340" s="969"/>
      <c r="I340" s="969"/>
      <c r="J340" s="969"/>
      <c r="K340" s="969"/>
      <c r="L340" s="969"/>
      <c r="M340" s="969"/>
      <c r="N340" s="969"/>
      <c r="O340" s="969"/>
      <c r="P340" s="969"/>
      <c r="Q340" s="969"/>
      <c r="R340" s="969"/>
      <c r="S340" s="969"/>
      <c r="T340" s="969"/>
      <c r="U340" s="969"/>
      <c r="V340" s="969"/>
      <c r="W340" s="969"/>
      <c r="X340" s="969"/>
      <c r="Y340" s="969"/>
      <c r="Z340" s="969"/>
      <c r="AA340" s="969"/>
      <c r="AB340" s="969"/>
      <c r="AC340" s="969"/>
      <c r="AD340" s="969"/>
      <c r="AE340" s="969"/>
      <c r="AF340" s="969"/>
      <c r="AG340" s="969"/>
      <c r="AH340" s="969"/>
      <c r="AI340" s="969"/>
      <c r="AJ340" s="969"/>
      <c r="AK340" s="969"/>
    </row>
    <row r="341" spans="1:38" s="789" customFormat="1">
      <c r="B341" s="5"/>
      <c r="E341" s="969"/>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1:38" s="789"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1:38" s="789" customFormat="1">
      <c r="B343" s="5"/>
      <c r="E343" s="6" t="s">
        <v>120</v>
      </c>
      <c r="F343" s="970" t="s">
        <v>1461</v>
      </c>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1:38" s="789" customFormat="1">
      <c r="B344" s="5"/>
      <c r="E344" s="6"/>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1:38" s="789" customFormat="1">
      <c r="B345" s="5"/>
      <c r="E345" s="6"/>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1:38" s="789" customFormat="1">
      <c r="B346" s="5"/>
      <c r="E346" s="6" t="s">
        <v>121</v>
      </c>
      <c r="F346" s="970" t="s">
        <v>1595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1:38" s="789" customFormat="1">
      <c r="B347" s="5"/>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1:38" s="789" customFormat="1">
      <c r="B348" s="5"/>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1:38" s="789" customFormat="1">
      <c r="B349" s="5"/>
      <c r="F349" s="159"/>
      <c r="H349" s="159"/>
      <c r="I349" s="159"/>
      <c r="J349" s="159"/>
      <c r="K349" s="159"/>
      <c r="L349" s="159"/>
      <c r="M349" s="159"/>
      <c r="N349" s="159"/>
      <c r="O349" s="159"/>
      <c r="P349" s="159"/>
      <c r="Q349" s="159"/>
      <c r="R349" s="159"/>
      <c r="S349" s="159"/>
    </row>
    <row r="350" spans="1:38">
      <c r="A350" s="11"/>
      <c r="B350" s="20" t="s">
        <v>846</v>
      </c>
      <c r="C350" s="20" t="s">
        <v>697</v>
      </c>
      <c r="D350" s="11"/>
      <c r="E350" s="20"/>
      <c r="F350" s="11"/>
      <c r="G350" s="11"/>
      <c r="H350" s="11"/>
      <c r="I350" s="11"/>
      <c r="J350" s="11"/>
      <c r="K350" s="11"/>
      <c r="L350" s="11"/>
      <c r="M350" s="216"/>
      <c r="N350" s="216"/>
      <c r="O350" s="216"/>
      <c r="P350" s="216"/>
      <c r="Q350" s="216"/>
      <c r="R350" s="216"/>
      <c r="S350" s="216"/>
      <c r="T350" s="216"/>
      <c r="U350" s="11"/>
      <c r="V350" s="11"/>
      <c r="W350" s="11"/>
      <c r="X350" s="11"/>
      <c r="Y350" s="11"/>
      <c r="Z350" s="11"/>
      <c r="AA350" s="11"/>
      <c r="AB350" s="11"/>
      <c r="AC350" s="11"/>
      <c r="AD350" s="11"/>
      <c r="AE350" s="11"/>
      <c r="AF350" s="11"/>
      <c r="AG350" s="11"/>
      <c r="AH350" s="11"/>
      <c r="AI350" s="11"/>
      <c r="AJ350" s="11"/>
      <c r="AK350" s="11"/>
      <c r="AL350" s="11"/>
    </row>
    <row r="351" spans="1:38" s="789" customFormat="1">
      <c r="A351" s="1"/>
      <c r="B351" s="218"/>
      <c r="D351" s="949" t="s">
        <v>1583</v>
      </c>
      <c r="E351" s="218"/>
      <c r="F351" s="1"/>
      <c r="G351" s="1"/>
      <c r="H351" s="1"/>
      <c r="I351" s="1"/>
      <c r="J351" s="1"/>
      <c r="K351" s="1"/>
      <c r="L351" s="1"/>
      <c r="M351" s="160"/>
      <c r="N351" s="160"/>
      <c r="O351" s="160"/>
      <c r="P351" s="160"/>
      <c r="Q351" s="160"/>
      <c r="R351" s="160"/>
      <c r="S351" s="160"/>
      <c r="T351" s="160"/>
      <c r="U351" s="1"/>
      <c r="V351" s="1"/>
      <c r="W351" s="1"/>
      <c r="X351" s="1"/>
      <c r="Y351" s="1"/>
      <c r="Z351" s="1"/>
      <c r="AA351" s="1"/>
      <c r="AB351" s="1"/>
      <c r="AC351" s="1"/>
      <c r="AD351" s="1"/>
      <c r="AE351" s="1"/>
      <c r="AF351" s="1"/>
      <c r="AG351" s="1"/>
      <c r="AH351" s="1"/>
      <c r="AI351" s="1"/>
      <c r="AJ351" s="1"/>
      <c r="AK351" s="1"/>
      <c r="AL351" s="1"/>
    </row>
    <row r="352" spans="1:38">
      <c r="B352" s="5"/>
      <c r="D352" s="949" t="s">
        <v>1584</v>
      </c>
      <c r="E352" s="5"/>
      <c r="M352" s="159"/>
      <c r="N352" s="159"/>
      <c r="O352" s="159"/>
      <c r="P352" s="159"/>
      <c r="Q352" s="159"/>
      <c r="R352" s="159"/>
      <c r="S352" s="159"/>
      <c r="T352" s="159"/>
    </row>
    <row r="353" spans="1:38">
      <c r="B353" s="5"/>
      <c r="I353" s="159"/>
      <c r="J353" s="159"/>
      <c r="K353" s="159"/>
      <c r="L353" s="159"/>
      <c r="M353" s="159"/>
      <c r="N353" s="159"/>
      <c r="O353" s="159"/>
      <c r="P353" s="159"/>
      <c r="Q353" s="159"/>
      <c r="R353" s="159"/>
      <c r="S353" s="159"/>
    </row>
    <row r="354" spans="1:38" s="789" customFormat="1" ht="13.15" customHeight="1">
      <c r="B354" s="5"/>
      <c r="C354" s="5" t="s">
        <v>494</v>
      </c>
      <c r="D354"/>
      <c r="E354"/>
      <c r="F354"/>
      <c r="G354" s="5" t="s">
        <v>1585</v>
      </c>
      <c r="H354"/>
      <c r="I354" s="814"/>
      <c r="J354" s="814"/>
      <c r="K354" s="814"/>
      <c r="L354" s="814"/>
      <c r="M354" s="814"/>
      <c r="N354" s="814"/>
      <c r="O354" s="814"/>
      <c r="P354" s="814"/>
      <c r="Q354" s="814"/>
      <c r="R354" s="814"/>
      <c r="S354" s="814"/>
      <c r="T354" s="814"/>
      <c r="U354" s="814"/>
      <c r="V354" s="814"/>
      <c r="W354" s="814"/>
      <c r="X354" s="814"/>
      <c r="Y354" s="814"/>
      <c r="Z354" s="814"/>
      <c r="AA354" s="814"/>
      <c r="AB354" s="814"/>
      <c r="AC354" s="814"/>
      <c r="AD354" s="814"/>
      <c r="AE354" s="814"/>
      <c r="AF354" s="814"/>
      <c r="AG354" s="814"/>
      <c r="AH354" s="814"/>
      <c r="AI354" s="814"/>
      <c r="AJ354" s="814"/>
      <c r="AK354" s="814"/>
    </row>
    <row r="355" spans="1:38" s="789" customFormat="1" ht="13.15" customHeight="1">
      <c r="B355" s="5"/>
      <c r="C355" s="5"/>
      <c r="E355" s="942"/>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B356" s="5"/>
      <c r="D356" s="5" t="s">
        <v>225</v>
      </c>
      <c r="E356" s="5" t="s">
        <v>130</v>
      </c>
      <c r="I356" s="159"/>
      <c r="J356" s="159"/>
      <c r="K356" s="159"/>
      <c r="L356" s="159"/>
      <c r="M356" s="159"/>
      <c r="N356" s="159"/>
      <c r="O356" s="159"/>
      <c r="P356" s="159"/>
      <c r="Q356" s="159"/>
      <c r="R356" s="159"/>
      <c r="S356" s="159"/>
    </row>
    <row r="357" spans="1:38">
      <c r="B357" s="5"/>
      <c r="E357" t="s">
        <v>120</v>
      </c>
      <c r="F357" s="159" t="s">
        <v>837</v>
      </c>
      <c r="I357" s="159"/>
      <c r="J357" s="159"/>
      <c r="K357" s="159"/>
      <c r="L357" s="159"/>
      <c r="M357" s="159"/>
      <c r="N357" s="159"/>
      <c r="O357" s="159"/>
      <c r="P357" s="159"/>
      <c r="Q357" s="159"/>
      <c r="R357" s="159"/>
      <c r="S357" s="159"/>
    </row>
    <row r="358" spans="1:38">
      <c r="B358" s="5"/>
      <c r="F358" s="159" t="s">
        <v>838</v>
      </c>
      <c r="I358" s="159"/>
      <c r="J358" s="159"/>
      <c r="K358" s="159"/>
      <c r="L358" s="159"/>
      <c r="M358" s="159"/>
      <c r="N358" s="159"/>
      <c r="O358" s="159"/>
      <c r="P358" s="159"/>
      <c r="Q358" s="159"/>
      <c r="R358" s="159"/>
      <c r="S358" s="159"/>
    </row>
    <row r="359" spans="1:38">
      <c r="B359" s="5"/>
      <c r="F359" s="159" t="s">
        <v>998</v>
      </c>
      <c r="G359" s="159"/>
      <c r="K359" s="159"/>
      <c r="L359" s="159"/>
      <c r="M359" s="159"/>
      <c r="N359" s="159"/>
      <c r="O359" s="159"/>
      <c r="P359" s="159"/>
      <c r="Q359" s="159"/>
      <c r="R359" s="159"/>
      <c r="S359" s="159"/>
    </row>
    <row r="360" spans="1:38">
      <c r="B360" s="5"/>
      <c r="E360" t="s">
        <v>121</v>
      </c>
      <c r="F360" s="159" t="s">
        <v>997</v>
      </c>
      <c r="I360" s="159"/>
      <c r="J360" s="159"/>
      <c r="K360" s="159"/>
      <c r="L360" s="159"/>
      <c r="M360" s="160"/>
      <c r="N360" s="160"/>
      <c r="O360" s="160"/>
      <c r="P360" s="160"/>
      <c r="Q360" s="160"/>
      <c r="R360" s="160"/>
      <c r="S360" s="160"/>
      <c r="T360" s="1"/>
      <c r="U360" s="1"/>
      <c r="V360" s="1"/>
      <c r="W360" s="1"/>
      <c r="X360" s="1"/>
      <c r="Y360" s="1"/>
      <c r="Z360" s="1"/>
      <c r="AA360" s="1"/>
      <c r="AB360" s="1"/>
      <c r="AC360" s="1"/>
      <c r="AD360" s="1"/>
      <c r="AE360" s="1"/>
      <c r="AF360" s="1"/>
      <c r="AG360" s="1"/>
      <c r="AH360" s="1"/>
      <c r="AI360" s="1"/>
      <c r="AJ360" s="1"/>
      <c r="AK360" s="1"/>
      <c r="AL360" s="1"/>
    </row>
    <row r="361" spans="1:38">
      <c r="B361" s="5"/>
      <c r="E361" t="s">
        <v>127</v>
      </c>
      <c r="F361" s="159" t="s">
        <v>839</v>
      </c>
      <c r="I361" s="159"/>
      <c r="J361" s="159"/>
      <c r="K361" s="159"/>
      <c r="L361" s="159"/>
      <c r="M361" s="159"/>
      <c r="N361" s="159"/>
      <c r="O361" s="159"/>
      <c r="P361" s="159"/>
      <c r="Q361" s="159"/>
      <c r="R361" s="159"/>
      <c r="S361" s="159"/>
    </row>
    <row r="362" spans="1:38">
      <c r="B362" s="5"/>
      <c r="F362" s="159" t="s">
        <v>840</v>
      </c>
      <c r="J362" s="159"/>
      <c r="K362" s="159"/>
      <c r="L362" s="159"/>
      <c r="M362" s="159"/>
      <c r="N362" s="159"/>
      <c r="O362" s="159"/>
      <c r="P362" s="159"/>
      <c r="Q362" s="159"/>
      <c r="R362" s="159"/>
      <c r="S362" s="159"/>
    </row>
    <row r="363" spans="1:38" s="789" customFormat="1">
      <c r="B363" s="5"/>
      <c r="E363" s="976" t="s">
        <v>1571</v>
      </c>
      <c r="F363" s="976"/>
      <c r="G363" s="976"/>
      <c r="H363" s="976"/>
      <c r="I363" s="976"/>
      <c r="J363" s="976"/>
      <c r="K363" s="976"/>
      <c r="L363" s="976"/>
      <c r="M363" s="976"/>
      <c r="N363" s="976"/>
      <c r="O363" s="976"/>
      <c r="P363" s="976"/>
      <c r="Q363" s="976"/>
      <c r="R363" s="976"/>
      <c r="S363" s="976"/>
      <c r="T363" s="976"/>
      <c r="U363" s="976"/>
      <c r="V363" s="976"/>
      <c r="W363" s="976"/>
      <c r="X363" s="976"/>
      <c r="Y363" s="976"/>
      <c r="Z363" s="976"/>
      <c r="AA363" s="976"/>
      <c r="AB363" s="976"/>
      <c r="AC363" s="976"/>
      <c r="AD363" s="976"/>
      <c r="AE363" s="976"/>
      <c r="AF363" s="976"/>
      <c r="AG363" s="976"/>
      <c r="AH363" s="976"/>
      <c r="AI363" s="976"/>
      <c r="AJ363" s="976"/>
      <c r="AK363" s="976"/>
      <c r="AL363" s="976"/>
    </row>
    <row r="364" spans="1:38" s="789" customFormat="1">
      <c r="B364" s="5"/>
      <c r="E364" s="976"/>
      <c r="F364" s="976"/>
      <c r="G364" s="976"/>
      <c r="H364" s="976"/>
      <c r="I364" s="976"/>
      <c r="J364" s="976"/>
      <c r="K364" s="976"/>
      <c r="L364" s="976"/>
      <c r="M364" s="976"/>
      <c r="N364" s="976"/>
      <c r="O364" s="976"/>
      <c r="P364" s="976"/>
      <c r="Q364" s="976"/>
      <c r="R364" s="976"/>
      <c r="S364" s="976"/>
      <c r="T364" s="976"/>
      <c r="U364" s="976"/>
      <c r="V364" s="976"/>
      <c r="W364" s="976"/>
      <c r="X364" s="976"/>
      <c r="Y364" s="976"/>
      <c r="Z364" s="976"/>
      <c r="AA364" s="976"/>
      <c r="AB364" s="976"/>
      <c r="AC364" s="976"/>
      <c r="AD364" s="976"/>
      <c r="AE364" s="976"/>
      <c r="AF364" s="976"/>
      <c r="AG364" s="976"/>
      <c r="AH364" s="976"/>
      <c r="AI364" s="976"/>
      <c r="AJ364" s="976"/>
      <c r="AK364" s="976"/>
      <c r="AL364" s="976"/>
    </row>
    <row r="365" spans="1:38" s="981" customFormat="1">
      <c r="A365"/>
      <c r="B365" s="5"/>
      <c r="C365"/>
      <c r="D365"/>
      <c r="E365" s="981" t="s">
        <v>1566</v>
      </c>
    </row>
    <row r="366" spans="1:38" s="981" customFormat="1">
      <c r="A366" s="749"/>
      <c r="B366" s="200"/>
      <c r="C366" s="200"/>
      <c r="D366" s="749"/>
    </row>
    <row r="367" spans="1:38" s="789" customFormat="1">
      <c r="A367" s="749"/>
      <c r="B367" s="200"/>
      <c r="C367" s="749"/>
      <c r="D367" s="749"/>
      <c r="E367" s="199"/>
      <c r="F367" s="950"/>
      <c r="G367" s="950"/>
      <c r="H367" s="950"/>
      <c r="I367" s="950"/>
      <c r="J367" s="950"/>
      <c r="K367" s="950"/>
      <c r="L367" s="950"/>
      <c r="M367" s="950"/>
      <c r="N367" s="950"/>
      <c r="O367" s="950"/>
      <c r="P367" s="950"/>
      <c r="Q367" s="950"/>
      <c r="R367" s="950"/>
      <c r="S367" s="950"/>
      <c r="T367" s="950"/>
      <c r="U367" s="950"/>
      <c r="V367" s="950"/>
      <c r="W367" s="950"/>
      <c r="X367" s="950"/>
      <c r="Y367" s="950"/>
      <c r="Z367" s="950"/>
      <c r="AA367" s="950"/>
      <c r="AB367" s="950"/>
      <c r="AC367" s="950"/>
      <c r="AD367" s="950"/>
      <c r="AE367" s="950"/>
      <c r="AF367" s="950"/>
      <c r="AG367" s="950"/>
      <c r="AH367" s="950"/>
      <c r="AI367" s="950"/>
      <c r="AJ367" s="950"/>
      <c r="AK367" s="950"/>
      <c r="AL367" s="749"/>
    </row>
    <row r="368" spans="1:38" s="2" customFormat="1">
      <c r="A368"/>
      <c r="B368" s="5"/>
      <c r="C368"/>
      <c r="D368" s="5" t="s">
        <v>370</v>
      </c>
      <c r="E368" s="5" t="s">
        <v>647</v>
      </c>
      <c r="F368"/>
      <c r="G368"/>
      <c r="H368"/>
      <c r="I368"/>
      <c r="J368" s="159"/>
      <c r="K368" s="159"/>
      <c r="L368" s="159"/>
      <c r="M368" s="159"/>
      <c r="N368" s="159"/>
      <c r="O368" s="159"/>
      <c r="P368" s="159"/>
      <c r="Q368" s="159"/>
      <c r="R368" s="159"/>
      <c r="S368" s="159"/>
      <c r="T368"/>
      <c r="U368"/>
      <c r="V368"/>
      <c r="W368"/>
      <c r="X368"/>
      <c r="Y368"/>
      <c r="Z368"/>
      <c r="AA368"/>
      <c r="AB368"/>
      <c r="AC368"/>
      <c r="AD368"/>
      <c r="AE368"/>
      <c r="AF368"/>
      <c r="AG368"/>
      <c r="AH368"/>
      <c r="AI368"/>
      <c r="AJ368"/>
      <c r="AK368"/>
      <c r="AL368"/>
    </row>
    <row r="369" spans="1:38" s="2" customFormat="1">
      <c r="A369"/>
      <c r="B369" s="5"/>
      <c r="C369"/>
      <c r="D369"/>
      <c r="E369" s="159" t="s">
        <v>841</v>
      </c>
      <c r="F369" s="159"/>
      <c r="G369" s="159"/>
      <c r="H369" s="159"/>
      <c r="I369" s="159"/>
      <c r="J369" s="159"/>
      <c r="K369" s="159"/>
      <c r="L369" s="159"/>
      <c r="M369" s="159"/>
      <c r="N369" s="159"/>
      <c r="O369" s="159"/>
      <c r="P369" s="159"/>
      <c r="Q369" s="159"/>
      <c r="R369" s="159"/>
      <c r="S369" s="159"/>
      <c r="T369"/>
      <c r="U369"/>
      <c r="V369"/>
      <c r="W369"/>
      <c r="X369"/>
      <c r="Y369"/>
      <c r="Z369"/>
      <c r="AA369"/>
      <c r="AB369"/>
      <c r="AC369"/>
      <c r="AD369"/>
      <c r="AE369"/>
      <c r="AF369"/>
      <c r="AG369"/>
      <c r="AH369"/>
      <c r="AI369"/>
      <c r="AJ369"/>
      <c r="AK369"/>
      <c r="AL369"/>
    </row>
    <row r="370" spans="1:38" s="2" customFormat="1">
      <c r="A370"/>
      <c r="B370" s="5"/>
      <c r="C370"/>
      <c r="D370"/>
      <c r="E370" s="159" t="s">
        <v>842</v>
      </c>
      <c r="F370" s="159"/>
      <c r="G370" s="159"/>
      <c r="H370" s="159"/>
      <c r="I370" s="159"/>
      <c r="J370" s="159"/>
      <c r="K370" s="159"/>
      <c r="L370" s="159"/>
      <c r="M370" s="159"/>
      <c r="N370" s="159"/>
      <c r="O370" s="159"/>
      <c r="P370" s="159"/>
      <c r="Q370" s="159"/>
      <c r="R370" s="159"/>
      <c r="S370" s="159"/>
      <c r="T370"/>
      <c r="U370"/>
      <c r="V370"/>
      <c r="W370"/>
      <c r="X370"/>
      <c r="Y370"/>
      <c r="Z370"/>
      <c r="AA370"/>
      <c r="AB370"/>
      <c r="AC370"/>
      <c r="AD370"/>
      <c r="AE370"/>
      <c r="AF370"/>
      <c r="AG370"/>
      <c r="AH370"/>
      <c r="AI370"/>
      <c r="AJ370"/>
      <c r="AK370"/>
      <c r="AL370"/>
    </row>
    <row r="371" spans="1:38" s="2" customFormat="1">
      <c r="A371"/>
      <c r="B371" s="5"/>
      <c r="C371"/>
      <c r="D371"/>
      <c r="E371" s="159"/>
      <c r="F371" s="159"/>
      <c r="G371" s="159"/>
      <c r="H371" s="159"/>
      <c r="I371" s="159"/>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B372" s="200"/>
      <c r="D372" s="200" t="s">
        <v>655</v>
      </c>
      <c r="E372" s="200" t="s">
        <v>303</v>
      </c>
      <c r="J372" s="199"/>
      <c r="K372" s="199"/>
      <c r="L372" s="199"/>
      <c r="M372" s="199"/>
      <c r="N372" s="199"/>
      <c r="O372" s="199"/>
      <c r="P372" s="199"/>
      <c r="Q372" s="199"/>
      <c r="R372" s="199"/>
      <c r="S372" s="199"/>
    </row>
    <row r="373" spans="1:38" s="2" customFormat="1">
      <c r="B373" s="200"/>
      <c r="E373" s="199" t="s">
        <v>120</v>
      </c>
      <c r="F373" s="199" t="s">
        <v>271</v>
      </c>
      <c r="G373" s="199"/>
      <c r="I373" s="199"/>
      <c r="J373" s="199"/>
      <c r="K373" s="199"/>
      <c r="L373" s="199"/>
      <c r="M373" s="199"/>
      <c r="N373" s="199"/>
      <c r="O373" s="199"/>
      <c r="P373" s="199"/>
      <c r="Q373" s="199"/>
      <c r="R373" s="199"/>
      <c r="S373" s="199"/>
    </row>
    <row r="374" spans="1:38" s="2" customFormat="1">
      <c r="B374" s="200"/>
      <c r="E374" s="199"/>
      <c r="F374" s="273" t="s">
        <v>1458</v>
      </c>
      <c r="G374" s="199"/>
      <c r="I374" s="273"/>
      <c r="J374" s="199"/>
      <c r="K374" s="199"/>
      <c r="L374" s="199"/>
      <c r="M374" s="199"/>
      <c r="N374" s="199"/>
      <c r="O374" s="199"/>
      <c r="P374" s="199"/>
      <c r="Q374" s="199"/>
      <c r="R374" s="199"/>
      <c r="S374" s="199"/>
    </row>
    <row r="375" spans="1:38">
      <c r="A375" s="2"/>
      <c r="B375" s="200"/>
      <c r="C375" s="2"/>
      <c r="D375" s="2"/>
      <c r="E375" s="199" t="s">
        <v>121</v>
      </c>
      <c r="F375" s="199" t="s">
        <v>272</v>
      </c>
      <c r="G375" s="199"/>
      <c r="H375" s="2"/>
      <c r="I375" s="273"/>
      <c r="J375" s="199"/>
      <c r="K375" s="199"/>
      <c r="L375" s="199"/>
      <c r="M375" s="199"/>
      <c r="N375" s="199"/>
      <c r="O375" s="199"/>
      <c r="P375" s="199"/>
      <c r="Q375" s="199"/>
      <c r="R375" s="199"/>
      <c r="S375" s="199"/>
      <c r="T375" s="2"/>
      <c r="U375" s="2"/>
      <c r="V375" s="2"/>
      <c r="W375" s="2"/>
      <c r="X375" s="2"/>
      <c r="Y375" s="2"/>
      <c r="Z375" s="2"/>
      <c r="AA375" s="2"/>
      <c r="AB375" s="2"/>
      <c r="AC375" s="2"/>
      <c r="AD375" s="2"/>
      <c r="AE375" s="2"/>
      <c r="AF375" s="2"/>
      <c r="AG375" s="2"/>
      <c r="AH375" s="2"/>
      <c r="AI375" s="2"/>
      <c r="AJ375" s="2"/>
      <c r="AK375" s="2"/>
      <c r="AL375" s="2"/>
    </row>
    <row r="376" spans="1:38" s="789" customFormat="1">
      <c r="A376" s="749"/>
      <c r="B376" s="200"/>
      <c r="C376" s="749"/>
      <c r="D376" s="749"/>
      <c r="E376" s="199"/>
      <c r="F376" s="199"/>
      <c r="G376" s="199"/>
      <c r="H376" s="749"/>
      <c r="I376" s="273"/>
      <c r="J376" s="199"/>
      <c r="K376" s="199"/>
      <c r="L376" s="199"/>
      <c r="M376" s="199"/>
      <c r="N376" s="199"/>
      <c r="O376" s="199"/>
      <c r="P376" s="199"/>
      <c r="Q376" s="199"/>
      <c r="R376" s="199"/>
      <c r="S376" s="199"/>
      <c r="T376" s="749"/>
      <c r="U376" s="749"/>
      <c r="V376" s="749"/>
      <c r="W376" s="749"/>
      <c r="X376" s="749"/>
      <c r="Y376" s="749"/>
      <c r="Z376" s="749"/>
      <c r="AA376" s="749"/>
      <c r="AB376" s="749"/>
      <c r="AC376" s="749"/>
      <c r="AD376" s="749"/>
      <c r="AE376" s="749"/>
      <c r="AF376" s="749"/>
      <c r="AG376" s="749"/>
      <c r="AH376" s="749"/>
      <c r="AI376" s="749"/>
      <c r="AJ376" s="749"/>
      <c r="AK376" s="749"/>
      <c r="AL376" s="749"/>
    </row>
    <row r="377" spans="1:38" s="789" customFormat="1">
      <c r="A377" s="749"/>
      <c r="B377" s="200"/>
      <c r="C377" s="749"/>
      <c r="D377" s="749"/>
      <c r="E377" s="199"/>
      <c r="F377" s="812"/>
      <c r="G377" s="812"/>
      <c r="H377" s="812"/>
      <c r="I377" s="812"/>
      <c r="J377" s="812"/>
      <c r="K377" s="812"/>
      <c r="L377" s="812"/>
      <c r="M377" s="812"/>
      <c r="N377" s="812"/>
      <c r="O377" s="812"/>
      <c r="P377" s="812"/>
      <c r="Q377" s="812"/>
      <c r="R377" s="812"/>
      <c r="S377" s="812"/>
      <c r="T377" s="812"/>
      <c r="U377" s="812"/>
      <c r="V377" s="812"/>
      <c r="W377" s="812"/>
      <c r="X377" s="812"/>
      <c r="Y377" s="812"/>
      <c r="Z377" s="812"/>
      <c r="AA377" s="812"/>
      <c r="AB377" s="812"/>
      <c r="AC377" s="812"/>
      <c r="AD377" s="812"/>
      <c r="AE377" s="812"/>
      <c r="AF377" s="812"/>
      <c r="AG377" s="812"/>
      <c r="AH377" s="812"/>
      <c r="AI377" s="812"/>
      <c r="AJ377" s="812"/>
      <c r="AK377" s="812"/>
      <c r="AL377" s="749"/>
    </row>
    <row r="378" spans="1:38" s="789" customFormat="1">
      <c r="A378" s="749"/>
      <c r="B378" s="200"/>
      <c r="C378" s="200" t="s">
        <v>1586</v>
      </c>
      <c r="D378" s="749"/>
      <c r="E378" s="199"/>
      <c r="F378" s="812"/>
      <c r="G378" s="812"/>
      <c r="H378" s="812"/>
      <c r="I378" s="812"/>
      <c r="J378" s="812"/>
      <c r="K378" s="812"/>
      <c r="L378" s="812"/>
      <c r="M378" s="812"/>
      <c r="N378" s="812"/>
      <c r="O378" s="812"/>
      <c r="P378" s="812"/>
      <c r="Q378" s="812"/>
      <c r="R378" s="812"/>
      <c r="S378" s="812"/>
      <c r="T378" s="812"/>
      <c r="U378" s="812"/>
      <c r="V378" s="812"/>
      <c r="W378" s="812"/>
      <c r="X378" s="812"/>
      <c r="Y378" s="812"/>
      <c r="Z378" s="812"/>
      <c r="AA378" s="812"/>
      <c r="AB378" s="812"/>
      <c r="AC378" s="812"/>
      <c r="AD378" s="812"/>
      <c r="AE378" s="812"/>
      <c r="AF378" s="812"/>
      <c r="AG378" s="812"/>
      <c r="AH378" s="812"/>
      <c r="AI378" s="812"/>
      <c r="AJ378" s="812"/>
      <c r="AK378" s="812"/>
      <c r="AL378" s="749"/>
    </row>
    <row r="379" spans="1:38" s="789" customFormat="1" ht="13.15" customHeight="1">
      <c r="A379" s="749"/>
      <c r="B379" s="200"/>
      <c r="C379" s="749"/>
      <c r="D379" s="749"/>
      <c r="E379" s="199"/>
      <c r="F379" s="814"/>
      <c r="G379" s="814"/>
      <c r="H379" s="814"/>
      <c r="I379" s="814"/>
      <c r="J379" s="814"/>
      <c r="K379" s="814"/>
      <c r="L379" s="814"/>
      <c r="M379" s="814"/>
      <c r="N379" s="814"/>
      <c r="O379" s="814"/>
      <c r="P379" s="814"/>
      <c r="Q379" s="814"/>
      <c r="R379" s="814"/>
      <c r="S379" s="814"/>
      <c r="T379" s="814"/>
      <c r="U379" s="814"/>
      <c r="V379" s="814"/>
      <c r="W379" s="814"/>
      <c r="X379" s="814"/>
      <c r="Y379" s="814"/>
      <c r="Z379" s="814"/>
      <c r="AA379" s="814"/>
      <c r="AB379" s="814"/>
      <c r="AC379" s="814"/>
      <c r="AD379" s="814"/>
      <c r="AE379" s="814"/>
      <c r="AF379" s="814"/>
      <c r="AG379" s="814"/>
      <c r="AH379" s="814"/>
      <c r="AI379" s="814"/>
      <c r="AJ379" s="814"/>
      <c r="AK379" s="814"/>
      <c r="AL379" s="814"/>
    </row>
    <row r="380" spans="1:38" s="789" customFormat="1" ht="13.15" customHeight="1">
      <c r="A380" s="749"/>
      <c r="B380" s="200"/>
      <c r="C380" s="749"/>
      <c r="D380" s="975" t="s">
        <v>1567</v>
      </c>
      <c r="E380" s="975"/>
      <c r="F380" s="975"/>
      <c r="G380" s="975"/>
      <c r="H380" s="975"/>
      <c r="I380" s="975"/>
      <c r="J380" s="975"/>
      <c r="K380" s="975"/>
      <c r="L380" s="975"/>
      <c r="M380" s="975"/>
      <c r="N380" s="975"/>
      <c r="O380" s="975"/>
      <c r="P380" s="975"/>
      <c r="Q380" s="975"/>
      <c r="R380" s="975"/>
      <c r="S380" s="975"/>
      <c r="T380" s="975"/>
      <c r="U380" s="975"/>
      <c r="V380" s="975"/>
      <c r="W380" s="975"/>
      <c r="X380" s="975"/>
      <c r="Y380" s="975"/>
      <c r="Z380" s="975"/>
      <c r="AA380" s="975"/>
      <c r="AB380" s="975"/>
      <c r="AC380" s="975"/>
      <c r="AD380" s="975"/>
      <c r="AE380" s="975"/>
      <c r="AF380" s="975"/>
      <c r="AG380" s="975"/>
      <c r="AH380" s="975"/>
      <c r="AI380" s="975"/>
      <c r="AL380" s="815"/>
    </row>
    <row r="381" spans="1:38" s="789" customFormat="1">
      <c r="A381" s="749"/>
      <c r="B381" s="200"/>
      <c r="C381" s="749"/>
      <c r="D381" s="749"/>
      <c r="E381" s="199"/>
      <c r="F381" s="969" t="s">
        <v>1568</v>
      </c>
      <c r="G381" s="969"/>
      <c r="H381" s="969"/>
      <c r="I381" s="969"/>
      <c r="J381" s="969"/>
      <c r="K381" s="969"/>
      <c r="L381" s="969"/>
      <c r="M381" s="969"/>
      <c r="N381" s="969"/>
      <c r="O381" s="969"/>
      <c r="P381" s="969"/>
      <c r="Q381" s="969"/>
      <c r="R381" s="969"/>
      <c r="S381" s="969"/>
      <c r="T381" s="969"/>
      <c r="U381" s="969"/>
      <c r="V381" s="969"/>
      <c r="W381" s="969"/>
      <c r="X381" s="969"/>
      <c r="Y381" s="969"/>
      <c r="Z381" s="969"/>
      <c r="AA381" s="969"/>
      <c r="AB381" s="969"/>
      <c r="AC381" s="969"/>
      <c r="AD381" s="969"/>
      <c r="AE381" s="969"/>
      <c r="AF381" s="969"/>
      <c r="AG381" s="969"/>
      <c r="AH381" s="969"/>
      <c r="AI381" s="969"/>
      <c r="AJ381" s="969"/>
      <c r="AK381" s="814"/>
      <c r="AL381" s="814"/>
    </row>
    <row r="382" spans="1:38" s="789" customFormat="1">
      <c r="A382" s="749"/>
      <c r="B382" s="200"/>
      <c r="C382" s="749"/>
      <c r="D382" s="749"/>
      <c r="E382" s="199"/>
      <c r="F382" s="969"/>
      <c r="G382" s="969"/>
      <c r="H382" s="969"/>
      <c r="I382" s="969"/>
      <c r="J382" s="969"/>
      <c r="K382" s="969"/>
      <c r="L382" s="969"/>
      <c r="M382" s="969"/>
      <c r="N382" s="969"/>
      <c r="O382" s="969"/>
      <c r="P382" s="969"/>
      <c r="Q382" s="969"/>
      <c r="R382" s="969"/>
      <c r="S382" s="969"/>
      <c r="T382" s="969"/>
      <c r="U382" s="969"/>
      <c r="V382" s="969"/>
      <c r="W382" s="969"/>
      <c r="X382" s="969"/>
      <c r="Y382" s="969"/>
      <c r="Z382" s="969"/>
      <c r="AA382" s="969"/>
      <c r="AB382" s="969"/>
      <c r="AC382" s="969"/>
      <c r="AD382" s="969"/>
      <c r="AE382" s="969"/>
      <c r="AF382" s="969"/>
      <c r="AG382" s="969"/>
      <c r="AH382" s="969"/>
      <c r="AI382" s="969"/>
      <c r="AJ382" s="969"/>
      <c r="AK382" s="814"/>
      <c r="AL382" s="814"/>
    </row>
    <row r="383" spans="1:38" s="789" customFormat="1">
      <c r="A383" s="749"/>
      <c r="B383" s="200"/>
      <c r="C383" s="749"/>
      <c r="D383" s="749"/>
      <c r="E383" s="199"/>
      <c r="F383" s="812"/>
      <c r="G383" s="812"/>
      <c r="H383" s="812"/>
      <c r="I383" s="812"/>
      <c r="J383" s="812"/>
      <c r="K383" s="812"/>
      <c r="L383" s="812"/>
      <c r="M383" s="812"/>
      <c r="N383" s="812"/>
      <c r="O383" s="812"/>
      <c r="P383" s="812"/>
      <c r="Q383" s="812"/>
      <c r="R383" s="812"/>
      <c r="S383" s="812"/>
      <c r="T383" s="812"/>
      <c r="U383" s="812"/>
      <c r="V383" s="812"/>
      <c r="W383" s="812"/>
      <c r="X383" s="812"/>
      <c r="Y383" s="812"/>
      <c r="Z383" s="812"/>
      <c r="AA383" s="812"/>
      <c r="AB383" s="812"/>
      <c r="AC383" s="812"/>
      <c r="AD383" s="812"/>
      <c r="AE383" s="812"/>
      <c r="AF383" s="812"/>
      <c r="AG383" s="812"/>
      <c r="AH383" s="812"/>
      <c r="AI383" s="812"/>
      <c r="AJ383" s="812"/>
      <c r="AK383" s="812"/>
      <c r="AL383" s="815"/>
    </row>
    <row r="384" spans="1:38" s="749" customFormat="1">
      <c r="A384" s="789"/>
      <c r="B384" s="5"/>
      <c r="C384" s="789"/>
      <c r="D384" s="5" t="s">
        <v>591</v>
      </c>
      <c r="E384" s="5" t="s">
        <v>1284</v>
      </c>
      <c r="F384" s="789"/>
      <c r="G384" s="789"/>
      <c r="H384" s="789"/>
      <c r="I384" s="789"/>
      <c r="J384" s="6"/>
      <c r="K384" s="6"/>
      <c r="L384" s="6"/>
      <c r="M384" s="6"/>
      <c r="N384" s="6"/>
      <c r="O384" s="6"/>
      <c r="P384" s="6"/>
      <c r="Q384" s="6"/>
      <c r="R384" s="6"/>
      <c r="S384" s="6"/>
      <c r="T384" s="789"/>
      <c r="U384" s="789"/>
      <c r="V384" s="789"/>
      <c r="W384" s="789"/>
      <c r="X384" s="789"/>
      <c r="Y384" s="789"/>
      <c r="Z384" s="789"/>
      <c r="AA384" s="789"/>
      <c r="AB384" s="789"/>
      <c r="AC384" s="789"/>
      <c r="AD384" s="789"/>
      <c r="AE384" s="789"/>
      <c r="AF384" s="789"/>
      <c r="AG384" s="789"/>
      <c r="AH384" s="789"/>
      <c r="AI384" s="789"/>
      <c r="AJ384" s="789"/>
      <c r="AK384" s="789"/>
      <c r="AL384" s="789"/>
    </row>
    <row r="385" spans="1:38" s="749" customFormat="1">
      <c r="A385" s="789"/>
      <c r="B385" s="5"/>
      <c r="C385" s="789"/>
      <c r="D385" s="5"/>
      <c r="E385" s="6" t="s">
        <v>841</v>
      </c>
      <c r="F385" s="6"/>
      <c r="G385" s="6"/>
      <c r="H385" s="789"/>
      <c r="I385" s="789"/>
      <c r="J385" s="6"/>
      <c r="K385" s="6"/>
      <c r="L385" s="6"/>
      <c r="M385" s="6"/>
      <c r="N385" s="6"/>
      <c r="O385" s="6"/>
      <c r="P385" s="6"/>
      <c r="Q385" s="6"/>
      <c r="R385" s="6"/>
      <c r="S385" s="6"/>
      <c r="T385" s="789"/>
      <c r="U385" s="789"/>
      <c r="V385" s="789"/>
      <c r="W385" s="789"/>
      <c r="X385" s="789"/>
      <c r="Y385" s="789"/>
      <c r="Z385" s="789"/>
      <c r="AA385" s="789"/>
      <c r="AB385" s="789"/>
      <c r="AC385" s="789"/>
      <c r="AD385" s="789"/>
      <c r="AE385" s="789"/>
      <c r="AF385" s="789"/>
      <c r="AG385" s="789"/>
      <c r="AH385" s="789"/>
      <c r="AI385" s="789"/>
      <c r="AJ385" s="789"/>
      <c r="AK385" s="789"/>
      <c r="AL385" s="789"/>
    </row>
    <row r="386" spans="1:38" s="749" customFormat="1">
      <c r="A386" s="789"/>
      <c r="B386" s="5"/>
      <c r="C386" s="789"/>
      <c r="D386" s="5"/>
      <c r="E386" s="6" t="s">
        <v>1463</v>
      </c>
      <c r="F386" s="6"/>
      <c r="G386" s="6"/>
      <c r="H386" s="789"/>
      <c r="I386" s="789"/>
      <c r="J386" s="6"/>
      <c r="K386" s="6"/>
      <c r="L386" s="6"/>
      <c r="M386" s="6"/>
      <c r="N386" s="6"/>
      <c r="O386" s="6"/>
      <c r="P386" s="6"/>
      <c r="Q386" s="6"/>
      <c r="R386" s="6"/>
      <c r="S386" s="6"/>
      <c r="T386" s="789"/>
      <c r="U386" s="789"/>
      <c r="V386" s="789"/>
      <c r="W386" s="789"/>
      <c r="X386" s="789"/>
      <c r="Y386" s="789"/>
      <c r="Z386" s="789"/>
      <c r="AA386" s="789"/>
      <c r="AB386" s="789"/>
      <c r="AC386" s="789"/>
      <c r="AD386" s="789"/>
      <c r="AE386" s="789"/>
      <c r="AF386" s="789"/>
      <c r="AG386" s="789"/>
      <c r="AH386" s="789"/>
      <c r="AI386" s="789"/>
      <c r="AJ386" s="789"/>
      <c r="AK386" s="789"/>
      <c r="AL386" s="789"/>
    </row>
    <row r="387" spans="1:38" s="749" customFormat="1">
      <c r="A387" s="789"/>
      <c r="B387" s="5"/>
      <c r="C387" s="789"/>
      <c r="D387" s="5"/>
      <c r="E387" s="6"/>
      <c r="F387" s="6"/>
      <c r="G387" s="6"/>
      <c r="H387" s="789"/>
      <c r="I387" s="789"/>
      <c r="J387" s="6"/>
      <c r="K387" s="6"/>
      <c r="L387" s="6"/>
      <c r="M387" s="6"/>
      <c r="N387" s="6"/>
      <c r="O387" s="6"/>
      <c r="P387" s="6"/>
      <c r="Q387" s="6"/>
      <c r="R387" s="6"/>
      <c r="S387" s="6"/>
      <c r="T387" s="789"/>
      <c r="U387" s="789"/>
      <c r="V387" s="789"/>
      <c r="W387" s="789"/>
      <c r="X387" s="789"/>
      <c r="Y387" s="789"/>
      <c r="Z387" s="789"/>
      <c r="AA387" s="789"/>
      <c r="AB387" s="789"/>
      <c r="AC387" s="789"/>
      <c r="AD387" s="789"/>
      <c r="AE387" s="789"/>
      <c r="AF387" s="789"/>
      <c r="AG387" s="789"/>
      <c r="AH387" s="789"/>
      <c r="AI387" s="789"/>
      <c r="AJ387" s="789"/>
      <c r="AK387" s="789"/>
      <c r="AL387" s="789"/>
    </row>
    <row r="388" spans="1:38" s="272" customFormat="1">
      <c r="A388" s="789"/>
      <c r="B388" s="5"/>
      <c r="C388" s="789"/>
      <c r="D388" s="5" t="s">
        <v>328</v>
      </c>
      <c r="E388" s="5" t="s">
        <v>305</v>
      </c>
      <c r="F388" s="789"/>
      <c r="G388" s="789"/>
      <c r="H388" s="789"/>
      <c r="I388" s="789"/>
      <c r="J388" s="6"/>
      <c r="K388" s="6"/>
      <c r="L388" s="6"/>
      <c r="M388" s="6"/>
      <c r="N388" s="6"/>
      <c r="O388" s="6"/>
      <c r="P388" s="6"/>
      <c r="Q388" s="6"/>
      <c r="R388" s="6"/>
      <c r="S388" s="6"/>
      <c r="T388" s="789"/>
      <c r="U388" s="789"/>
      <c r="V388" s="789"/>
      <c r="W388" s="789"/>
      <c r="X388" s="789"/>
      <c r="Y388" s="789"/>
      <c r="Z388" s="789"/>
      <c r="AA388" s="789"/>
      <c r="AB388" s="789"/>
      <c r="AC388" s="789"/>
      <c r="AD388" s="789"/>
      <c r="AE388" s="789"/>
      <c r="AF388" s="789"/>
      <c r="AG388" s="789"/>
      <c r="AH388" s="789"/>
      <c r="AI388" s="789"/>
      <c r="AJ388" s="789"/>
      <c r="AK388" s="789"/>
      <c r="AL388" s="789"/>
    </row>
    <row r="389" spans="1:38" s="272" customFormat="1">
      <c r="A389" s="749"/>
      <c r="B389" s="200"/>
      <c r="C389" s="749"/>
      <c r="D389" s="749"/>
      <c r="E389" s="750" t="s">
        <v>120</v>
      </c>
      <c r="F389" s="750" t="s">
        <v>1465</v>
      </c>
      <c r="G389" s="750"/>
      <c r="H389" s="749"/>
      <c r="I389" s="750"/>
      <c r="J389" s="750"/>
      <c r="K389" s="750"/>
      <c r="L389" s="750"/>
      <c r="M389" s="750"/>
      <c r="N389" s="750"/>
      <c r="O389" s="750"/>
      <c r="P389" s="750"/>
      <c r="Q389" s="750"/>
      <c r="R389" s="750"/>
      <c r="S389" s="750"/>
      <c r="T389" s="749"/>
      <c r="U389" s="749"/>
      <c r="V389" s="749"/>
      <c r="W389" s="749"/>
      <c r="X389" s="749"/>
      <c r="Y389" s="749"/>
      <c r="Z389" s="749"/>
      <c r="AA389" s="749"/>
      <c r="AB389" s="749"/>
      <c r="AC389" s="749"/>
      <c r="AD389" s="749"/>
      <c r="AE389" s="749"/>
      <c r="AF389" s="749"/>
      <c r="AG389" s="749"/>
      <c r="AH389" s="749"/>
      <c r="AI389" s="749"/>
      <c r="AJ389" s="749"/>
      <c r="AK389" s="749"/>
      <c r="AL389" s="749"/>
    </row>
    <row r="390" spans="1:38" s="272" customFormat="1">
      <c r="A390" s="749"/>
      <c r="B390" s="200"/>
      <c r="C390" s="749"/>
      <c r="D390" s="749"/>
      <c r="E390" s="750"/>
      <c r="F390" s="273" t="s">
        <v>1464</v>
      </c>
      <c r="G390" s="6"/>
      <c r="H390" s="789"/>
      <c r="I390" s="6"/>
      <c r="J390" s="6"/>
      <c r="K390" s="750"/>
      <c r="L390" s="750"/>
      <c r="M390" s="750"/>
      <c r="N390" s="750"/>
      <c r="O390" s="750"/>
      <c r="P390" s="750"/>
      <c r="Q390" s="750"/>
      <c r="R390" s="750"/>
      <c r="S390" s="750"/>
      <c r="T390" s="749"/>
      <c r="U390" s="749"/>
      <c r="V390" s="749"/>
      <c r="W390" s="749"/>
      <c r="X390" s="749"/>
      <c r="Y390" s="749"/>
      <c r="Z390" s="749"/>
      <c r="AA390" s="749"/>
      <c r="AB390" s="749"/>
      <c r="AC390" s="749"/>
      <c r="AD390" s="749"/>
      <c r="AE390" s="749"/>
      <c r="AF390" s="749"/>
      <c r="AG390" s="749"/>
      <c r="AH390" s="749"/>
      <c r="AI390" s="749"/>
      <c r="AJ390" s="749"/>
      <c r="AK390" s="749"/>
      <c r="AL390" s="749"/>
    </row>
    <row r="391" spans="1:38" s="789" customFormat="1">
      <c r="A391" s="749"/>
      <c r="B391" s="200"/>
      <c r="C391" s="749"/>
      <c r="D391" s="749"/>
      <c r="E391" s="750" t="s">
        <v>121</v>
      </c>
      <c r="F391" s="968" t="s">
        <v>1572</v>
      </c>
      <c r="G391" s="968"/>
      <c r="H391" s="968"/>
      <c r="I391" s="968"/>
      <c r="J391" s="968"/>
      <c r="K391" s="968"/>
      <c r="L391" s="968"/>
      <c r="M391" s="968"/>
      <c r="N391" s="968"/>
      <c r="O391" s="968"/>
      <c r="P391" s="968"/>
      <c r="Q391" s="968"/>
      <c r="R391" s="968"/>
      <c r="S391" s="968"/>
      <c r="T391" s="968"/>
      <c r="U391" s="968"/>
      <c r="V391" s="968"/>
      <c r="W391" s="968"/>
      <c r="X391" s="968"/>
      <c r="Y391" s="968"/>
      <c r="Z391" s="968"/>
      <c r="AA391" s="968"/>
      <c r="AB391" s="968"/>
      <c r="AC391" s="968"/>
      <c r="AD391" s="968"/>
      <c r="AE391" s="968"/>
      <c r="AF391" s="968"/>
      <c r="AG391" s="968"/>
      <c r="AH391" s="968"/>
      <c r="AI391" s="968"/>
      <c r="AJ391" s="968"/>
      <c r="AK391" s="968"/>
      <c r="AL391" s="749"/>
    </row>
    <row r="392" spans="1:38" s="789" customFormat="1">
      <c r="A392" s="749"/>
      <c r="B392" s="200"/>
      <c r="C392" s="749"/>
      <c r="D392" s="749"/>
      <c r="E392" s="750"/>
      <c r="F392" s="968"/>
      <c r="G392" s="968"/>
      <c r="H392" s="968"/>
      <c r="I392" s="968"/>
      <c r="J392" s="968"/>
      <c r="K392" s="968"/>
      <c r="L392" s="968"/>
      <c r="M392" s="968"/>
      <c r="N392" s="968"/>
      <c r="O392" s="968"/>
      <c r="P392" s="968"/>
      <c r="Q392" s="968"/>
      <c r="R392" s="968"/>
      <c r="S392" s="968"/>
      <c r="T392" s="968"/>
      <c r="U392" s="968"/>
      <c r="V392" s="968"/>
      <c r="W392" s="968"/>
      <c r="X392" s="968"/>
      <c r="Y392" s="968"/>
      <c r="Z392" s="968"/>
      <c r="AA392" s="968"/>
      <c r="AB392" s="968"/>
      <c r="AC392" s="968"/>
      <c r="AD392" s="968"/>
      <c r="AE392" s="968"/>
      <c r="AF392" s="968"/>
      <c r="AG392" s="968"/>
      <c r="AH392" s="968"/>
      <c r="AI392" s="968"/>
      <c r="AJ392" s="968"/>
      <c r="AK392" s="968"/>
      <c r="AL392" s="749"/>
    </row>
    <row r="393" spans="1:38" s="789" customFormat="1">
      <c r="A393" s="749"/>
      <c r="B393" s="200"/>
      <c r="C393" s="749"/>
      <c r="D393" s="749"/>
      <c r="E393" s="750"/>
      <c r="F393" s="968"/>
      <c r="G393" s="968"/>
      <c r="H393" s="968"/>
      <c r="I393" s="968"/>
      <c r="J393" s="968"/>
      <c r="K393" s="968"/>
      <c r="L393" s="968"/>
      <c r="M393" s="968"/>
      <c r="N393" s="968"/>
      <c r="O393" s="968"/>
      <c r="P393" s="968"/>
      <c r="Q393" s="968"/>
      <c r="R393" s="968"/>
      <c r="S393" s="968"/>
      <c r="T393" s="968"/>
      <c r="U393" s="968"/>
      <c r="V393" s="968"/>
      <c r="W393" s="968"/>
      <c r="X393" s="968"/>
      <c r="Y393" s="968"/>
      <c r="Z393" s="968"/>
      <c r="AA393" s="968"/>
      <c r="AB393" s="968"/>
      <c r="AC393" s="968"/>
      <c r="AD393" s="968"/>
      <c r="AE393" s="968"/>
      <c r="AF393" s="968"/>
      <c r="AG393" s="968"/>
      <c r="AH393" s="968"/>
      <c r="AI393" s="968"/>
      <c r="AJ393" s="968"/>
      <c r="AK393" s="968"/>
      <c r="AL393" s="749"/>
    </row>
    <row r="394" spans="1:38" s="789" customFormat="1">
      <c r="A394" s="749"/>
      <c r="B394" s="200"/>
      <c r="C394" s="749"/>
      <c r="D394" s="749"/>
      <c r="E394" s="199"/>
      <c r="F394" s="812"/>
      <c r="G394" s="812"/>
      <c r="H394" s="812"/>
      <c r="I394" s="812"/>
      <c r="J394" s="812"/>
      <c r="K394" s="812"/>
      <c r="L394" s="812"/>
      <c r="M394" s="812"/>
      <c r="N394" s="812"/>
      <c r="O394" s="812"/>
      <c r="P394" s="812"/>
      <c r="Q394" s="812"/>
      <c r="R394" s="812"/>
      <c r="S394" s="812"/>
      <c r="T394" s="812"/>
      <c r="U394" s="812"/>
      <c r="V394" s="812"/>
      <c r="W394" s="812"/>
      <c r="X394" s="812"/>
      <c r="Y394" s="812"/>
      <c r="Z394" s="812"/>
      <c r="AA394" s="812"/>
      <c r="AB394" s="812"/>
      <c r="AC394" s="812"/>
      <c r="AD394" s="812"/>
      <c r="AE394" s="812"/>
      <c r="AF394" s="812"/>
      <c r="AG394" s="812"/>
      <c r="AH394" s="812"/>
      <c r="AI394" s="812"/>
      <c r="AJ394" s="812"/>
      <c r="AK394" s="812"/>
      <c r="AL394" s="815"/>
    </row>
    <row r="395" spans="1:38" s="789" customFormat="1">
      <c r="A395" s="749"/>
      <c r="B395" s="200"/>
      <c r="C395" s="200"/>
      <c r="D395" s="749"/>
      <c r="E395" s="750"/>
      <c r="F395" s="750"/>
      <c r="G395" s="200"/>
      <c r="H395" s="749"/>
      <c r="I395" s="273"/>
      <c r="J395" s="750"/>
      <c r="K395" s="750"/>
      <c r="L395" s="750"/>
      <c r="M395" s="750"/>
      <c r="N395" s="750"/>
      <c r="O395" s="750"/>
      <c r="P395" s="750"/>
      <c r="Q395" s="750"/>
      <c r="R395" s="750"/>
      <c r="S395" s="750"/>
      <c r="T395" s="749"/>
      <c r="U395" s="749"/>
      <c r="V395" s="749"/>
      <c r="W395" s="749"/>
      <c r="X395" s="749"/>
      <c r="Y395" s="749"/>
      <c r="Z395" s="749"/>
      <c r="AA395" s="749"/>
      <c r="AB395" s="749"/>
      <c r="AC395" s="749"/>
      <c r="AD395" s="749"/>
      <c r="AE395" s="749"/>
      <c r="AF395" s="749"/>
      <c r="AG395" s="749"/>
      <c r="AH395" s="749"/>
      <c r="AI395" s="749"/>
      <c r="AJ395" s="749"/>
      <c r="AK395" s="749"/>
      <c r="AL395" s="749"/>
    </row>
    <row r="396" spans="1:38" s="789" customFormat="1" ht="13.15" customHeight="1">
      <c r="A396" s="749"/>
      <c r="B396" s="200"/>
      <c r="C396" s="749"/>
      <c r="D396" s="749"/>
      <c r="E396" s="750"/>
      <c r="F396" s="968"/>
      <c r="G396" s="968"/>
      <c r="H396" s="968"/>
      <c r="I396" s="968"/>
      <c r="J396" s="968"/>
      <c r="K396" s="968"/>
      <c r="L396" s="968"/>
      <c r="M396" s="968"/>
      <c r="N396" s="968"/>
      <c r="O396" s="968"/>
      <c r="P396" s="968"/>
      <c r="Q396" s="968"/>
      <c r="R396" s="968"/>
      <c r="S396" s="968"/>
      <c r="T396" s="968"/>
      <c r="U396" s="968"/>
      <c r="V396" s="968"/>
      <c r="W396" s="968"/>
      <c r="X396" s="968"/>
      <c r="Y396" s="968"/>
      <c r="Z396" s="968"/>
      <c r="AA396" s="968"/>
      <c r="AB396" s="968"/>
      <c r="AC396" s="968"/>
      <c r="AD396" s="968"/>
      <c r="AE396" s="968"/>
      <c r="AF396" s="968"/>
      <c r="AG396" s="968"/>
      <c r="AH396" s="968"/>
      <c r="AI396" s="968"/>
      <c r="AJ396" s="968"/>
      <c r="AK396" s="968"/>
      <c r="AL396" s="749"/>
    </row>
    <row r="397" spans="1:38">
      <c r="B397" s="5"/>
      <c r="F397" s="814"/>
      <c r="G397" s="814"/>
      <c r="H397" s="814"/>
      <c r="I397" s="814"/>
      <c r="J397" s="814"/>
      <c r="K397" s="814"/>
      <c r="L397" s="814"/>
      <c r="M397" s="814"/>
      <c r="N397" s="814"/>
      <c r="O397" s="814"/>
      <c r="P397" s="814"/>
      <c r="Q397" s="814"/>
      <c r="R397" s="814"/>
      <c r="S397" s="814"/>
      <c r="T397" s="814"/>
      <c r="U397" s="814"/>
      <c r="V397" s="814"/>
      <c r="W397" s="814"/>
      <c r="X397" s="814"/>
      <c r="Y397" s="814"/>
      <c r="Z397" s="814"/>
      <c r="AA397" s="814"/>
      <c r="AB397" s="814"/>
      <c r="AC397" s="814"/>
      <c r="AD397" s="814"/>
      <c r="AE397" s="814"/>
      <c r="AF397" s="814"/>
      <c r="AG397" s="814"/>
      <c r="AH397" s="814"/>
      <c r="AI397" s="814"/>
      <c r="AJ397" s="814"/>
      <c r="AK397" s="814"/>
      <c r="AL397" s="814"/>
    </row>
    <row r="398" spans="1:38" s="272" customFormat="1" hidden="1">
      <c r="A398"/>
      <c r="B398" s="5"/>
      <c r="C398"/>
      <c r="D398"/>
      <c r="E398"/>
      <c r="F398"/>
      <c r="G398"/>
      <c r="H398"/>
      <c r="I398"/>
      <c r="J398"/>
      <c r="K398"/>
      <c r="L398"/>
      <c r="M398"/>
      <c r="N398"/>
      <c r="O398"/>
      <c r="P398"/>
      <c r="Q398"/>
      <c r="R398"/>
      <c r="S398" s="159"/>
      <c r="T398"/>
      <c r="U398"/>
      <c r="V398"/>
      <c r="W398"/>
      <c r="X398"/>
      <c r="Y398"/>
      <c r="Z398"/>
      <c r="AA398"/>
      <c r="AB398"/>
      <c r="AC398"/>
      <c r="AD398"/>
      <c r="AE398"/>
      <c r="AF398"/>
      <c r="AG398"/>
      <c r="AH398"/>
      <c r="AI398"/>
      <c r="AJ398"/>
      <c r="AK398"/>
      <c r="AL398"/>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hidden="1">
      <c r="B400" s="5"/>
      <c r="S400" s="159"/>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D411" s="5"/>
      <c r="E411" s="159"/>
      <c r="F411" s="159"/>
      <c r="G411" s="159"/>
      <c r="H411" s="159"/>
      <c r="I411" s="159"/>
      <c r="J411" s="159"/>
      <c r="K411" s="159"/>
      <c r="L411" s="159"/>
      <c r="M411" s="159"/>
      <c r="N411" s="159"/>
      <c r="O411" s="159"/>
      <c r="P411" s="159"/>
      <c r="Q411" s="159"/>
      <c r="R411" s="159"/>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L422" s="159"/>
      <c r="M422" s="159"/>
      <c r="N422" s="159"/>
      <c r="O422" s="159"/>
      <c r="P422" s="159"/>
      <c r="Q422" s="159"/>
      <c r="R422" s="159"/>
      <c r="S422" s="159"/>
    </row>
    <row r="423" spans="2:19" hidden="1">
      <c r="J423" s="159"/>
      <c r="K423" s="159"/>
      <c r="L423" s="159"/>
      <c r="M423" s="159"/>
      <c r="N423" s="159"/>
      <c r="O423" s="159"/>
      <c r="P423" s="159"/>
      <c r="Q423" s="159"/>
      <c r="R423" s="159"/>
      <c r="S423" s="159"/>
    </row>
    <row r="424" spans="2:19" hidden="1">
      <c r="B424" s="5"/>
      <c r="D424" s="5"/>
      <c r="E424" s="159"/>
      <c r="F424" s="159"/>
      <c r="G424" s="159"/>
      <c r="H424" s="159"/>
      <c r="I424" s="159"/>
      <c r="J424" s="159"/>
      <c r="K424" s="159"/>
      <c r="L424" s="159"/>
      <c r="M424" s="159"/>
      <c r="N424" s="159"/>
      <c r="O424" s="159"/>
      <c r="P424" s="159"/>
      <c r="Q424" s="159"/>
      <c r="R424" s="159"/>
      <c r="S424" s="159"/>
    </row>
    <row r="425" spans="2:19" hidden="1">
      <c r="B425" s="5"/>
      <c r="C425" s="5"/>
      <c r="D425" s="5"/>
      <c r="E425" s="159"/>
      <c r="F425" s="159"/>
      <c r="G425" s="159"/>
      <c r="H425" s="159"/>
      <c r="I425" s="159"/>
      <c r="J425" s="159"/>
      <c r="K425" s="159"/>
      <c r="L425" s="159"/>
      <c r="M425" s="159"/>
      <c r="N425" s="159"/>
      <c r="O425" s="159"/>
      <c r="P425" s="159"/>
      <c r="Q425" s="159"/>
      <c r="R425" s="159"/>
      <c r="S425" s="159"/>
    </row>
    <row r="426" spans="2:19" hidden="1">
      <c r="D426" s="5"/>
    </row>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c r="A442" s="12"/>
      <c r="B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row>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E2FF"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9">
    <mergeCell ref="E365:XFD366"/>
    <mergeCell ref="F39:XFD40"/>
    <mergeCell ref="G203:AK204"/>
    <mergeCell ref="G87:AK89"/>
    <mergeCell ref="G91:AK92"/>
    <mergeCell ref="G94:AK96"/>
    <mergeCell ref="E97:AK98"/>
    <mergeCell ref="E130:AK131"/>
    <mergeCell ref="G83:AK85"/>
    <mergeCell ref="G63:AK65"/>
    <mergeCell ref="G69:AK70"/>
    <mergeCell ref="G53:AK53"/>
    <mergeCell ref="G55:I55"/>
    <mergeCell ref="A1:AL2"/>
    <mergeCell ref="F343:AK345"/>
    <mergeCell ref="F334:AK336"/>
    <mergeCell ref="E14:AK15"/>
    <mergeCell ref="E26:AK27"/>
    <mergeCell ref="E30:AK30"/>
    <mergeCell ref="D29:AK29"/>
    <mergeCell ref="D7:AK9"/>
    <mergeCell ref="D11:AK13"/>
    <mergeCell ref="D17:AK25"/>
    <mergeCell ref="F391:AK393"/>
    <mergeCell ref="F396:AK396"/>
    <mergeCell ref="E339:AK342"/>
    <mergeCell ref="F346:AK348"/>
    <mergeCell ref="D32:AK33"/>
    <mergeCell ref="F47:AK49"/>
    <mergeCell ref="G71:AK72"/>
    <mergeCell ref="G66:AK67"/>
    <mergeCell ref="G79:AK81"/>
    <mergeCell ref="E34:AK34"/>
    <mergeCell ref="E35:AK35"/>
    <mergeCell ref="G56:AL57"/>
    <mergeCell ref="F42:AL44"/>
    <mergeCell ref="F381:AJ382"/>
    <mergeCell ref="D380:AI380"/>
    <mergeCell ref="E363:AL364"/>
  </mergeCells>
  <phoneticPr fontId="0" type="noConversion"/>
  <hyperlinks>
    <hyperlink ref="E35" r:id="rId2" xr:uid="{00000000-0004-0000-0000-000000000000}"/>
    <hyperlink ref="E30" r:id="rId3" xr:uid="{00000000-0004-0000-0000-000001000000}"/>
    <hyperlink ref="E34" r:id="rId4" xr:uid="{00000000-0004-0000-0000-000002000000}"/>
    <hyperlink ref="E34:AK34" r:id="rId5" display="http://www.treasurer.ca.gov/ctcac/assignments.asp" xr:uid="{00000000-0004-0000-0000-000003000000}"/>
    <hyperlink ref="E30:AK30" r:id="rId6" display="https://www.treasurer.ca.gov/ctcac/2019/submittals/non_competitive.asp" xr:uid="{00000000-0004-0000-0000-000004000000}"/>
    <hyperlink ref="E35:AK35"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59" max="67" man="1"/>
    <brk id="99" max="67" man="1"/>
    <brk id="158" max="67" man="1"/>
    <brk id="218" max="67" man="1"/>
    <brk id="277" max="67" man="1"/>
    <brk id="326" max="67" man="1"/>
    <brk id="349"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I205"/>
  <sheetViews>
    <sheetView tabSelected="1" topLeftCell="A43" zoomScaleNormal="100" zoomScaleSheetLayoutView="100" workbookViewId="0"/>
  </sheetViews>
  <sheetFormatPr defaultColWidth="0" defaultRowHeight="12.75" zeroHeight="1"/>
  <cols>
    <col min="1" max="1" width="3.7109375" customWidth="1"/>
    <col min="2" max="2" width="27.7109375" customWidth="1"/>
    <col min="3" max="3" width="9.140625" style="38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73" t="s">
        <v>1000</v>
      </c>
      <c r="B1" s="373"/>
    </row>
    <row r="2" spans="1:34"/>
    <row r="3" spans="1:34" ht="15.75">
      <c r="A3" s="374" t="s">
        <v>939</v>
      </c>
      <c r="B3" s="374"/>
      <c r="C3" s="408" t="s">
        <v>940</v>
      </c>
      <c r="D3" s="380"/>
      <c r="E3" s="409" t="s">
        <v>941</v>
      </c>
      <c r="F3" s="355"/>
      <c r="G3" s="409" t="s">
        <v>942</v>
      </c>
      <c r="H3" s="355"/>
      <c r="I3" s="409" t="s">
        <v>943</v>
      </c>
      <c r="J3" s="355"/>
      <c r="K3" s="409" t="s">
        <v>944</v>
      </c>
      <c r="L3" s="355"/>
      <c r="M3" s="409" t="s">
        <v>945</v>
      </c>
      <c r="N3" s="355"/>
      <c r="O3" s="409" t="s">
        <v>946</v>
      </c>
      <c r="P3" s="355"/>
      <c r="Q3" s="409" t="s">
        <v>947</v>
      </c>
      <c r="R3" s="355"/>
      <c r="S3" s="409" t="s">
        <v>948</v>
      </c>
      <c r="T3" s="355"/>
      <c r="U3" s="409" t="s">
        <v>949</v>
      </c>
      <c r="V3" s="355"/>
      <c r="W3" s="409" t="s">
        <v>950</v>
      </c>
      <c r="X3" s="355"/>
      <c r="Y3" s="409" t="s">
        <v>951</v>
      </c>
      <c r="Z3" s="355"/>
      <c r="AA3" s="409" t="s">
        <v>952</v>
      </c>
      <c r="AB3" s="355"/>
      <c r="AC3" s="409" t="s">
        <v>953</v>
      </c>
      <c r="AD3" s="355"/>
      <c r="AE3" s="409" t="s">
        <v>954</v>
      </c>
      <c r="AF3" s="355"/>
      <c r="AG3" s="409" t="s">
        <v>955</v>
      </c>
      <c r="AH3" s="380"/>
    </row>
    <row r="4" spans="1:34" s="388" customFormat="1" ht="14.25">
      <c r="A4" s="388" t="s">
        <v>957</v>
      </c>
      <c r="C4" s="412">
        <v>1.0249999999999999</v>
      </c>
      <c r="E4" s="388">
        <f>Application!Y781</f>
        <v>1029324</v>
      </c>
      <c r="G4" s="388">
        <f>E4*$C$4</f>
        <v>1055057.0999999999</v>
      </c>
      <c r="I4" s="388">
        <f>G4*$C$4</f>
        <v>1081433.5274999999</v>
      </c>
      <c r="K4" s="388">
        <f>I4*$C$4</f>
        <v>1108469.3656874998</v>
      </c>
      <c r="M4" s="388">
        <f>K4*$C$4</f>
        <v>1136181.099829687</v>
      </c>
      <c r="O4" s="388">
        <f>M4*$C$4</f>
        <v>1164585.6273254291</v>
      </c>
      <c r="Q4" s="388">
        <f>O4*$C$4</f>
        <v>1193700.2680085648</v>
      </c>
      <c r="S4" s="388">
        <f>Q4*$C$4</f>
        <v>1223542.7747087788</v>
      </c>
      <c r="U4" s="388">
        <f>S4*$C$4</f>
        <v>1254131.3440764982</v>
      </c>
      <c r="W4" s="388">
        <f>U4*$C$4</f>
        <v>1285484.6276784106</v>
      </c>
      <c r="Y4" s="388">
        <f>W4*$C$4</f>
        <v>1317621.7433703707</v>
      </c>
      <c r="AA4" s="388">
        <f>Y4*$C$4</f>
        <v>1350562.2869546299</v>
      </c>
      <c r="AC4" s="388">
        <f>AA4*$C$4</f>
        <v>1384326.3441284955</v>
      </c>
      <c r="AE4" s="388">
        <f>AC4*$C$4</f>
        <v>1418934.5027317079</v>
      </c>
      <c r="AG4" s="388">
        <f>AE4*$C$4</f>
        <v>1454407.8653000004</v>
      </c>
    </row>
    <row r="5" spans="1:34" s="372" customFormat="1" ht="14.25">
      <c r="B5" s="372" t="s">
        <v>958</v>
      </c>
      <c r="C5" s="413">
        <f>IF(Application!$D$210="Special Needs",0.1,0.05)</f>
        <v>0.05</v>
      </c>
      <c r="E5" s="390">
        <f>-E4*$C$5</f>
        <v>-51466.200000000004</v>
      </c>
      <c r="F5" s="390"/>
      <c r="G5" s="390">
        <f>-G4*$C$5</f>
        <v>-52752.854999999996</v>
      </c>
      <c r="H5" s="390"/>
      <c r="I5" s="390">
        <f>-I4*$C$5</f>
        <v>-54071.676374999995</v>
      </c>
      <c r="J5" s="390"/>
      <c r="K5" s="390">
        <f>-K4*$C$5</f>
        <v>-55423.468284374991</v>
      </c>
      <c r="L5" s="390"/>
      <c r="M5" s="390">
        <f>-M4*$C$5</f>
        <v>-56809.054991484358</v>
      </c>
      <c r="N5" s="390"/>
      <c r="O5" s="390">
        <f>-O4*$C$5</f>
        <v>-58229.281366271462</v>
      </c>
      <c r="P5" s="390"/>
      <c r="Q5" s="390">
        <f>-Q4*$C$5</f>
        <v>-59685.013400428244</v>
      </c>
      <c r="R5" s="390"/>
      <c r="S5" s="390">
        <f>-S4*$C$5</f>
        <v>-61177.138735438944</v>
      </c>
      <c r="T5" s="390"/>
      <c r="U5" s="390">
        <f>-U4*$C$5</f>
        <v>-62706.56720382491</v>
      </c>
      <c r="V5" s="390"/>
      <c r="W5" s="390">
        <f>-W4*$C$5</f>
        <v>-64274.231383920531</v>
      </c>
      <c r="X5" s="390"/>
      <c r="Y5" s="390">
        <f>-Y4*$C$5</f>
        <v>-65881.087168518541</v>
      </c>
      <c r="Z5" s="390"/>
      <c r="AA5" s="390">
        <f>-AA4*$C$5</f>
        <v>-67528.114347731505</v>
      </c>
      <c r="AB5" s="390"/>
      <c r="AC5" s="390">
        <f>-AC4*$C$5</f>
        <v>-69216.317206424777</v>
      </c>
      <c r="AD5" s="390"/>
      <c r="AE5" s="390">
        <f>-AE4*$C$5</f>
        <v>-70946.725136585403</v>
      </c>
      <c r="AF5" s="390"/>
      <c r="AG5" s="390">
        <f>-AG4*$C$5</f>
        <v>-72720.393265000021</v>
      </c>
    </row>
    <row r="6" spans="1:34" s="372" customFormat="1" ht="14.25">
      <c r="A6" s="372" t="s">
        <v>956</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25">
      <c r="B7" s="372" t="s">
        <v>958</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25">
      <c r="A8" s="372" t="s">
        <v>311</v>
      </c>
      <c r="C8" s="412">
        <v>1.0249999999999999</v>
      </c>
      <c r="E8" s="391">
        <f>Application!Z797</f>
        <v>42120</v>
      </c>
      <c r="F8" s="391"/>
      <c r="G8" s="391">
        <f>E8*$C$8</f>
        <v>43172.999999999993</v>
      </c>
      <c r="H8" s="391"/>
      <c r="I8" s="391">
        <f>G8*$C$8</f>
        <v>44252.32499999999</v>
      </c>
      <c r="J8" s="391"/>
      <c r="K8" s="391">
        <f>I8*$C$8</f>
        <v>45358.633124999986</v>
      </c>
      <c r="L8" s="391"/>
      <c r="M8" s="391">
        <f>K8*$C$8</f>
        <v>46492.59895312498</v>
      </c>
      <c r="N8" s="391"/>
      <c r="O8" s="391">
        <f>M8*$C$8</f>
        <v>47654.913926953101</v>
      </c>
      <c r="P8" s="391"/>
      <c r="Q8" s="391">
        <f>O8*$C$8</f>
        <v>48846.286775126922</v>
      </c>
      <c r="R8" s="391"/>
      <c r="S8" s="391">
        <f>Q8*$C$8</f>
        <v>50067.443944505088</v>
      </c>
      <c r="T8" s="391"/>
      <c r="U8" s="391">
        <f>S8*$C$8</f>
        <v>51319.130043117708</v>
      </c>
      <c r="V8" s="391"/>
      <c r="W8" s="391">
        <f>U8*$C$8</f>
        <v>52602.108294195648</v>
      </c>
      <c r="X8" s="391"/>
      <c r="Y8" s="391">
        <f>W8*$C$8</f>
        <v>53917.161001550536</v>
      </c>
      <c r="Z8" s="391"/>
      <c r="AA8" s="391">
        <f>Y8*$C$8</f>
        <v>55265.090026589292</v>
      </c>
      <c r="AB8" s="391"/>
      <c r="AC8" s="391">
        <f>AA8*$C$8</f>
        <v>56646.717277254022</v>
      </c>
      <c r="AD8" s="391"/>
      <c r="AE8" s="391">
        <f>AC8*$C$8</f>
        <v>58062.88520918537</v>
      </c>
      <c r="AF8" s="391"/>
      <c r="AG8" s="391">
        <f>AE8*$C$8</f>
        <v>59514.457339414999</v>
      </c>
    </row>
    <row r="9" spans="1:34" s="372" customFormat="1" ht="14.25">
      <c r="B9" s="372" t="s">
        <v>958</v>
      </c>
      <c r="C9" s="413">
        <f>IF(Application!$D$210="Special Needs",0.1,0.05)</f>
        <v>0.05</v>
      </c>
      <c r="E9" s="410">
        <f>-E8*$C$9</f>
        <v>-2106</v>
      </c>
      <c r="F9" s="390"/>
      <c r="G9" s="410">
        <f>-G8*$C$9</f>
        <v>-2158.6499999999996</v>
      </c>
      <c r="H9" s="390"/>
      <c r="I9" s="410">
        <f>-I8*$C$9</f>
        <v>-2212.6162499999996</v>
      </c>
      <c r="J9" s="390"/>
      <c r="K9" s="410">
        <f>-K8*$C$9</f>
        <v>-2267.9316562499994</v>
      </c>
      <c r="L9" s="390"/>
      <c r="M9" s="410">
        <f>-M8*$C$9</f>
        <v>-2324.629947656249</v>
      </c>
      <c r="N9" s="390"/>
      <c r="O9" s="410">
        <f>-O8*$C$9</f>
        <v>-2382.7456963476552</v>
      </c>
      <c r="P9" s="390"/>
      <c r="Q9" s="410">
        <f>-Q8*$C$9</f>
        <v>-2442.3143387563464</v>
      </c>
      <c r="R9" s="390"/>
      <c r="S9" s="410">
        <f>-S8*$C$9</f>
        <v>-2503.3721972252547</v>
      </c>
      <c r="T9" s="390"/>
      <c r="U9" s="410">
        <f>-U8*$C$9</f>
        <v>-2565.9565021558856</v>
      </c>
      <c r="V9" s="390"/>
      <c r="W9" s="410">
        <f>-W8*$C$9</f>
        <v>-2630.1054147097825</v>
      </c>
      <c r="X9" s="390"/>
      <c r="Y9" s="410">
        <f>-Y8*$C$9</f>
        <v>-2695.858050077527</v>
      </c>
      <c r="Z9" s="390"/>
      <c r="AA9" s="410">
        <f>-AA8*$C$9</f>
        <v>-2763.2545013294648</v>
      </c>
      <c r="AB9" s="390"/>
      <c r="AC9" s="410">
        <f>-AC8*$C$9</f>
        <v>-2832.3358638627014</v>
      </c>
      <c r="AD9" s="390"/>
      <c r="AE9" s="410">
        <f>-AE8*$C$9</f>
        <v>-2903.1442604592685</v>
      </c>
      <c r="AF9" s="390"/>
      <c r="AG9" s="410">
        <f>-AG8*$C$9</f>
        <v>-2975.7228669707501</v>
      </c>
    </row>
    <row r="10" spans="1:34" s="392" customFormat="1" ht="15">
      <c r="A10" s="392" t="s">
        <v>980</v>
      </c>
      <c r="C10" s="383"/>
      <c r="E10" s="392">
        <f>SUM(E4:E9)</f>
        <v>1017871.8</v>
      </c>
      <c r="G10" s="392">
        <f>SUM(G4:G9)</f>
        <v>1043318.5949999999</v>
      </c>
      <c r="I10" s="392">
        <f>SUM(I4:I9)</f>
        <v>1069401.5598749998</v>
      </c>
      <c r="K10" s="392">
        <f>SUM(K4:K9)</f>
        <v>1096136.5988718746</v>
      </c>
      <c r="M10" s="392">
        <f>SUM(M4:M9)</f>
        <v>1123540.0138436714</v>
      </c>
      <c r="O10" s="392">
        <f>SUM(O4:O9)</f>
        <v>1151628.514189763</v>
      </c>
      <c r="Q10" s="392">
        <f>SUM(Q4:Q9)</f>
        <v>1180419.2270445072</v>
      </c>
      <c r="S10" s="392">
        <f>SUM(S4:S9)</f>
        <v>1209929.7077206199</v>
      </c>
      <c r="U10" s="392">
        <f>SUM(U4:U9)</f>
        <v>1240177.9504136352</v>
      </c>
      <c r="W10" s="392">
        <f>SUM(W4:W9)</f>
        <v>1271182.3991739759</v>
      </c>
      <c r="Y10" s="392">
        <f>SUM(Y4:Y9)</f>
        <v>1302961.9591533253</v>
      </c>
      <c r="AA10" s="392">
        <f>SUM(AA4:AA9)</f>
        <v>1335536.0081321583</v>
      </c>
      <c r="AC10" s="392">
        <f>SUM(AC4:AC9)</f>
        <v>1368924.4083354622</v>
      </c>
      <c r="AE10" s="392">
        <f>SUM(AE4:AE9)</f>
        <v>1403147.5185438485</v>
      </c>
      <c r="AG10" s="392">
        <f>SUM(AG4:AG9)</f>
        <v>1438226.2065074446</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75">
      <c r="A12" s="374" t="s">
        <v>959</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25">
      <c r="A13" s="372" t="s">
        <v>960</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25">
      <c r="A14" s="388" t="s">
        <v>961</v>
      </c>
      <c r="C14" s="403"/>
      <c r="E14" s="388">
        <f>Application!W827</f>
        <v>35746</v>
      </c>
      <c r="G14" s="388">
        <f>E14*$C$13</f>
        <v>36997.11</v>
      </c>
      <c r="I14" s="388">
        <f>G14*$C$13</f>
        <v>38292.008849999998</v>
      </c>
      <c r="K14" s="388">
        <f>I14*$C$13</f>
        <v>39632.229159749993</v>
      </c>
      <c r="M14" s="388">
        <f>K14*$C$13</f>
        <v>41019.357180341241</v>
      </c>
      <c r="O14" s="388">
        <f>M14*$C$13</f>
        <v>42455.034681653182</v>
      </c>
      <c r="Q14" s="388">
        <f>O14*$C$13</f>
        <v>43940.960895511038</v>
      </c>
      <c r="S14" s="388">
        <f>Q14*$C$13</f>
        <v>45478.894526853917</v>
      </c>
      <c r="U14" s="388">
        <f>S14*$C$13</f>
        <v>47070.655835293801</v>
      </c>
      <c r="W14" s="388">
        <f>U14*$C$13</f>
        <v>48718.128789529081</v>
      </c>
      <c r="Y14" s="388">
        <f>W14*$C$13</f>
        <v>50423.263297162594</v>
      </c>
      <c r="AA14" s="388">
        <f>Y14*$C$13</f>
        <v>52188.077512563279</v>
      </c>
      <c r="AC14" s="388">
        <f>AA14*$C$13</f>
        <v>54014.660225502987</v>
      </c>
      <c r="AE14" s="388">
        <f>AC14*$C$13</f>
        <v>55905.173333395585</v>
      </c>
      <c r="AG14" s="388">
        <f>AE14*$C$13</f>
        <v>57861.854400064425</v>
      </c>
    </row>
    <row r="15" spans="1:34" s="372" customFormat="1" ht="14.25">
      <c r="A15" s="372" t="s">
        <v>373</v>
      </c>
      <c r="C15" s="402"/>
      <c r="E15" s="391">
        <f>Application!W829</f>
        <v>35292</v>
      </c>
      <c r="F15" s="391"/>
      <c r="G15" s="391">
        <f t="shared" ref="G15:AG20" si="0">E15*$C$13</f>
        <v>36527.219999999994</v>
      </c>
      <c r="H15" s="391"/>
      <c r="I15" s="391">
        <f t="shared" si="0"/>
        <v>37805.672699999988</v>
      </c>
      <c r="J15" s="391"/>
      <c r="K15" s="391">
        <f t="shared" si="0"/>
        <v>39128.871244499984</v>
      </c>
      <c r="L15" s="391"/>
      <c r="M15" s="391">
        <f t="shared" si="0"/>
        <v>40498.381738057476</v>
      </c>
      <c r="N15" s="391"/>
      <c r="O15" s="391">
        <f t="shared" si="0"/>
        <v>41915.825098889487</v>
      </c>
      <c r="P15" s="391"/>
      <c r="Q15" s="391">
        <f t="shared" si="0"/>
        <v>43382.878977350614</v>
      </c>
      <c r="R15" s="391"/>
      <c r="S15" s="391">
        <f t="shared" si="0"/>
        <v>44901.279741557883</v>
      </c>
      <c r="T15" s="391"/>
      <c r="U15" s="391">
        <f t="shared" si="0"/>
        <v>46472.824532512408</v>
      </c>
      <c r="V15" s="391"/>
      <c r="W15" s="391">
        <f t="shared" si="0"/>
        <v>48099.373391150337</v>
      </c>
      <c r="X15" s="391"/>
      <c r="Y15" s="391">
        <f t="shared" si="0"/>
        <v>49782.851459840596</v>
      </c>
      <c r="Z15" s="391"/>
      <c r="AA15" s="391">
        <f t="shared" si="0"/>
        <v>51525.251260935016</v>
      </c>
      <c r="AB15" s="391"/>
      <c r="AC15" s="391">
        <f t="shared" si="0"/>
        <v>53328.635055067738</v>
      </c>
      <c r="AD15" s="391"/>
      <c r="AE15" s="391">
        <f t="shared" si="0"/>
        <v>55195.137281995107</v>
      </c>
      <c r="AF15" s="391"/>
      <c r="AG15" s="391">
        <f t="shared" si="0"/>
        <v>57126.967086864934</v>
      </c>
    </row>
    <row r="16" spans="1:34" s="372" customFormat="1" ht="14.25">
      <c r="A16" s="372" t="s">
        <v>640</v>
      </c>
      <c r="C16" s="402"/>
      <c r="E16" s="391">
        <f>Application!W835</f>
        <v>145159</v>
      </c>
      <c r="F16" s="391"/>
      <c r="G16" s="391">
        <f t="shared" si="0"/>
        <v>150239.565</v>
      </c>
      <c r="H16" s="391"/>
      <c r="I16" s="391">
        <f t="shared" si="0"/>
        <v>155497.94977499999</v>
      </c>
      <c r="J16" s="391"/>
      <c r="K16" s="391">
        <f t="shared" si="0"/>
        <v>160940.37801712498</v>
      </c>
      <c r="L16" s="391"/>
      <c r="M16" s="391">
        <f t="shared" si="0"/>
        <v>166573.29124772435</v>
      </c>
      <c r="N16" s="391"/>
      <c r="O16" s="391">
        <f t="shared" si="0"/>
        <v>172403.35644139469</v>
      </c>
      <c r="P16" s="391"/>
      <c r="Q16" s="391">
        <f t="shared" si="0"/>
        <v>178437.47391684348</v>
      </c>
      <c r="R16" s="391"/>
      <c r="S16" s="391">
        <f t="shared" si="0"/>
        <v>184682.78550393297</v>
      </c>
      <c r="T16" s="391"/>
      <c r="U16" s="391">
        <f t="shared" si="0"/>
        <v>191146.6829965706</v>
      </c>
      <c r="V16" s="391"/>
      <c r="W16" s="391">
        <f t="shared" si="0"/>
        <v>197836.81690145054</v>
      </c>
      <c r="X16" s="391"/>
      <c r="Y16" s="391">
        <f t="shared" si="0"/>
        <v>204761.10549300129</v>
      </c>
      <c r="Z16" s="391"/>
      <c r="AA16" s="391">
        <f t="shared" si="0"/>
        <v>211927.74418525631</v>
      </c>
      <c r="AB16" s="391"/>
      <c r="AC16" s="391">
        <f t="shared" si="0"/>
        <v>219345.21523174027</v>
      </c>
      <c r="AD16" s="391"/>
      <c r="AE16" s="391">
        <f t="shared" si="0"/>
        <v>227022.29776485116</v>
      </c>
      <c r="AF16" s="391"/>
      <c r="AG16" s="391">
        <f t="shared" si="0"/>
        <v>234968.07818662093</v>
      </c>
    </row>
    <row r="17" spans="1:33" s="372" customFormat="1" ht="14.25">
      <c r="A17" s="372" t="s">
        <v>962</v>
      </c>
      <c r="C17" s="402"/>
      <c r="E17" s="391">
        <f>Application!W840</f>
        <v>91704</v>
      </c>
      <c r="F17" s="391"/>
      <c r="G17" s="391">
        <f t="shared" si="0"/>
        <v>94913.64</v>
      </c>
      <c r="H17" s="391"/>
      <c r="I17" s="391">
        <f t="shared" si="0"/>
        <v>98235.617399999988</v>
      </c>
      <c r="J17" s="391"/>
      <c r="K17" s="391">
        <f t="shared" si="0"/>
        <v>101673.86400899998</v>
      </c>
      <c r="L17" s="391"/>
      <c r="M17" s="391">
        <f t="shared" si="0"/>
        <v>105232.44924931497</v>
      </c>
      <c r="N17" s="391"/>
      <c r="O17" s="391">
        <f t="shared" si="0"/>
        <v>108915.58497304098</v>
      </c>
      <c r="P17" s="391"/>
      <c r="Q17" s="391">
        <f t="shared" si="0"/>
        <v>112727.63044709741</v>
      </c>
      <c r="R17" s="391"/>
      <c r="S17" s="391">
        <f t="shared" si="0"/>
        <v>116673.09751274581</v>
      </c>
      <c r="T17" s="391"/>
      <c r="U17" s="391">
        <f t="shared" si="0"/>
        <v>120756.6559256919</v>
      </c>
      <c r="V17" s="391"/>
      <c r="W17" s="391">
        <f t="shared" si="0"/>
        <v>124983.1388830911</v>
      </c>
      <c r="X17" s="391"/>
      <c r="Y17" s="391">
        <f t="shared" si="0"/>
        <v>129357.54874399929</v>
      </c>
      <c r="Z17" s="391"/>
      <c r="AA17" s="391">
        <f t="shared" si="0"/>
        <v>133885.06295003925</v>
      </c>
      <c r="AB17" s="391"/>
      <c r="AC17" s="391">
        <f t="shared" si="0"/>
        <v>138571.04015329061</v>
      </c>
      <c r="AD17" s="391"/>
      <c r="AE17" s="391">
        <f t="shared" si="0"/>
        <v>143421.02655865578</v>
      </c>
      <c r="AF17" s="391"/>
      <c r="AG17" s="391">
        <f t="shared" si="0"/>
        <v>148440.76248820871</v>
      </c>
    </row>
    <row r="18" spans="1:33" s="372" customFormat="1" ht="14.25">
      <c r="A18" s="372" t="s">
        <v>166</v>
      </c>
      <c r="C18" s="402"/>
      <c r="E18" s="391">
        <f>Application!W841</f>
        <v>18440</v>
      </c>
      <c r="F18" s="391"/>
      <c r="G18" s="391">
        <f t="shared" si="0"/>
        <v>19085.399999999998</v>
      </c>
      <c r="H18" s="391"/>
      <c r="I18" s="391">
        <f t="shared" si="0"/>
        <v>19753.388999999996</v>
      </c>
      <c r="J18" s="391"/>
      <c r="K18" s="391">
        <f t="shared" si="0"/>
        <v>20444.757614999995</v>
      </c>
      <c r="L18" s="391"/>
      <c r="M18" s="391">
        <f t="shared" si="0"/>
        <v>21160.324131524994</v>
      </c>
      <c r="N18" s="391"/>
      <c r="O18" s="391">
        <f t="shared" si="0"/>
        <v>21900.935476128368</v>
      </c>
      <c r="P18" s="391"/>
      <c r="Q18" s="391">
        <f t="shared" si="0"/>
        <v>22667.468217792859</v>
      </c>
      <c r="R18" s="391"/>
      <c r="S18" s="391">
        <f t="shared" si="0"/>
        <v>23460.829605415609</v>
      </c>
      <c r="T18" s="391"/>
      <c r="U18" s="391">
        <f t="shared" si="0"/>
        <v>24281.958641605153</v>
      </c>
      <c r="V18" s="391"/>
      <c r="W18" s="391">
        <f t="shared" si="0"/>
        <v>25131.82719406133</v>
      </c>
      <c r="X18" s="391"/>
      <c r="Y18" s="391">
        <f t="shared" si="0"/>
        <v>26011.441145853474</v>
      </c>
      <c r="Z18" s="391"/>
      <c r="AA18" s="391">
        <f t="shared" si="0"/>
        <v>26921.841585958344</v>
      </c>
      <c r="AB18" s="391"/>
      <c r="AC18" s="391">
        <f t="shared" si="0"/>
        <v>27864.106041466883</v>
      </c>
      <c r="AD18" s="391"/>
      <c r="AE18" s="391">
        <f t="shared" si="0"/>
        <v>28839.34975291822</v>
      </c>
      <c r="AF18" s="391"/>
      <c r="AG18" s="391">
        <f t="shared" si="0"/>
        <v>29848.726994270357</v>
      </c>
    </row>
    <row r="19" spans="1:33" s="372" customFormat="1" ht="14.25">
      <c r="A19" s="372" t="s">
        <v>436</v>
      </c>
      <c r="C19" s="402"/>
      <c r="E19" s="391">
        <f>Application!W850</f>
        <v>122945</v>
      </c>
      <c r="F19" s="391"/>
      <c r="G19" s="391">
        <f t="shared" si="0"/>
        <v>127248.075</v>
      </c>
      <c r="H19" s="391"/>
      <c r="I19" s="391">
        <f t="shared" si="0"/>
        <v>131701.757625</v>
      </c>
      <c r="J19" s="391"/>
      <c r="K19" s="391">
        <f t="shared" si="0"/>
        <v>136311.31914187499</v>
      </c>
      <c r="L19" s="391"/>
      <c r="M19" s="391">
        <f t="shared" si="0"/>
        <v>141082.21531184061</v>
      </c>
      <c r="N19" s="391"/>
      <c r="O19" s="391">
        <f t="shared" si="0"/>
        <v>146020.09284775503</v>
      </c>
      <c r="P19" s="391"/>
      <c r="Q19" s="391">
        <f t="shared" si="0"/>
        <v>151130.79609742644</v>
      </c>
      <c r="R19" s="391"/>
      <c r="S19" s="391">
        <f t="shared" si="0"/>
        <v>156420.37396083635</v>
      </c>
      <c r="T19" s="391"/>
      <c r="U19" s="391">
        <f t="shared" si="0"/>
        <v>161895.08704946563</v>
      </c>
      <c r="V19" s="391"/>
      <c r="W19" s="391">
        <f t="shared" si="0"/>
        <v>167561.4150961969</v>
      </c>
      <c r="X19" s="391"/>
      <c r="Y19" s="391">
        <f t="shared" si="0"/>
        <v>173426.06462456379</v>
      </c>
      <c r="Z19" s="391"/>
      <c r="AA19" s="391">
        <f t="shared" si="0"/>
        <v>179495.97688642351</v>
      </c>
      <c r="AB19" s="391"/>
      <c r="AC19" s="391">
        <f t="shared" si="0"/>
        <v>185778.33607744833</v>
      </c>
      <c r="AD19" s="391"/>
      <c r="AE19" s="391">
        <f t="shared" si="0"/>
        <v>192280.57784015901</v>
      </c>
      <c r="AF19" s="391"/>
      <c r="AG19" s="391">
        <f t="shared" si="0"/>
        <v>199010.39806456456</v>
      </c>
    </row>
    <row r="20" spans="1:33" s="372" customFormat="1" ht="14.25">
      <c r="A20" s="395" t="s">
        <v>1113</v>
      </c>
      <c r="B20" s="395"/>
      <c r="C20" s="402"/>
      <c r="E20" s="401">
        <f>Application!W857</f>
        <v>0</v>
      </c>
      <c r="F20" s="391"/>
      <c r="G20" s="401">
        <f t="shared" si="0"/>
        <v>0</v>
      </c>
      <c r="H20" s="391"/>
      <c r="I20" s="401">
        <f t="shared" si="0"/>
        <v>0</v>
      </c>
      <c r="J20" s="391"/>
      <c r="K20" s="401">
        <f t="shared" si="0"/>
        <v>0</v>
      </c>
      <c r="L20" s="391"/>
      <c r="M20" s="401">
        <f t="shared" si="0"/>
        <v>0</v>
      </c>
      <c r="N20" s="391"/>
      <c r="O20" s="401">
        <f t="shared" si="0"/>
        <v>0</v>
      </c>
      <c r="P20" s="391"/>
      <c r="Q20" s="401">
        <f t="shared" si="0"/>
        <v>0</v>
      </c>
      <c r="R20" s="391"/>
      <c r="S20" s="401">
        <f t="shared" si="0"/>
        <v>0</v>
      </c>
      <c r="T20" s="391"/>
      <c r="U20" s="401">
        <f t="shared" si="0"/>
        <v>0</v>
      </c>
      <c r="V20" s="391"/>
      <c r="W20" s="401">
        <f t="shared" si="0"/>
        <v>0</v>
      </c>
      <c r="X20" s="391"/>
      <c r="Y20" s="401">
        <f t="shared" si="0"/>
        <v>0</v>
      </c>
      <c r="Z20" s="391"/>
      <c r="AA20" s="401">
        <f t="shared" si="0"/>
        <v>0</v>
      </c>
      <c r="AB20" s="391"/>
      <c r="AC20" s="401">
        <f t="shared" si="0"/>
        <v>0</v>
      </c>
      <c r="AD20" s="391"/>
      <c r="AE20" s="401">
        <f t="shared" si="0"/>
        <v>0</v>
      </c>
      <c r="AF20" s="391"/>
      <c r="AG20" s="401">
        <f t="shared" si="0"/>
        <v>0</v>
      </c>
    </row>
    <row r="21" spans="1:33" s="392" customFormat="1" ht="15">
      <c r="A21" s="392" t="s">
        <v>963</v>
      </c>
      <c r="C21" s="402"/>
      <c r="E21" s="392">
        <f>SUM(E14:E20)</f>
        <v>449286</v>
      </c>
      <c r="G21" s="392">
        <f>SUM(G14:G20)</f>
        <v>465011.01</v>
      </c>
      <c r="I21" s="392">
        <f>SUM(I14:I20)</f>
        <v>481286.39534999989</v>
      </c>
      <c r="K21" s="392">
        <f>SUM(K14:K20)</f>
        <v>498131.41918724997</v>
      </c>
      <c r="M21" s="392">
        <f>SUM(M14:M20)</f>
        <v>515566.01885880367</v>
      </c>
      <c r="O21" s="392">
        <f>SUM(O14:O20)</f>
        <v>533610.82951886172</v>
      </c>
      <c r="Q21" s="392">
        <f>SUM(Q14:Q20)</f>
        <v>552287.20855202188</v>
      </c>
      <c r="S21" s="392">
        <f>SUM(S14:S20)</f>
        <v>571617.26085134258</v>
      </c>
      <c r="U21" s="392">
        <f>SUM(U14:U20)</f>
        <v>591623.86498113954</v>
      </c>
      <c r="W21" s="392">
        <f>SUM(W14:W20)</f>
        <v>612330.70025547931</v>
      </c>
      <c r="Y21" s="392">
        <f>SUM(Y14:Y20)</f>
        <v>633762.27476442105</v>
      </c>
      <c r="AA21" s="392">
        <f>SUM(AA14:AA20)</f>
        <v>655943.95438117569</v>
      </c>
      <c r="AC21" s="392">
        <f>SUM(AC14:AC20)</f>
        <v>678901.99278451689</v>
      </c>
      <c r="AE21" s="392">
        <f>SUM(AE14:AE20)</f>
        <v>702663.56253197487</v>
      </c>
      <c r="AG21" s="392">
        <f>SUM(AG14:AG20)</f>
        <v>727256.78722059389</v>
      </c>
    </row>
    <row r="22" spans="1:33" s="372" customFormat="1" ht="14.25">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25">
      <c r="A23" s="372" t="s">
        <v>1473</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25">
      <c r="A24" s="372" t="s">
        <v>965</v>
      </c>
      <c r="C24" s="414">
        <v>1.0349999999999999</v>
      </c>
      <c r="E24" s="391">
        <f>Application!AC866</f>
        <v>15000</v>
      </c>
      <c r="F24" s="391"/>
      <c r="G24" s="391">
        <f>E24*$C$24</f>
        <v>15524.999999999998</v>
      </c>
      <c r="H24" s="391"/>
      <c r="I24" s="391">
        <f>G24*$C$24</f>
        <v>16068.374999999996</v>
      </c>
      <c r="J24" s="391"/>
      <c r="K24" s="391">
        <f>I24*$C$24</f>
        <v>16630.768124999995</v>
      </c>
      <c r="L24" s="391"/>
      <c r="M24" s="391">
        <f>K24*$C$24</f>
        <v>17212.845009374993</v>
      </c>
      <c r="N24" s="391"/>
      <c r="O24" s="391">
        <f>M24*$C$24</f>
        <v>17815.294584703115</v>
      </c>
      <c r="P24" s="391"/>
      <c r="Q24" s="391">
        <f>O24*$C$24</f>
        <v>18438.829895167724</v>
      </c>
      <c r="R24" s="391"/>
      <c r="S24" s="391">
        <f>Q24*$C$24</f>
        <v>19084.188941498593</v>
      </c>
      <c r="T24" s="391"/>
      <c r="U24" s="391">
        <f>S24*$C$24</f>
        <v>19752.135554451041</v>
      </c>
      <c r="V24" s="391"/>
      <c r="W24" s="391">
        <f>U24*$C$24</f>
        <v>20443.460298856826</v>
      </c>
      <c r="X24" s="391"/>
      <c r="Y24" s="391">
        <f>W24*$C$24</f>
        <v>21158.981409316813</v>
      </c>
      <c r="Z24" s="391"/>
      <c r="AA24" s="391">
        <f>Y24*$C$24</f>
        <v>21899.5457586429</v>
      </c>
      <c r="AB24" s="391"/>
      <c r="AC24" s="391">
        <f>AA24*$C$24</f>
        <v>22666.029860195398</v>
      </c>
      <c r="AD24" s="391"/>
      <c r="AE24" s="391">
        <f>AC24*$C$24</f>
        <v>23459.340905302237</v>
      </c>
      <c r="AF24" s="391"/>
      <c r="AG24" s="391">
        <f>AE24*$C$24</f>
        <v>24280.417836987814</v>
      </c>
    </row>
    <row r="25" spans="1:33" s="372" customFormat="1" ht="14.25">
      <c r="A25" s="372" t="s">
        <v>966</v>
      </c>
      <c r="C25" s="414"/>
      <c r="E25" s="391">
        <f>Application!AC867</f>
        <v>24300</v>
      </c>
      <c r="F25" s="391"/>
      <c r="G25" s="391">
        <f>$E$25</f>
        <v>24300</v>
      </c>
      <c r="H25" s="391"/>
      <c r="I25" s="391">
        <f>$E$25</f>
        <v>24300</v>
      </c>
      <c r="J25" s="391"/>
      <c r="K25" s="391">
        <f>$E$25</f>
        <v>24300</v>
      </c>
      <c r="L25" s="391"/>
      <c r="M25" s="391">
        <f>$E$25</f>
        <v>24300</v>
      </c>
      <c r="N25" s="391"/>
      <c r="O25" s="391">
        <f>$E$25</f>
        <v>24300</v>
      </c>
      <c r="P25" s="391"/>
      <c r="Q25" s="391">
        <f>$E$25</f>
        <v>24300</v>
      </c>
      <c r="R25" s="391"/>
      <c r="S25" s="391">
        <f>$E$25</f>
        <v>24300</v>
      </c>
      <c r="T25" s="391"/>
      <c r="U25" s="391">
        <f>$E$25</f>
        <v>24300</v>
      </c>
      <c r="V25" s="391"/>
      <c r="W25" s="391">
        <f>$E$25</f>
        <v>24300</v>
      </c>
      <c r="X25" s="391"/>
      <c r="Y25" s="391">
        <f>$E$25</f>
        <v>24300</v>
      </c>
      <c r="Z25" s="391"/>
      <c r="AA25" s="391">
        <f>$E$25</f>
        <v>24300</v>
      </c>
      <c r="AB25" s="391"/>
      <c r="AC25" s="391">
        <f>$E$25</f>
        <v>24300</v>
      </c>
      <c r="AD25" s="391"/>
      <c r="AE25" s="391">
        <f>$E$25</f>
        <v>24300</v>
      </c>
      <c r="AF25" s="391"/>
      <c r="AG25" s="391">
        <f>$E$25</f>
        <v>24300</v>
      </c>
    </row>
    <row r="26" spans="1:33" s="372" customFormat="1" ht="14.25">
      <c r="A26" s="372" t="s">
        <v>964</v>
      </c>
      <c r="C26" s="412">
        <v>1.02</v>
      </c>
      <c r="E26" s="391">
        <f>Application!AC868</f>
        <v>539</v>
      </c>
      <c r="F26" s="391"/>
      <c r="G26" s="391">
        <f>E26*$C$26</f>
        <v>549.78</v>
      </c>
      <c r="H26" s="391"/>
      <c r="I26" s="391">
        <f>G26*$C$26</f>
        <v>560.77559999999994</v>
      </c>
      <c r="J26" s="391"/>
      <c r="K26" s="391">
        <f>I26*$C$26</f>
        <v>571.99111199999993</v>
      </c>
      <c r="L26" s="391"/>
      <c r="M26" s="391">
        <f>K26*$C$26</f>
        <v>583.43093423999994</v>
      </c>
      <c r="N26" s="391"/>
      <c r="O26" s="391">
        <f>M26*$C$26</f>
        <v>595.09955292479992</v>
      </c>
      <c r="P26" s="391"/>
      <c r="Q26" s="391">
        <f>O26*$C$26</f>
        <v>607.00154398329596</v>
      </c>
      <c r="R26" s="391"/>
      <c r="S26" s="391">
        <f>Q26*$C$26</f>
        <v>619.14157486296187</v>
      </c>
      <c r="T26" s="391"/>
      <c r="U26" s="391">
        <f>S26*$C$26</f>
        <v>631.52440636022118</v>
      </c>
      <c r="V26" s="391"/>
      <c r="W26" s="391">
        <f>U26*$C$26</f>
        <v>644.15489448742562</v>
      </c>
      <c r="X26" s="391"/>
      <c r="Y26" s="391">
        <f>W26*$C$26</f>
        <v>657.03799237717419</v>
      </c>
      <c r="Z26" s="391"/>
      <c r="AA26" s="391">
        <f>Y26*$C$26</f>
        <v>670.17875222471764</v>
      </c>
      <c r="AB26" s="391"/>
      <c r="AC26" s="391">
        <f>AA26*$C$26</f>
        <v>683.58232726921199</v>
      </c>
      <c r="AD26" s="391"/>
      <c r="AE26" s="391">
        <f>AC26*$C$26</f>
        <v>697.25397381459629</v>
      </c>
      <c r="AF26" s="391"/>
      <c r="AG26" s="391">
        <f>AE26*$C$26</f>
        <v>711.19905329088829</v>
      </c>
    </row>
    <row r="27" spans="1:33" s="372" customFormat="1" ht="14.25">
      <c r="A27" s="395" t="str">
        <f>Application!E869</f>
        <v>Other (Specify):</v>
      </c>
      <c r="B27" s="395"/>
      <c r="C27" s="531">
        <v>1.0349999999999999</v>
      </c>
      <c r="E27" s="391">
        <f>Application!AC869</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3" s="372" customFormat="1" ht="14.25">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25">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5">
      <c r="A30" s="392" t="s">
        <v>195</v>
      </c>
      <c r="C30" s="393"/>
      <c r="E30" s="392">
        <f>SUM(E21:E28)</f>
        <v>489125</v>
      </c>
      <c r="G30" s="392">
        <f>SUM(G21:G28)</f>
        <v>505385.79000000004</v>
      </c>
      <c r="I30" s="392">
        <f>SUM(I21:I28)</f>
        <v>522215.54594999988</v>
      </c>
      <c r="K30" s="392">
        <f>SUM(K21:K28)</f>
        <v>539634.17842424999</v>
      </c>
      <c r="M30" s="392">
        <f>SUM(M21:M28)</f>
        <v>557662.29480241868</v>
      </c>
      <c r="O30" s="392">
        <f>SUM(O21:O28)</f>
        <v>576321.22365648963</v>
      </c>
      <c r="Q30" s="392">
        <f>SUM(Q21:Q28)</f>
        <v>595633.03999117296</v>
      </c>
      <c r="S30" s="392">
        <f>SUM(S21:S28)</f>
        <v>615620.59136770421</v>
      </c>
      <c r="U30" s="392">
        <f>SUM(U21:U28)</f>
        <v>636307.5249419508</v>
      </c>
      <c r="W30" s="392">
        <f>SUM(W21:W28)</f>
        <v>657718.31544882362</v>
      </c>
      <c r="Y30" s="392">
        <f>SUM(Y21:Y28)</f>
        <v>679878.294166115</v>
      </c>
      <c r="AA30" s="392">
        <f>SUM(AA21:AA28)</f>
        <v>702813.6788920433</v>
      </c>
      <c r="AC30" s="392">
        <f>SUM(AC21:AC28)</f>
        <v>726551.60497198149</v>
      </c>
      <c r="AE30" s="392">
        <f>SUM(AE21:AE28)</f>
        <v>751120.15741109161</v>
      </c>
      <c r="AG30" s="392">
        <f>SUM(AG21:AG28)</f>
        <v>776548.40411087254</v>
      </c>
    </row>
    <row r="31" spans="1:33" s="372" customFormat="1" ht="14.25">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5">
      <c r="A32" s="392" t="s">
        <v>967</v>
      </c>
      <c r="C32" s="393"/>
      <c r="E32" s="392">
        <f>E10-E30</f>
        <v>528746.80000000005</v>
      </c>
      <c r="G32" s="392">
        <f>G10-G30</f>
        <v>537932.80499999982</v>
      </c>
      <c r="I32" s="392">
        <f>I10-I30</f>
        <v>547186.01392499986</v>
      </c>
      <c r="K32" s="392">
        <f>K10-K30</f>
        <v>556502.42044762464</v>
      </c>
      <c r="M32" s="392">
        <f>M10-M30</f>
        <v>565877.71904125274</v>
      </c>
      <c r="O32" s="392">
        <f>O10-O30</f>
        <v>575307.29053327336</v>
      </c>
      <c r="Q32" s="392">
        <f>Q10-Q30</f>
        <v>584786.1870533342</v>
      </c>
      <c r="S32" s="392">
        <f>S10-S30</f>
        <v>594309.11635291565</v>
      </c>
      <c r="U32" s="392">
        <f>U10-U30</f>
        <v>603870.42547168443</v>
      </c>
      <c r="W32" s="392">
        <f>W10-W30</f>
        <v>613464.0837251523</v>
      </c>
      <c r="Y32" s="392">
        <f>Y10-Y30</f>
        <v>623083.6649872103</v>
      </c>
      <c r="AA32" s="392">
        <f>AA10-AA30</f>
        <v>632722.32924011501</v>
      </c>
      <c r="AC32" s="392">
        <f>AC10-AC30</f>
        <v>642372.80336348072</v>
      </c>
      <c r="AE32" s="392">
        <f>AE10-AE30</f>
        <v>652027.36113275692</v>
      </c>
      <c r="AG32" s="392">
        <f>AG10-AG30</f>
        <v>661677.80239657208</v>
      </c>
    </row>
    <row r="33" spans="1:35" s="372" customFormat="1" ht="14.25">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5">
      <c r="A34" s="387" t="s">
        <v>981</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25">
      <c r="A35" s="394" t="str">
        <f>Application!C618</f>
        <v>Umpqua - Tax exempt bond loan</v>
      </c>
      <c r="B35" s="395"/>
      <c r="C35" s="389"/>
      <c r="E35" s="391">
        <f>Application!AB618</f>
        <v>464434.96393146616</v>
      </c>
      <c r="F35" s="391"/>
      <c r="G35" s="391">
        <f>$E$35</f>
        <v>464434.96393146616</v>
      </c>
      <c r="H35" s="391"/>
      <c r="I35" s="391">
        <f>$E$35</f>
        <v>464434.96393146616</v>
      </c>
      <c r="J35" s="391"/>
      <c r="K35" s="391">
        <f>$E$35</f>
        <v>464434.96393146616</v>
      </c>
      <c r="L35" s="391"/>
      <c r="M35" s="391">
        <f>$E$35</f>
        <v>464434.96393146616</v>
      </c>
      <c r="N35" s="391"/>
      <c r="O35" s="391">
        <f>$E$35</f>
        <v>464434.96393146616</v>
      </c>
      <c r="P35" s="391"/>
      <c r="Q35" s="391">
        <f>$E$35</f>
        <v>464434.96393146616</v>
      </c>
      <c r="R35" s="391"/>
      <c r="S35" s="391">
        <f>$E$35</f>
        <v>464434.96393146616</v>
      </c>
      <c r="T35" s="391"/>
      <c r="U35" s="391">
        <f>$E$35</f>
        <v>464434.96393146616</v>
      </c>
      <c r="V35" s="391"/>
      <c r="W35" s="391">
        <f>$E$35</f>
        <v>464434.96393146616</v>
      </c>
      <c r="X35" s="391"/>
      <c r="Y35" s="391">
        <f>$E$35</f>
        <v>464434.96393146616</v>
      </c>
      <c r="Z35" s="391"/>
      <c r="AA35" s="391">
        <f>$E$35</f>
        <v>464434.96393146616</v>
      </c>
      <c r="AB35" s="391"/>
      <c r="AC35" s="391">
        <f>$E$35</f>
        <v>464434.96393146616</v>
      </c>
      <c r="AD35" s="391"/>
      <c r="AE35" s="391">
        <f>$E$35</f>
        <v>464434.96393146616</v>
      </c>
      <c r="AF35" s="391"/>
      <c r="AG35" s="391">
        <f>$E$35</f>
        <v>464434.96393146616</v>
      </c>
    </row>
    <row r="36" spans="1:35" s="372" customFormat="1" ht="14.25">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25">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5">
      <c r="A38" s="392" t="s">
        <v>968</v>
      </c>
      <c r="C38" s="393"/>
      <c r="E38" s="392">
        <f>SUM(E35:E37)</f>
        <v>464434.96393146616</v>
      </c>
      <c r="G38" s="392">
        <f>SUM(G35:G37)</f>
        <v>464434.96393146616</v>
      </c>
      <c r="I38" s="392">
        <f>SUM(I35:I37)</f>
        <v>464434.96393146616</v>
      </c>
      <c r="K38" s="392">
        <f>SUM(K35:K37)</f>
        <v>464434.96393146616</v>
      </c>
      <c r="M38" s="392">
        <f>SUM(M35:M37)</f>
        <v>464434.96393146616</v>
      </c>
      <c r="O38" s="392">
        <f>SUM(O35:O37)</f>
        <v>464434.96393146616</v>
      </c>
      <c r="Q38" s="392">
        <f>SUM(Q35:Q37)</f>
        <v>464434.96393146616</v>
      </c>
      <c r="S38" s="392">
        <f>SUM(S35:S37)</f>
        <v>464434.96393146616</v>
      </c>
      <c r="U38" s="392">
        <f>SUM(U35:U37)</f>
        <v>464434.96393146616</v>
      </c>
      <c r="W38" s="392">
        <f>SUM(W35:W37)</f>
        <v>464434.96393146616</v>
      </c>
      <c r="Y38" s="392">
        <f>SUM(Y35:Y37)</f>
        <v>464434.96393146616</v>
      </c>
      <c r="AA38" s="392">
        <f>SUM(AA35:AA37)</f>
        <v>464434.96393146616</v>
      </c>
      <c r="AC38" s="392">
        <f>SUM(AC35:AC37)</f>
        <v>464434.96393146616</v>
      </c>
      <c r="AE38" s="392">
        <f>SUM(AE35:AE37)</f>
        <v>464434.96393146616</v>
      </c>
      <c r="AG38" s="392">
        <f>SUM(AG35:AG37)</f>
        <v>464434.96393146616</v>
      </c>
    </row>
    <row r="39" spans="1:35" s="372" customFormat="1" ht="14.25">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5">
      <c r="A40" s="392" t="s">
        <v>969</v>
      </c>
      <c r="C40" s="393"/>
      <c r="E40" s="392">
        <f>E32-E38</f>
        <v>64311.836068533885</v>
      </c>
      <c r="G40" s="392">
        <f>G32-G38</f>
        <v>73497.841068533657</v>
      </c>
      <c r="I40" s="392">
        <f>I32-I38</f>
        <v>82751.049993533699</v>
      </c>
      <c r="K40" s="392">
        <f>K32-K38</f>
        <v>92067.456516158476</v>
      </c>
      <c r="M40" s="392">
        <f>M32-M38</f>
        <v>101442.75510978658</v>
      </c>
      <c r="O40" s="392">
        <f>O32-O38</f>
        <v>110872.3266018072</v>
      </c>
      <c r="Q40" s="392">
        <f>Q32-Q38</f>
        <v>120351.22312186804</v>
      </c>
      <c r="S40" s="392">
        <f>S32-S38</f>
        <v>129874.15242144949</v>
      </c>
      <c r="U40" s="392">
        <f>U32-U38</f>
        <v>139435.46154021827</v>
      </c>
      <c r="W40" s="392">
        <f>W32-W38</f>
        <v>149029.11979368614</v>
      </c>
      <c r="Y40" s="392">
        <f>Y32-Y38</f>
        <v>158648.70105574414</v>
      </c>
      <c r="AA40" s="392">
        <f>AA32-AA38</f>
        <v>168287.36530864885</v>
      </c>
      <c r="AC40" s="392">
        <f>AC32-AC38</f>
        <v>177937.83943201456</v>
      </c>
      <c r="AE40" s="392">
        <f>AE32-AE38</f>
        <v>187592.39720129076</v>
      </c>
      <c r="AG40" s="392">
        <f>AG32-AG38</f>
        <v>197242.83846510592</v>
      </c>
    </row>
    <row r="41" spans="1:35" s="372" customFormat="1" ht="14.25">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25">
      <c r="A42" s="396" t="s">
        <v>971</v>
      </c>
      <c r="C42" s="389"/>
      <c r="E42" s="396">
        <f>E40/(E4+E6+E8)</f>
        <v>6.0023515992001342E-2</v>
      </c>
      <c r="G42" s="396">
        <f>G40/(G4+G6+G8)</f>
        <v>6.6923899707842335E-2</v>
      </c>
      <c r="I42" s="396">
        <f>I40/(I4+I6+I8)</f>
        <v>7.3511672736895933E-2</v>
      </c>
      <c r="K42" s="396">
        <f>K40/(K4+K6+K8)</f>
        <v>7.9793051140128982E-2</v>
      </c>
      <c r="M42" s="396">
        <f>M40/(M4+M6+M8)</f>
        <v>8.5774085628343433E-2</v>
      </c>
      <c r="O42" s="396">
        <f>O40/(O4+O6+O8)</f>
        <v>9.146066546105075E-2</v>
      </c>
      <c r="Q42" s="396">
        <f>Q40/(Q4+Q6+Q8)</f>
        <v>9.6858522248946519E-2</v>
      </c>
      <c r="S42" s="396">
        <f>S40/(S4+S6+S8)</f>
        <v>0.10197323366231975</v>
      </c>
      <c r="U42" s="396">
        <f>U40/(U4+U6+U8)</f>
        <v>0.10681022704768045</v>
      </c>
      <c r="W42" s="396">
        <f>W40/(W4+W6+W8)</f>
        <v>0.11137478295483015</v>
      </c>
      <c r="Y42" s="396">
        <f>Y40/(Y4+Y6+Y8)</f>
        <v>0.11567203857654719</v>
      </c>
      <c r="AA42" s="396">
        <f>AA40/(AA4+AA6+AA8)</f>
        <v>0.11970699110300299</v>
      </c>
      <c r="AC42" s="396">
        <f>AC40/(AC4+AC6+AC8)</f>
        <v>0.12348450099297921</v>
      </c>
      <c r="AE42" s="396">
        <f>AE40/(AE4+AE6+AE8)</f>
        <v>0.12700929516389767</v>
      </c>
      <c r="AG42" s="396">
        <f>AG40/(AG4+AG6+AG8)</f>
        <v>0.13028597010263188</v>
      </c>
    </row>
    <row r="43" spans="1:35" s="396" customFormat="1" ht="14.25">
      <c r="A43" s="396" t="s">
        <v>972</v>
      </c>
      <c r="C43" s="389"/>
      <c r="E43" s="396">
        <f>E40/E38</f>
        <v>0.13847328703276524</v>
      </c>
      <c r="G43" s="396">
        <f>G40/G38</f>
        <v>0.15825217043602963</v>
      </c>
      <c r="I43" s="396">
        <f>I40/I38</f>
        <v>0.17817575423917648</v>
      </c>
      <c r="K43" s="396">
        <f>K40/K38</f>
        <v>0.19823541220239463</v>
      </c>
      <c r="M43" s="396">
        <f>M40/M38</f>
        <v>0.2184218738638202</v>
      </c>
      <c r="O43" s="396">
        <f>O40/O38</f>
        <v>0.23872519343347276</v>
      </c>
      <c r="Q43" s="396">
        <f>Q40/Q38</f>
        <v>0.25913471738451532</v>
      </c>
      <c r="S43" s="396">
        <f>S40/S38</f>
        <v>0.27963905069088257</v>
      </c>
      <c r="U43" s="396">
        <f>U40/U38</f>
        <v>0.30022602165842516</v>
      </c>
      <c r="W43" s="396">
        <f>W40/W38</f>
        <v>0.32088264529471872</v>
      </c>
      <c r="Y43" s="396">
        <f>Y40/Y38</f>
        <v>0.34159508516063181</v>
      </c>
      <c r="AA43" s="396">
        <f>AA40/AA38</f>
        <v>0.36234861364460491</v>
      </c>
      <c r="AC43" s="396">
        <f>AC40/AC38</f>
        <v>0.38312757059839225</v>
      </c>
      <c r="AE43" s="396">
        <f>AE40/AE38</f>
        <v>0.40391532027070343</v>
      </c>
      <c r="AG43" s="396">
        <f>AG40/AG38</f>
        <v>0.42469420647281808</v>
      </c>
    </row>
    <row r="44" spans="1:35" s="397" customFormat="1" ht="14.25">
      <c r="A44" s="397" t="s">
        <v>970</v>
      </c>
      <c r="C44" s="398"/>
      <c r="E44" s="397">
        <f>E32/E38</f>
        <v>1.1384732870327652</v>
      </c>
      <c r="G44" s="397">
        <f>G32/G38</f>
        <v>1.1582521704360296</v>
      </c>
      <c r="I44" s="397">
        <f>I32/I38</f>
        <v>1.1781757542391764</v>
      </c>
      <c r="K44" s="397">
        <f>K32/K38</f>
        <v>1.1982354122023946</v>
      </c>
      <c r="M44" s="397">
        <f>M32/M38</f>
        <v>1.2184218738638202</v>
      </c>
      <c r="O44" s="397">
        <f>O32/O38</f>
        <v>1.2387251934334726</v>
      </c>
      <c r="Q44" s="397">
        <f>Q32/Q38</f>
        <v>1.2591347173845153</v>
      </c>
      <c r="S44" s="397">
        <f>S32/S38</f>
        <v>1.2796390506908826</v>
      </c>
      <c r="U44" s="397">
        <f>U32/U38</f>
        <v>1.3002260216584252</v>
      </c>
      <c r="W44" s="397">
        <f>W32/W38</f>
        <v>1.3208826452947187</v>
      </c>
      <c r="Y44" s="397">
        <f>Y32/Y38</f>
        <v>1.3415950851606318</v>
      </c>
      <c r="AA44" s="397">
        <f>AA32/AA38</f>
        <v>1.3623486136446048</v>
      </c>
      <c r="AC44" s="397">
        <f>AC32/AC38</f>
        <v>1.3831275705983923</v>
      </c>
      <c r="AE44" s="397">
        <f>AE32/AE38</f>
        <v>1.4039153202707035</v>
      </c>
      <c r="AG44" s="397">
        <f>AG32/AG38</f>
        <v>1.4246942064728181</v>
      </c>
    </row>
    <row r="45" spans="1:35" s="372" customFormat="1" ht="14.25">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983</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974</v>
      </c>
      <c r="C47" s="416"/>
      <c r="E47" s="405"/>
    </row>
    <row r="48" spans="1:35" s="159" customFormat="1" ht="14.25">
      <c r="A48" s="159" t="s">
        <v>975</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25">
      <c r="A49" s="159" t="s">
        <v>976</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25">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25">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973</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978</v>
      </c>
      <c r="C54" s="403"/>
      <c r="E54" s="271">
        <f>E40-E52</f>
        <v>64311.836068533885</v>
      </c>
      <c r="G54" s="271">
        <f>G40-G52</f>
        <v>73497.841068533657</v>
      </c>
      <c r="I54" s="271">
        <f>I40-I52</f>
        <v>82751.049993533699</v>
      </c>
      <c r="K54" s="271">
        <f>K40-K52</f>
        <v>92067.456516158476</v>
      </c>
      <c r="M54" s="271">
        <f>M40-M52</f>
        <v>101442.75510978658</v>
      </c>
      <c r="O54" s="271">
        <f>O40-O52</f>
        <v>110872.3266018072</v>
      </c>
      <c r="Q54" s="271">
        <f>Q40-Q52</f>
        <v>120351.22312186804</v>
      </c>
      <c r="S54" s="271">
        <f>S40-S52</f>
        <v>129874.15242144949</v>
      </c>
      <c r="U54" s="271">
        <f>U40-U52</f>
        <v>139435.46154021827</v>
      </c>
      <c r="W54" s="271">
        <f>W40-W52</f>
        <v>149029.11979368614</v>
      </c>
      <c r="Y54" s="271">
        <f>Y40-Y52</f>
        <v>158648.70105574414</v>
      </c>
      <c r="AA54" s="271">
        <f>AA40-AA52</f>
        <v>168287.36530864885</v>
      </c>
      <c r="AC54" s="271">
        <f>AC40-AC52</f>
        <v>177937.83943201456</v>
      </c>
      <c r="AE54" s="271">
        <f>AE40-AE52</f>
        <v>187592.39720129076</v>
      </c>
      <c r="AG54" s="271">
        <f>AG40-AG52</f>
        <v>197242.83846510592</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977</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982</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979</v>
      </c>
      <c r="C63" s="386"/>
    </row>
    <row r="64" spans="1:35" s="385" customFormat="1">
      <c r="C64" s="386"/>
    </row>
    <row r="65" spans="1:33" s="407" customFormat="1" ht="30" customHeight="1">
      <c r="A65" s="1742" t="s">
        <v>984</v>
      </c>
      <c r="B65" s="1742"/>
      <c r="C65" s="1742"/>
      <c r="D65" s="1742"/>
      <c r="E65" s="1742"/>
      <c r="F65" s="1742"/>
      <c r="G65" s="1742"/>
      <c r="H65" s="1742"/>
      <c r="I65" s="1742"/>
      <c r="J65" s="1742"/>
      <c r="K65" s="1742"/>
      <c r="L65" s="1742"/>
      <c r="M65" s="1742"/>
      <c r="N65" s="1742"/>
      <c r="O65" s="1742"/>
      <c r="P65" s="1742"/>
      <c r="Q65" s="1742"/>
      <c r="R65" s="1742"/>
      <c r="S65" s="1742"/>
      <c r="T65" s="1742"/>
      <c r="U65" s="1742"/>
      <c r="V65" s="1742"/>
      <c r="W65" s="1742"/>
      <c r="X65" s="1742"/>
      <c r="Y65" s="1742"/>
      <c r="Z65" s="1742"/>
      <c r="AA65" s="1742"/>
      <c r="AB65" s="1742"/>
      <c r="AC65" s="1742"/>
      <c r="AD65" s="1742"/>
      <c r="AE65" s="1742"/>
      <c r="AF65" s="1742"/>
      <c r="AG65" s="1742"/>
    </row>
    <row r="66" spans="1:33" s="382" customFormat="1" hidden="1">
      <c r="C66" s="384"/>
    </row>
    <row r="67" spans="1:33" s="382" customFormat="1" hidden="1">
      <c r="C67" s="384"/>
    </row>
    <row r="68" spans="1:33" s="382" customFormat="1" hidden="1">
      <c r="C68" s="384"/>
    </row>
    <row r="69" spans="1:33" s="382" customFormat="1" hidden="1">
      <c r="C69" s="384"/>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511" customWidth="1"/>
    <col min="4" max="4" width="3.7109375" style="511" customWidth="1"/>
    <col min="5" max="6" width="15.7109375" style="511" customWidth="1"/>
    <col min="7" max="7" width="3.7109375" style="511" customWidth="1"/>
    <col min="8" max="9" width="15.7109375" style="511" customWidth="1"/>
    <col min="10" max="16" width="15.7109375" style="511" hidden="1" customWidth="1"/>
    <col min="17" max="16383" width="9.140625" style="511" hidden="1"/>
    <col min="16384" max="16384" width="0.28515625" style="511" customWidth="1"/>
  </cols>
  <sheetData>
    <row r="1" spans="1:11">
      <c r="A1" s="1743" t="s">
        <v>1051</v>
      </c>
      <c r="B1" s="1743"/>
      <c r="C1" s="1743"/>
      <c r="D1" s="1743"/>
      <c r="E1" s="1743"/>
      <c r="F1" s="1743"/>
      <c r="G1" s="1743"/>
      <c r="H1" s="1743"/>
      <c r="I1" s="1743"/>
      <c r="J1" s="356"/>
      <c r="K1" s="356"/>
    </row>
    <row r="2" spans="1:11">
      <c r="A2" s="723"/>
      <c r="B2" s="723"/>
      <c r="C2" s="723"/>
      <c r="D2" s="723"/>
      <c r="E2" s="723"/>
      <c r="F2" s="723"/>
      <c r="G2" s="723"/>
      <c r="H2" s="723"/>
      <c r="I2" s="723"/>
    </row>
    <row r="3" spans="1:11" ht="99.75">
      <c r="A3" s="724" t="s">
        <v>1052</v>
      </c>
      <c r="B3" s="724" t="s">
        <v>1053</v>
      </c>
      <c r="C3" s="513" t="s">
        <v>1054</v>
      </c>
      <c r="D3" s="422"/>
      <c r="E3" s="513" t="s">
        <v>1055</v>
      </c>
      <c r="F3" s="724" t="s">
        <v>1056</v>
      </c>
      <c r="G3" s="725"/>
      <c r="H3" s="724" t="s">
        <v>1057</v>
      </c>
      <c r="I3" s="724" t="s">
        <v>1058</v>
      </c>
      <c r="J3" s="356"/>
      <c r="K3" s="512"/>
    </row>
    <row r="4" spans="1:11">
      <c r="A4" s="726" t="str">
        <f>Application!B709</f>
        <v>2 Bedrooms</v>
      </c>
      <c r="B4" s="735">
        <f>Application!G709</f>
        <v>4</v>
      </c>
      <c r="C4" s="726">
        <f>Application!K709</f>
        <v>663</v>
      </c>
      <c r="D4" s="727"/>
      <c r="E4" s="515"/>
      <c r="F4" s="728">
        <f>E4*B4</f>
        <v>0</v>
      </c>
      <c r="G4" s="729"/>
      <c r="H4" s="726" t="str">
        <f>IF(E4=0," ",(E4-C4))</f>
        <v xml:space="preserve"> </v>
      </c>
      <c r="I4" s="728" t="str">
        <f>IF(E4=0," ",(H4*B4))</f>
        <v xml:space="preserve"> </v>
      </c>
      <c r="J4" s="356"/>
      <c r="K4" s="512"/>
    </row>
    <row r="5" spans="1:11">
      <c r="A5" s="726" t="str">
        <f>Application!B710</f>
        <v>2 Bedrooms</v>
      </c>
      <c r="B5" s="735">
        <f>Application!G710</f>
        <v>4</v>
      </c>
      <c r="C5" s="726">
        <f>Application!K710</f>
        <v>906</v>
      </c>
      <c r="D5" s="727"/>
      <c r="E5" s="515"/>
      <c r="F5" s="728">
        <f t="shared" ref="F5:F28" si="0">E5*B5</f>
        <v>0</v>
      </c>
      <c r="G5" s="729"/>
      <c r="H5" s="726" t="str">
        <f t="shared" ref="H5:H28" si="1">IF(E5=0," ",(E5-C5))</f>
        <v xml:space="preserve"> </v>
      </c>
      <c r="I5" s="728" t="str">
        <f t="shared" ref="I5:I28" si="2">IF(E5=0," ",(H5*B5))</f>
        <v xml:space="preserve"> </v>
      </c>
      <c r="J5" s="356"/>
      <c r="K5" s="512"/>
    </row>
    <row r="6" spans="1:11">
      <c r="A6" s="726" t="str">
        <f>Application!B711</f>
        <v>3 Bedrooms</v>
      </c>
      <c r="B6" s="735">
        <f>Application!G711</f>
        <v>10</v>
      </c>
      <c r="C6" s="726">
        <f>Application!K711</f>
        <v>766</v>
      </c>
      <c r="D6" s="727"/>
      <c r="E6" s="515"/>
      <c r="F6" s="728">
        <f t="shared" si="0"/>
        <v>0</v>
      </c>
      <c r="G6" s="729"/>
      <c r="H6" s="726" t="str">
        <f t="shared" si="1"/>
        <v xml:space="preserve"> </v>
      </c>
      <c r="I6" s="728" t="str">
        <f t="shared" si="2"/>
        <v xml:space="preserve"> </v>
      </c>
      <c r="J6" s="356"/>
      <c r="K6" s="512"/>
    </row>
    <row r="7" spans="1:11">
      <c r="A7" s="726" t="str">
        <f>Application!B712</f>
        <v>3 Bedrooms</v>
      </c>
      <c r="B7" s="735">
        <f>Application!G712</f>
        <v>32</v>
      </c>
      <c r="C7" s="726">
        <f>Application!K712</f>
        <v>1047</v>
      </c>
      <c r="D7" s="727"/>
      <c r="E7" s="515"/>
      <c r="F7" s="728">
        <f t="shared" si="0"/>
        <v>0</v>
      </c>
      <c r="G7" s="729"/>
      <c r="H7" s="726" t="str">
        <f t="shared" si="1"/>
        <v xml:space="preserve"> </v>
      </c>
      <c r="I7" s="728" t="str">
        <f t="shared" si="2"/>
        <v xml:space="preserve"> </v>
      </c>
      <c r="J7" s="356"/>
      <c r="K7" s="512"/>
    </row>
    <row r="8" spans="1:11">
      <c r="A8" s="726" t="str">
        <f>Application!B713</f>
        <v>3 Bedrooms</v>
      </c>
      <c r="B8" s="735">
        <f>Application!G713</f>
        <v>14</v>
      </c>
      <c r="C8" s="726">
        <f>Application!K713</f>
        <v>1328</v>
      </c>
      <c r="D8" s="727"/>
      <c r="E8" s="515"/>
      <c r="F8" s="728">
        <f t="shared" si="0"/>
        <v>0</v>
      </c>
      <c r="G8" s="729"/>
      <c r="H8" s="726" t="str">
        <f t="shared" si="1"/>
        <v xml:space="preserve"> </v>
      </c>
      <c r="I8" s="728" t="str">
        <f t="shared" si="2"/>
        <v xml:space="preserve"> </v>
      </c>
      <c r="J8" s="356"/>
      <c r="K8" s="512"/>
    </row>
    <row r="9" spans="1:11">
      <c r="A9" s="726" t="str">
        <f>Application!B714</f>
        <v>4 Bedrooms</v>
      </c>
      <c r="B9" s="735">
        <f>Application!G714</f>
        <v>6</v>
      </c>
      <c r="C9" s="726">
        <f>Application!K714</f>
        <v>853</v>
      </c>
      <c r="D9" s="727"/>
      <c r="E9" s="515"/>
      <c r="F9" s="728">
        <f t="shared" si="0"/>
        <v>0</v>
      </c>
      <c r="G9" s="729"/>
      <c r="H9" s="726" t="str">
        <f t="shared" si="1"/>
        <v xml:space="preserve"> </v>
      </c>
      <c r="I9" s="728" t="str">
        <f t="shared" si="2"/>
        <v xml:space="preserve"> </v>
      </c>
      <c r="J9" s="356"/>
      <c r="K9" s="512"/>
    </row>
    <row r="10" spans="1:11">
      <c r="A10" s="726" t="str">
        <f>Application!B715</f>
        <v>4 Bedrooms</v>
      </c>
      <c r="B10" s="735">
        <f>Application!G715</f>
        <v>5</v>
      </c>
      <c r="C10" s="726">
        <f>Application!K715</f>
        <v>1167</v>
      </c>
      <c r="D10" s="727"/>
      <c r="E10" s="515"/>
      <c r="F10" s="728">
        <f t="shared" si="0"/>
        <v>0</v>
      </c>
      <c r="G10" s="729"/>
      <c r="H10" s="726" t="str">
        <f t="shared" si="1"/>
        <v xml:space="preserve"> </v>
      </c>
      <c r="I10" s="728" t="str">
        <f t="shared" si="2"/>
        <v xml:space="preserve"> </v>
      </c>
      <c r="J10" s="356"/>
      <c r="K10" s="512"/>
    </row>
    <row r="11" spans="1:11">
      <c r="A11" s="726" t="str">
        <f>Application!B716</f>
        <v>4 Bedrooms</v>
      </c>
      <c r="B11" s="735">
        <f>Application!G716</f>
        <v>5</v>
      </c>
      <c r="C11" s="726">
        <f>Application!K716</f>
        <v>1480</v>
      </c>
      <c r="D11" s="727"/>
      <c r="E11" s="515"/>
      <c r="F11" s="728">
        <f t="shared" si="0"/>
        <v>0</v>
      </c>
      <c r="G11" s="729"/>
      <c r="H11" s="726" t="str">
        <f t="shared" si="1"/>
        <v xml:space="preserve"> </v>
      </c>
      <c r="I11" s="728" t="str">
        <f t="shared" si="2"/>
        <v xml:space="preserve"> </v>
      </c>
      <c r="J11" s="356"/>
      <c r="K11" s="512"/>
    </row>
    <row r="12" spans="1:11">
      <c r="A12" s="726">
        <f>Application!B717</f>
        <v>0</v>
      </c>
      <c r="B12" s="735">
        <f>Application!G717</f>
        <v>0</v>
      </c>
      <c r="C12" s="726">
        <f>Application!K717</f>
        <v>0</v>
      </c>
      <c r="D12" s="727"/>
      <c r="E12" s="515"/>
      <c r="F12" s="728">
        <f t="shared" si="0"/>
        <v>0</v>
      </c>
      <c r="G12" s="729"/>
      <c r="H12" s="726" t="str">
        <f t="shared" si="1"/>
        <v xml:space="preserve"> </v>
      </c>
      <c r="I12" s="728" t="str">
        <f t="shared" si="2"/>
        <v xml:space="preserve"> </v>
      </c>
      <c r="J12" s="356"/>
      <c r="K12" s="512"/>
    </row>
    <row r="13" spans="1:11">
      <c r="A13" s="726">
        <f>Application!B718</f>
        <v>0</v>
      </c>
      <c r="B13" s="735">
        <f>Application!G718</f>
        <v>0</v>
      </c>
      <c r="C13" s="726">
        <f>Application!K718</f>
        <v>0</v>
      </c>
      <c r="D13" s="727"/>
      <c r="E13" s="515"/>
      <c r="F13" s="728">
        <f t="shared" si="0"/>
        <v>0</v>
      </c>
      <c r="G13" s="729"/>
      <c r="H13" s="726" t="str">
        <f t="shared" si="1"/>
        <v xml:space="preserve"> </v>
      </c>
      <c r="I13" s="728" t="str">
        <f t="shared" si="2"/>
        <v xml:space="preserve"> </v>
      </c>
      <c r="J13" s="356"/>
      <c r="K13" s="512"/>
    </row>
    <row r="14" spans="1:11">
      <c r="A14" s="726">
        <f>Application!B719</f>
        <v>0</v>
      </c>
      <c r="B14" s="735">
        <f>Application!G719</f>
        <v>0</v>
      </c>
      <c r="C14" s="726">
        <f>Application!K719</f>
        <v>0</v>
      </c>
      <c r="D14" s="727"/>
      <c r="E14" s="515"/>
      <c r="F14" s="728">
        <f t="shared" si="0"/>
        <v>0</v>
      </c>
      <c r="G14" s="729"/>
      <c r="H14" s="726" t="str">
        <f t="shared" si="1"/>
        <v xml:space="preserve"> </v>
      </c>
      <c r="I14" s="728" t="str">
        <f t="shared" si="2"/>
        <v xml:space="preserve"> </v>
      </c>
      <c r="J14" s="356"/>
      <c r="K14" s="512"/>
    </row>
    <row r="15" spans="1:11">
      <c r="A15" s="726">
        <f>Application!B720</f>
        <v>0</v>
      </c>
      <c r="B15" s="735">
        <f>Application!G720</f>
        <v>0</v>
      </c>
      <c r="C15" s="726">
        <f>Application!K720</f>
        <v>0</v>
      </c>
      <c r="D15" s="727"/>
      <c r="E15" s="515"/>
      <c r="F15" s="728">
        <f t="shared" si="0"/>
        <v>0</v>
      </c>
      <c r="G15" s="729"/>
      <c r="H15" s="726" t="str">
        <f t="shared" si="1"/>
        <v xml:space="preserve"> </v>
      </c>
      <c r="I15" s="728" t="str">
        <f t="shared" si="2"/>
        <v xml:space="preserve"> </v>
      </c>
      <c r="J15" s="356"/>
      <c r="K15" s="512"/>
    </row>
    <row r="16" spans="1:11">
      <c r="A16" s="726">
        <f>Application!B721</f>
        <v>0</v>
      </c>
      <c r="B16" s="735">
        <f>Application!G721</f>
        <v>0</v>
      </c>
      <c r="C16" s="726">
        <f>Application!K721</f>
        <v>0</v>
      </c>
      <c r="D16" s="727"/>
      <c r="E16" s="515"/>
      <c r="F16" s="728">
        <f t="shared" si="0"/>
        <v>0</v>
      </c>
      <c r="G16" s="729"/>
      <c r="H16" s="726" t="str">
        <f t="shared" si="1"/>
        <v xml:space="preserve"> </v>
      </c>
      <c r="I16" s="728" t="str">
        <f t="shared" si="2"/>
        <v xml:space="preserve"> </v>
      </c>
      <c r="J16" s="356"/>
      <c r="K16" s="512"/>
    </row>
    <row r="17" spans="1:11">
      <c r="A17" s="726">
        <f>Application!B722</f>
        <v>0</v>
      </c>
      <c r="B17" s="735">
        <f>Application!G722</f>
        <v>0</v>
      </c>
      <c r="C17" s="726">
        <f>Application!K722</f>
        <v>0</v>
      </c>
      <c r="D17" s="727"/>
      <c r="E17" s="515"/>
      <c r="F17" s="728">
        <f t="shared" si="0"/>
        <v>0</v>
      </c>
      <c r="G17" s="729"/>
      <c r="H17" s="726" t="str">
        <f t="shared" si="1"/>
        <v xml:space="preserve"> </v>
      </c>
      <c r="I17" s="728" t="str">
        <f t="shared" si="2"/>
        <v xml:space="preserve"> </v>
      </c>
      <c r="J17" s="356"/>
      <c r="K17" s="512"/>
    </row>
    <row r="18" spans="1:11">
      <c r="A18" s="726">
        <f>Application!B723</f>
        <v>0</v>
      </c>
      <c r="B18" s="735">
        <f>Application!G723</f>
        <v>0</v>
      </c>
      <c r="C18" s="726">
        <f>Application!K723</f>
        <v>0</v>
      </c>
      <c r="D18" s="727"/>
      <c r="E18" s="515"/>
      <c r="F18" s="728">
        <f t="shared" si="0"/>
        <v>0</v>
      </c>
      <c r="G18" s="729"/>
      <c r="H18" s="726" t="str">
        <f t="shared" si="1"/>
        <v xml:space="preserve"> </v>
      </c>
      <c r="I18" s="728" t="str">
        <f t="shared" si="2"/>
        <v xml:space="preserve"> </v>
      </c>
      <c r="J18" s="356"/>
      <c r="K18" s="512"/>
    </row>
    <row r="19" spans="1:11">
      <c r="A19" s="726">
        <f>Application!B724</f>
        <v>0</v>
      </c>
      <c r="B19" s="735">
        <f>Application!G724</f>
        <v>0</v>
      </c>
      <c r="C19" s="726">
        <f>Application!K724</f>
        <v>0</v>
      </c>
      <c r="D19" s="727"/>
      <c r="E19" s="515"/>
      <c r="F19" s="728">
        <f t="shared" si="0"/>
        <v>0</v>
      </c>
      <c r="G19" s="729"/>
      <c r="H19" s="726" t="str">
        <f t="shared" si="1"/>
        <v xml:space="preserve"> </v>
      </c>
      <c r="I19" s="728" t="str">
        <f t="shared" si="2"/>
        <v xml:space="preserve"> </v>
      </c>
      <c r="J19" s="356"/>
      <c r="K19" s="512"/>
    </row>
    <row r="20" spans="1:11">
      <c r="A20" s="726">
        <f>Application!B725</f>
        <v>0</v>
      </c>
      <c r="B20" s="735">
        <f>Application!G725</f>
        <v>0</v>
      </c>
      <c r="C20" s="726">
        <f>Application!K725</f>
        <v>0</v>
      </c>
      <c r="D20" s="727"/>
      <c r="E20" s="515"/>
      <c r="F20" s="728">
        <f t="shared" si="0"/>
        <v>0</v>
      </c>
      <c r="G20" s="729"/>
      <c r="H20" s="726" t="str">
        <f t="shared" si="1"/>
        <v xml:space="preserve"> </v>
      </c>
      <c r="I20" s="728" t="str">
        <f t="shared" si="2"/>
        <v xml:space="preserve"> </v>
      </c>
      <c r="J20" s="356"/>
      <c r="K20" s="512"/>
    </row>
    <row r="21" spans="1:11">
      <c r="A21" s="726">
        <f>Application!B726</f>
        <v>0</v>
      </c>
      <c r="B21" s="735">
        <f>Application!G726</f>
        <v>0</v>
      </c>
      <c r="C21" s="726">
        <f>Application!K726</f>
        <v>0</v>
      </c>
      <c r="D21" s="727"/>
      <c r="E21" s="515"/>
      <c r="F21" s="728">
        <f t="shared" si="0"/>
        <v>0</v>
      </c>
      <c r="G21" s="729"/>
      <c r="H21" s="726" t="str">
        <f t="shared" si="1"/>
        <v xml:space="preserve"> </v>
      </c>
      <c r="I21" s="728" t="str">
        <f t="shared" si="2"/>
        <v xml:space="preserve"> </v>
      </c>
      <c r="J21" s="356"/>
      <c r="K21" s="512"/>
    </row>
    <row r="22" spans="1:11">
      <c r="A22" s="726">
        <f>Application!B727</f>
        <v>0</v>
      </c>
      <c r="B22" s="735">
        <f>Application!G727</f>
        <v>0</v>
      </c>
      <c r="C22" s="726">
        <f>Application!K727</f>
        <v>0</v>
      </c>
      <c r="D22" s="727"/>
      <c r="E22" s="515"/>
      <c r="F22" s="728">
        <f t="shared" si="0"/>
        <v>0</v>
      </c>
      <c r="G22" s="729"/>
      <c r="H22" s="726" t="str">
        <f t="shared" si="1"/>
        <v xml:space="preserve"> </v>
      </c>
      <c r="I22" s="728" t="str">
        <f t="shared" si="2"/>
        <v xml:space="preserve"> </v>
      </c>
      <c r="J22" s="356"/>
      <c r="K22" s="512"/>
    </row>
    <row r="23" spans="1:11">
      <c r="A23" s="726">
        <f>Application!B728</f>
        <v>0</v>
      </c>
      <c r="B23" s="735">
        <f>Application!G728</f>
        <v>0</v>
      </c>
      <c r="C23" s="726">
        <f>Application!K728</f>
        <v>0</v>
      </c>
      <c r="D23" s="727"/>
      <c r="E23" s="515"/>
      <c r="F23" s="728">
        <f t="shared" si="0"/>
        <v>0</v>
      </c>
      <c r="G23" s="729"/>
      <c r="H23" s="726" t="str">
        <f t="shared" si="1"/>
        <v xml:space="preserve"> </v>
      </c>
      <c r="I23" s="728" t="str">
        <f t="shared" si="2"/>
        <v xml:space="preserve"> </v>
      </c>
      <c r="J23" s="356"/>
      <c r="K23" s="512"/>
    </row>
    <row r="24" spans="1:11">
      <c r="A24" s="726">
        <f>Application!B729</f>
        <v>0</v>
      </c>
      <c r="B24" s="735">
        <f>Application!G729</f>
        <v>0</v>
      </c>
      <c r="C24" s="726">
        <f>Application!K729</f>
        <v>0</v>
      </c>
      <c r="D24" s="727"/>
      <c r="E24" s="515"/>
      <c r="F24" s="728">
        <f t="shared" si="0"/>
        <v>0</v>
      </c>
      <c r="G24" s="729"/>
      <c r="H24" s="726" t="str">
        <f t="shared" si="1"/>
        <v xml:space="preserve"> </v>
      </c>
      <c r="I24" s="728" t="str">
        <f t="shared" si="2"/>
        <v xml:space="preserve"> </v>
      </c>
      <c r="J24" s="356"/>
      <c r="K24" s="512"/>
    </row>
    <row r="25" spans="1:11">
      <c r="A25" s="726">
        <f>Application!B730</f>
        <v>0</v>
      </c>
      <c r="B25" s="735">
        <f>Application!G730</f>
        <v>0</v>
      </c>
      <c r="C25" s="726">
        <f>Application!K730</f>
        <v>0</v>
      </c>
      <c r="D25" s="727"/>
      <c r="E25" s="515"/>
      <c r="F25" s="728">
        <f t="shared" si="0"/>
        <v>0</v>
      </c>
      <c r="G25" s="729"/>
      <c r="H25" s="726" t="str">
        <f t="shared" si="1"/>
        <v xml:space="preserve"> </v>
      </c>
      <c r="I25" s="728" t="str">
        <f t="shared" si="2"/>
        <v xml:space="preserve"> </v>
      </c>
      <c r="J25" s="356"/>
      <c r="K25" s="512"/>
    </row>
    <row r="26" spans="1:11">
      <c r="A26" s="726">
        <f>Application!B731</f>
        <v>0</v>
      </c>
      <c r="B26" s="735">
        <f>Application!G731</f>
        <v>0</v>
      </c>
      <c r="C26" s="726">
        <f>Application!K731</f>
        <v>0</v>
      </c>
      <c r="D26" s="727"/>
      <c r="E26" s="515"/>
      <c r="F26" s="728">
        <f t="shared" si="0"/>
        <v>0</v>
      </c>
      <c r="G26" s="729"/>
      <c r="H26" s="726" t="str">
        <f t="shared" si="1"/>
        <v xml:space="preserve"> </v>
      </c>
      <c r="I26" s="728" t="str">
        <f t="shared" si="2"/>
        <v xml:space="preserve"> </v>
      </c>
      <c r="J26" s="356"/>
      <c r="K26" s="512"/>
    </row>
    <row r="27" spans="1:11">
      <c r="A27" s="726">
        <f>Application!B732</f>
        <v>0</v>
      </c>
      <c r="B27" s="735">
        <f>Application!G732</f>
        <v>0</v>
      </c>
      <c r="C27" s="726">
        <f>Application!K732</f>
        <v>0</v>
      </c>
      <c r="D27" s="727"/>
      <c r="E27" s="515"/>
      <c r="F27" s="728">
        <f t="shared" si="0"/>
        <v>0</v>
      </c>
      <c r="G27" s="729"/>
      <c r="H27" s="726" t="str">
        <f t="shared" si="1"/>
        <v xml:space="preserve"> </v>
      </c>
      <c r="I27" s="728" t="str">
        <f t="shared" si="2"/>
        <v xml:space="preserve"> </v>
      </c>
      <c r="J27" s="356"/>
      <c r="K27" s="512"/>
    </row>
    <row r="28" spans="1:11">
      <c r="A28" s="726">
        <f>Application!B733</f>
        <v>0</v>
      </c>
      <c r="B28" s="735">
        <f>Application!G733</f>
        <v>0</v>
      </c>
      <c r="C28" s="726">
        <f>Application!K733</f>
        <v>0</v>
      </c>
      <c r="D28" s="727"/>
      <c r="E28" s="515"/>
      <c r="F28" s="728">
        <f t="shared" si="0"/>
        <v>0</v>
      </c>
      <c r="G28" s="729"/>
      <c r="H28" s="726" t="str">
        <f t="shared" si="1"/>
        <v xml:space="preserve"> </v>
      </c>
      <c r="I28" s="728" t="str">
        <f t="shared" si="2"/>
        <v xml:space="preserve"> </v>
      </c>
      <c r="J28" s="356"/>
      <c r="K28" s="512"/>
    </row>
    <row r="29" spans="1:11">
      <c r="A29" s="422"/>
      <c r="B29" s="422"/>
      <c r="C29" s="727"/>
      <c r="D29" s="727"/>
      <c r="E29" s="727"/>
      <c r="F29" s="727"/>
      <c r="G29" s="729"/>
      <c r="H29" s="727"/>
      <c r="I29" s="422"/>
      <c r="J29" s="356"/>
      <c r="K29" s="512"/>
    </row>
    <row r="30" spans="1:11" ht="15">
      <c r="A30" s="730" t="s">
        <v>1059</v>
      </c>
      <c r="B30" s="731"/>
      <c r="C30" s="732">
        <f>Application!P734</f>
        <v>84385</v>
      </c>
      <c r="D30" s="727"/>
      <c r="E30" s="727"/>
      <c r="F30" s="732">
        <f>SUM(F4:F28)*12</f>
        <v>0</v>
      </c>
      <c r="G30" s="733"/>
      <c r="H30" s="731"/>
      <c r="I30" s="732">
        <f>SUM(I4:I28)*12</f>
        <v>0</v>
      </c>
      <c r="J30" s="356"/>
      <c r="K30" s="514"/>
    </row>
    <row r="31" spans="1:11" ht="15">
      <c r="A31" s="730"/>
      <c r="B31" s="731"/>
      <c r="C31" s="733"/>
      <c r="D31" s="727"/>
      <c r="E31" s="727"/>
      <c r="F31" s="733"/>
      <c r="G31" s="733"/>
      <c r="H31" s="731"/>
      <c r="I31" s="733"/>
      <c r="J31" s="356"/>
      <c r="K31" s="514"/>
    </row>
    <row r="32" spans="1:11">
      <c r="A32" s="734" t="s">
        <v>1060</v>
      </c>
      <c r="B32" s="723"/>
      <c r="C32" s="723"/>
      <c r="D32" s="723"/>
      <c r="E32" s="723"/>
      <c r="F32" s="723"/>
      <c r="G32" s="723"/>
      <c r="H32" s="723"/>
      <c r="I32" s="723"/>
    </row>
    <row r="33" spans="1:9">
      <c r="A33" s="734" t="s">
        <v>1061</v>
      </c>
      <c r="B33" s="723"/>
      <c r="C33" s="723"/>
      <c r="D33" s="723"/>
      <c r="E33" s="723"/>
      <c r="F33" s="723"/>
      <c r="G33" s="723"/>
      <c r="H33" s="723"/>
      <c r="I33" s="723"/>
    </row>
    <row r="34" spans="1:9">
      <c r="A34" s="723" t="s">
        <v>1241</v>
      </c>
      <c r="B34" s="723"/>
      <c r="C34" s="723"/>
      <c r="D34" s="723"/>
      <c r="E34" s="723"/>
      <c r="F34" s="723"/>
      <c r="G34" s="723"/>
      <c r="H34" s="723"/>
      <c r="I34" s="723"/>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27" t="s">
        <v>1123</v>
      </c>
    </row>
    <row r="2" spans="1:1" ht="15.75">
      <c r="A2" s="528"/>
    </row>
    <row r="3" spans="1:1" ht="15.75">
      <c r="A3" s="529" t="s">
        <v>1118</v>
      </c>
    </row>
    <row r="4" spans="1:1" ht="15.75">
      <c r="A4" s="529" t="s">
        <v>1119</v>
      </c>
    </row>
    <row r="5" spans="1:1" ht="15.75">
      <c r="A5" s="529" t="s">
        <v>1120</v>
      </c>
    </row>
    <row r="6" spans="1:1" ht="15.75">
      <c r="A6" s="529" t="s">
        <v>1122</v>
      </c>
    </row>
    <row r="7" spans="1:1" ht="15.75">
      <c r="A7" s="529" t="s">
        <v>1121</v>
      </c>
    </row>
    <row r="8" spans="1:1" ht="15.75">
      <c r="A8" s="592" t="s">
        <v>1227</v>
      </c>
    </row>
    <row r="9" spans="1:1" ht="15.75">
      <c r="A9" s="529" t="s">
        <v>1228</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S19914"/>
  <sheetViews>
    <sheetView zoomScaleNormal="100" zoomScaleSheetLayoutView="100" workbookViewId="0">
      <selection activeCell="E5" sqref="E5"/>
    </sheetView>
  </sheetViews>
  <sheetFormatPr defaultColWidth="0" defaultRowHeight="12.75" zeroHeight="1"/>
  <cols>
    <col min="1" max="1" width="35.7109375" style="356" customWidth="1"/>
    <col min="2" max="4" width="14.7109375" style="356" customWidth="1"/>
    <col min="5" max="5" width="50.7109375" style="356" customWidth="1"/>
    <col min="6" max="6" width="9.140625" style="356" customWidth="1"/>
    <col min="7" max="253" width="0" style="547" hidden="1" customWidth="1"/>
    <col min="254" max="16384" width="9.140625" style="547" hidden="1"/>
  </cols>
  <sheetData>
    <row r="1" spans="1:253" s="471" customFormat="1" ht="18" customHeight="1">
      <c r="A1" s="951" t="s">
        <v>1579</v>
      </c>
      <c r="D1" s="476"/>
    </row>
    <row r="2" spans="1:253" s="471" customFormat="1">
      <c r="A2" s="453" t="s">
        <v>1021</v>
      </c>
      <c r="B2" s="455"/>
      <c r="C2" s="455"/>
      <c r="D2" s="452"/>
      <c r="E2" s="456"/>
      <c r="F2" s="455"/>
      <c r="HN2" s="597"/>
      <c r="HO2" s="597"/>
      <c r="HP2" s="597"/>
      <c r="HQ2" s="597"/>
      <c r="HR2" s="597"/>
      <c r="HS2" s="597"/>
      <c r="HT2" s="597"/>
      <c r="HU2" s="597"/>
      <c r="HV2" s="597"/>
      <c r="HW2" s="597"/>
      <c r="HX2" s="597"/>
      <c r="HY2" s="597"/>
      <c r="HZ2" s="597"/>
      <c r="IA2" s="597"/>
      <c r="IB2" s="597"/>
      <c r="IC2" s="597"/>
      <c r="ID2" s="597"/>
      <c r="IE2" s="597"/>
      <c r="IF2" s="597"/>
      <c r="IG2" s="597"/>
      <c r="IH2" s="597"/>
      <c r="II2" s="597"/>
      <c r="IJ2" s="597"/>
      <c r="IK2" s="597"/>
      <c r="IL2" s="597"/>
      <c r="IM2" s="597"/>
      <c r="IN2" s="597"/>
      <c r="IO2" s="597"/>
      <c r="IP2" s="597"/>
      <c r="IQ2" s="597"/>
      <c r="IR2" s="597"/>
      <c r="IS2" s="597"/>
    </row>
    <row r="3" spans="1:253" s="599" customFormat="1" ht="80.25" customHeight="1">
      <c r="A3" s="473"/>
      <c r="B3" s="457" t="s">
        <v>1022</v>
      </c>
      <c r="C3" s="457" t="s">
        <v>1023</v>
      </c>
      <c r="D3" s="457" t="s">
        <v>1024</v>
      </c>
      <c r="E3" s="454" t="s">
        <v>1025</v>
      </c>
      <c r="F3" s="454"/>
      <c r="G3" s="604"/>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c r="GT3" s="598"/>
      <c r="GU3" s="598"/>
      <c r="GV3" s="598"/>
      <c r="GW3" s="598"/>
      <c r="GX3" s="598"/>
      <c r="GY3" s="598"/>
      <c r="GZ3" s="598"/>
      <c r="HA3" s="598"/>
      <c r="HB3" s="598"/>
      <c r="HC3" s="598"/>
      <c r="HD3" s="598"/>
      <c r="HE3" s="598"/>
      <c r="HF3" s="598"/>
      <c r="HG3" s="598"/>
      <c r="HH3" s="598"/>
      <c r="HI3" s="598"/>
      <c r="HJ3" s="598"/>
      <c r="HK3" s="598"/>
      <c r="HL3" s="598"/>
      <c r="HM3" s="598"/>
      <c r="HN3" s="598"/>
      <c r="HO3" s="598"/>
      <c r="HP3" s="598"/>
      <c r="HQ3" s="598"/>
      <c r="HR3" s="598"/>
      <c r="HS3" s="598"/>
      <c r="HT3" s="598"/>
      <c r="HU3" s="598"/>
      <c r="HV3" s="598"/>
      <c r="HW3" s="598"/>
      <c r="HX3" s="598"/>
      <c r="HY3" s="598"/>
      <c r="HZ3" s="598"/>
      <c r="IA3" s="598"/>
      <c r="IB3" s="598"/>
      <c r="IC3" s="598"/>
      <c r="ID3" s="598"/>
      <c r="IE3" s="598"/>
      <c r="IF3" s="598"/>
      <c r="IG3" s="598"/>
      <c r="IH3" s="598"/>
      <c r="II3" s="598"/>
      <c r="IJ3" s="598"/>
      <c r="IK3" s="598"/>
      <c r="IL3" s="598"/>
      <c r="IM3" s="598"/>
      <c r="IN3" s="598"/>
      <c r="IO3" s="598"/>
      <c r="IP3" s="598"/>
      <c r="IQ3" s="598"/>
      <c r="IR3" s="598"/>
      <c r="IS3" s="598"/>
    </row>
    <row r="4" spans="1:253" s="601" customFormat="1">
      <c r="A4" s="458" t="s">
        <v>30</v>
      </c>
      <c r="B4" s="458"/>
      <c r="C4" s="458"/>
      <c r="D4" s="458"/>
      <c r="E4" s="478"/>
      <c r="F4" s="458"/>
      <c r="G4" s="605"/>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c r="DI4" s="600"/>
      <c r="DJ4" s="600"/>
      <c r="DK4" s="600"/>
      <c r="DL4" s="600"/>
      <c r="DM4" s="600"/>
      <c r="DN4" s="600"/>
      <c r="DO4" s="600"/>
      <c r="DP4" s="600"/>
      <c r="DQ4" s="600"/>
      <c r="DR4" s="600"/>
      <c r="DS4" s="600"/>
      <c r="DT4" s="600"/>
      <c r="DU4" s="600"/>
      <c r="DV4" s="600"/>
      <c r="DW4" s="600"/>
      <c r="DX4" s="600"/>
      <c r="DY4" s="600"/>
      <c r="DZ4" s="600"/>
      <c r="EA4" s="600"/>
      <c r="EB4" s="600"/>
      <c r="EC4" s="600"/>
      <c r="ED4" s="600"/>
      <c r="EE4" s="600"/>
      <c r="EF4" s="600"/>
      <c r="EG4" s="600"/>
      <c r="EH4" s="600"/>
      <c r="EI4" s="600"/>
      <c r="EJ4" s="600"/>
      <c r="EK4" s="600"/>
      <c r="EL4" s="600"/>
      <c r="EM4" s="600"/>
      <c r="EN4" s="600"/>
      <c r="EO4" s="600"/>
      <c r="EP4" s="600"/>
      <c r="EQ4" s="600"/>
      <c r="ER4" s="600"/>
      <c r="ES4" s="600"/>
      <c r="ET4" s="600"/>
      <c r="EU4" s="600"/>
      <c r="EV4" s="600"/>
      <c r="EW4" s="600"/>
      <c r="EX4" s="600"/>
      <c r="EY4" s="600"/>
      <c r="EZ4" s="600"/>
      <c r="FA4" s="600"/>
      <c r="FB4" s="600"/>
      <c r="FC4" s="600"/>
      <c r="FD4" s="600"/>
      <c r="FE4" s="600"/>
      <c r="FF4" s="600"/>
      <c r="FG4" s="600"/>
      <c r="FH4" s="600"/>
      <c r="FI4" s="600"/>
      <c r="FJ4" s="600"/>
      <c r="FK4" s="600"/>
      <c r="FL4" s="600"/>
      <c r="FM4" s="600"/>
      <c r="FN4" s="600"/>
      <c r="FO4" s="600"/>
      <c r="FP4" s="600"/>
      <c r="FQ4" s="600"/>
      <c r="FR4" s="600"/>
      <c r="FS4" s="600"/>
      <c r="FT4" s="600"/>
      <c r="FU4" s="600"/>
      <c r="FV4" s="600"/>
      <c r="FW4" s="600"/>
      <c r="FX4" s="600"/>
      <c r="FY4" s="600"/>
      <c r="FZ4" s="600"/>
      <c r="GA4" s="600"/>
      <c r="GB4" s="600"/>
      <c r="GC4" s="600"/>
      <c r="GD4" s="600"/>
      <c r="GE4" s="600"/>
      <c r="GF4" s="600"/>
      <c r="GG4" s="600"/>
      <c r="GH4" s="600"/>
      <c r="GI4" s="600"/>
      <c r="GJ4" s="600"/>
      <c r="GK4" s="600"/>
      <c r="GL4" s="600"/>
      <c r="GM4" s="600"/>
      <c r="GN4" s="600"/>
      <c r="GO4" s="600"/>
      <c r="GP4" s="600"/>
      <c r="GQ4" s="600"/>
      <c r="GR4" s="600"/>
      <c r="GS4" s="600"/>
      <c r="GT4" s="600"/>
      <c r="GU4" s="600"/>
      <c r="GV4" s="600"/>
      <c r="GW4" s="600"/>
      <c r="GX4" s="600"/>
      <c r="GY4" s="600"/>
      <c r="GZ4" s="600"/>
      <c r="HA4" s="600"/>
      <c r="HB4" s="600"/>
      <c r="HC4" s="600"/>
      <c r="HD4" s="600"/>
      <c r="HE4" s="600"/>
      <c r="HF4" s="600"/>
      <c r="HG4" s="600"/>
      <c r="HH4" s="600"/>
      <c r="HI4" s="600"/>
      <c r="HJ4" s="600"/>
      <c r="HK4" s="600"/>
      <c r="HL4" s="600"/>
      <c r="HM4" s="600"/>
      <c r="HN4" s="600"/>
      <c r="HO4" s="600"/>
      <c r="HP4" s="600"/>
      <c r="HQ4" s="600"/>
      <c r="HR4" s="600"/>
      <c r="HS4" s="600"/>
      <c r="HT4" s="600"/>
      <c r="HU4" s="600"/>
      <c r="HV4" s="600"/>
      <c r="HW4" s="600"/>
      <c r="HX4" s="600"/>
      <c r="HY4" s="600"/>
      <c r="HZ4" s="600"/>
      <c r="IA4" s="600"/>
      <c r="IB4" s="600"/>
      <c r="IC4" s="600"/>
      <c r="ID4" s="600"/>
      <c r="IE4" s="600"/>
      <c r="IF4" s="600"/>
      <c r="IG4" s="600"/>
      <c r="IH4" s="600"/>
      <c r="II4" s="600"/>
      <c r="IJ4" s="600"/>
      <c r="IK4" s="600"/>
      <c r="IL4" s="600"/>
      <c r="IM4" s="600"/>
      <c r="IN4" s="600"/>
      <c r="IO4" s="600"/>
      <c r="IP4" s="600"/>
      <c r="IQ4" s="600"/>
      <c r="IR4" s="600"/>
      <c r="IS4" s="600"/>
    </row>
    <row r="5" spans="1:253" s="601" customFormat="1">
      <c r="A5" s="463" t="s">
        <v>31</v>
      </c>
      <c r="B5" s="460">
        <f>'Sources and Uses Budget'!$C4</f>
        <v>421223.54771784233</v>
      </c>
      <c r="C5" s="460">
        <f>'Sources and Uses Budget'!$C4</f>
        <v>421223.54771784233</v>
      </c>
      <c r="D5" s="464">
        <f>C5-B5</f>
        <v>0</v>
      </c>
      <c r="E5" s="462"/>
      <c r="F5" s="461"/>
      <c r="G5" s="605"/>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c r="AT5" s="600"/>
      <c r="AU5" s="600"/>
      <c r="AV5" s="600"/>
      <c r="AW5" s="600"/>
      <c r="AX5" s="600"/>
      <c r="AY5" s="600"/>
      <c r="AZ5" s="600"/>
      <c r="BA5" s="600"/>
      <c r="BB5" s="600"/>
      <c r="BC5" s="600"/>
      <c r="BD5" s="600"/>
      <c r="BE5" s="600"/>
      <c r="BF5" s="600"/>
      <c r="BG5" s="600"/>
      <c r="BH5" s="600"/>
      <c r="BI5" s="600"/>
      <c r="BJ5" s="600"/>
      <c r="BK5" s="600"/>
      <c r="BL5" s="600"/>
      <c r="BM5" s="600"/>
      <c r="BN5" s="600"/>
      <c r="BO5" s="600"/>
      <c r="BP5" s="600"/>
      <c r="BQ5" s="600"/>
      <c r="BR5" s="600"/>
      <c r="BS5" s="600"/>
      <c r="BT5" s="600"/>
      <c r="BU5" s="600"/>
      <c r="BV5" s="600"/>
      <c r="BW5" s="600"/>
      <c r="BX5" s="600"/>
      <c r="BY5" s="600"/>
      <c r="BZ5" s="600"/>
      <c r="CA5" s="600"/>
      <c r="CB5" s="600"/>
      <c r="CC5" s="600"/>
      <c r="CD5" s="600"/>
      <c r="CE5" s="600"/>
      <c r="CF5" s="600"/>
      <c r="CG5" s="600"/>
      <c r="CH5" s="600"/>
      <c r="CI5" s="600"/>
      <c r="CJ5" s="600"/>
      <c r="CK5" s="600"/>
      <c r="CL5" s="600"/>
      <c r="CM5" s="600"/>
      <c r="CN5" s="600"/>
      <c r="CO5" s="600"/>
      <c r="CP5" s="600"/>
      <c r="CQ5" s="600"/>
      <c r="CR5" s="600"/>
      <c r="CS5" s="600"/>
      <c r="CT5" s="600"/>
      <c r="CU5" s="600"/>
      <c r="CV5" s="600"/>
      <c r="CW5" s="600"/>
      <c r="CX5" s="600"/>
      <c r="CY5" s="600"/>
      <c r="CZ5" s="600"/>
      <c r="DA5" s="600"/>
      <c r="DB5" s="600"/>
      <c r="DC5" s="600"/>
      <c r="DD5" s="600"/>
      <c r="DE5" s="600"/>
      <c r="DF5" s="600"/>
      <c r="DG5" s="600"/>
      <c r="DH5" s="600"/>
      <c r="DI5" s="600"/>
      <c r="DJ5" s="600"/>
      <c r="DK5" s="600"/>
      <c r="DL5" s="600"/>
      <c r="DM5" s="600"/>
      <c r="DN5" s="600"/>
      <c r="DO5" s="600"/>
      <c r="DP5" s="600"/>
      <c r="DQ5" s="600"/>
      <c r="DR5" s="600"/>
      <c r="DS5" s="600"/>
      <c r="DT5" s="600"/>
      <c r="DU5" s="600"/>
      <c r="DV5" s="600"/>
      <c r="DW5" s="600"/>
      <c r="DX5" s="600"/>
      <c r="DY5" s="600"/>
      <c r="DZ5" s="600"/>
      <c r="EA5" s="600"/>
      <c r="EB5" s="600"/>
      <c r="EC5" s="600"/>
      <c r="ED5" s="600"/>
      <c r="EE5" s="600"/>
      <c r="EF5" s="600"/>
      <c r="EG5" s="600"/>
      <c r="EH5" s="600"/>
      <c r="EI5" s="600"/>
      <c r="EJ5" s="600"/>
      <c r="EK5" s="600"/>
      <c r="EL5" s="600"/>
      <c r="EM5" s="600"/>
      <c r="EN5" s="600"/>
      <c r="EO5" s="600"/>
      <c r="EP5" s="600"/>
      <c r="EQ5" s="600"/>
      <c r="ER5" s="600"/>
      <c r="ES5" s="600"/>
      <c r="ET5" s="600"/>
      <c r="EU5" s="600"/>
      <c r="EV5" s="600"/>
      <c r="EW5" s="600"/>
      <c r="EX5" s="600"/>
      <c r="EY5" s="600"/>
      <c r="EZ5" s="600"/>
      <c r="FA5" s="600"/>
      <c r="FB5" s="600"/>
      <c r="FC5" s="600"/>
      <c r="FD5" s="600"/>
      <c r="FE5" s="600"/>
      <c r="FF5" s="600"/>
      <c r="FG5" s="600"/>
      <c r="FH5" s="600"/>
      <c r="FI5" s="600"/>
      <c r="FJ5" s="600"/>
      <c r="FK5" s="600"/>
      <c r="FL5" s="600"/>
      <c r="FM5" s="600"/>
      <c r="FN5" s="600"/>
      <c r="FO5" s="600"/>
      <c r="FP5" s="600"/>
      <c r="FQ5" s="600"/>
      <c r="FR5" s="600"/>
      <c r="FS5" s="600"/>
      <c r="FT5" s="600"/>
      <c r="FU5" s="600"/>
      <c r="FV5" s="600"/>
      <c r="FW5" s="600"/>
      <c r="FX5" s="600"/>
      <c r="FY5" s="600"/>
      <c r="FZ5" s="600"/>
      <c r="GA5" s="600"/>
      <c r="GB5" s="600"/>
      <c r="GC5" s="600"/>
      <c r="GD5" s="600"/>
      <c r="GE5" s="600"/>
      <c r="GF5" s="600"/>
      <c r="GG5" s="600"/>
      <c r="GH5" s="600"/>
      <c r="GI5" s="600"/>
      <c r="GJ5" s="600"/>
      <c r="GK5" s="600"/>
      <c r="GL5" s="600"/>
      <c r="GM5" s="600"/>
      <c r="GN5" s="600"/>
      <c r="GO5" s="600"/>
      <c r="GP5" s="600"/>
      <c r="GQ5" s="600"/>
      <c r="GR5" s="600"/>
      <c r="GS5" s="600"/>
      <c r="GT5" s="600"/>
      <c r="GU5" s="600"/>
      <c r="GV5" s="600"/>
      <c r="GW5" s="600"/>
      <c r="GX5" s="600"/>
      <c r="GY5" s="600"/>
      <c r="GZ5" s="600"/>
      <c r="HA5" s="600"/>
      <c r="HB5" s="600"/>
      <c r="HC5" s="600"/>
      <c r="HD5" s="600"/>
      <c r="HE5" s="600"/>
      <c r="HF5" s="600"/>
      <c r="HG5" s="600"/>
      <c r="HH5" s="600"/>
      <c r="HI5" s="600"/>
      <c r="HJ5" s="600"/>
      <c r="HK5" s="600"/>
      <c r="HL5" s="600"/>
      <c r="HM5" s="600"/>
      <c r="HN5" s="600"/>
      <c r="HO5" s="600"/>
      <c r="HP5" s="600"/>
      <c r="HQ5" s="600"/>
      <c r="HR5" s="600"/>
      <c r="HS5" s="600"/>
      <c r="HT5" s="600"/>
      <c r="HU5" s="600"/>
      <c r="HV5" s="600"/>
      <c r="HW5" s="600"/>
      <c r="HX5" s="600"/>
      <c r="HY5" s="600"/>
      <c r="HZ5" s="600"/>
      <c r="IA5" s="600"/>
      <c r="IB5" s="600"/>
      <c r="IC5" s="600"/>
      <c r="ID5" s="600"/>
      <c r="IE5" s="600"/>
      <c r="IF5" s="600"/>
      <c r="IG5" s="600"/>
      <c r="IH5" s="600"/>
      <c r="II5" s="600"/>
      <c r="IJ5" s="600"/>
      <c r="IK5" s="600"/>
      <c r="IL5" s="600"/>
      <c r="IM5" s="600"/>
      <c r="IN5" s="600"/>
      <c r="IO5" s="600"/>
      <c r="IP5" s="600"/>
      <c r="IQ5" s="600"/>
      <c r="IR5" s="600"/>
      <c r="IS5" s="600"/>
    </row>
    <row r="6" spans="1:253" s="601" customFormat="1">
      <c r="A6" s="463" t="s">
        <v>32</v>
      </c>
      <c r="B6" s="460">
        <f>'Sources and Uses Budget'!$C5</f>
        <v>0</v>
      </c>
      <c r="C6" s="460">
        <f>'Sources and Uses Budget'!$C5</f>
        <v>0</v>
      </c>
      <c r="D6" s="464">
        <f t="shared" ref="D6:D74" si="0">C6-B6</f>
        <v>0</v>
      </c>
      <c r="E6" s="462"/>
      <c r="F6" s="461"/>
      <c r="G6" s="605"/>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c r="AT6" s="600"/>
      <c r="AU6" s="600"/>
      <c r="AV6" s="600"/>
      <c r="AW6" s="600"/>
      <c r="AX6" s="600"/>
      <c r="AY6" s="600"/>
      <c r="AZ6" s="600"/>
      <c r="BA6" s="600"/>
      <c r="BB6" s="600"/>
      <c r="BC6" s="600"/>
      <c r="BD6" s="600"/>
      <c r="BE6" s="600"/>
      <c r="BF6" s="600"/>
      <c r="BG6" s="600"/>
      <c r="BH6" s="600"/>
      <c r="BI6" s="600"/>
      <c r="BJ6" s="600"/>
      <c r="BK6" s="600"/>
      <c r="BL6" s="600"/>
      <c r="BM6" s="600"/>
      <c r="BN6" s="600"/>
      <c r="BO6" s="600"/>
      <c r="BP6" s="600"/>
      <c r="BQ6" s="600"/>
      <c r="BR6" s="600"/>
      <c r="BS6" s="600"/>
      <c r="BT6" s="600"/>
      <c r="BU6" s="600"/>
      <c r="BV6" s="600"/>
      <c r="BW6" s="600"/>
      <c r="BX6" s="600"/>
      <c r="BY6" s="600"/>
      <c r="BZ6" s="600"/>
      <c r="CA6" s="600"/>
      <c r="CB6" s="600"/>
      <c r="CC6" s="600"/>
      <c r="CD6" s="600"/>
      <c r="CE6" s="600"/>
      <c r="CF6" s="600"/>
      <c r="CG6" s="600"/>
      <c r="CH6" s="600"/>
      <c r="CI6" s="600"/>
      <c r="CJ6" s="600"/>
      <c r="CK6" s="600"/>
      <c r="CL6" s="600"/>
      <c r="CM6" s="600"/>
      <c r="CN6" s="600"/>
      <c r="CO6" s="600"/>
      <c r="CP6" s="600"/>
      <c r="CQ6" s="600"/>
      <c r="CR6" s="600"/>
      <c r="CS6" s="600"/>
      <c r="CT6" s="600"/>
      <c r="CU6" s="600"/>
      <c r="CV6" s="600"/>
      <c r="CW6" s="600"/>
      <c r="CX6" s="600"/>
      <c r="CY6" s="600"/>
      <c r="CZ6" s="600"/>
      <c r="DA6" s="600"/>
      <c r="DB6" s="600"/>
      <c r="DC6" s="600"/>
      <c r="DD6" s="600"/>
      <c r="DE6" s="600"/>
      <c r="DF6" s="600"/>
      <c r="DG6" s="600"/>
      <c r="DH6" s="600"/>
      <c r="DI6" s="600"/>
      <c r="DJ6" s="600"/>
      <c r="DK6" s="600"/>
      <c r="DL6" s="600"/>
      <c r="DM6" s="600"/>
      <c r="DN6" s="600"/>
      <c r="DO6" s="600"/>
      <c r="DP6" s="600"/>
      <c r="DQ6" s="600"/>
      <c r="DR6" s="600"/>
      <c r="DS6" s="600"/>
      <c r="DT6" s="600"/>
      <c r="DU6" s="600"/>
      <c r="DV6" s="600"/>
      <c r="DW6" s="600"/>
      <c r="DX6" s="600"/>
      <c r="DY6" s="600"/>
      <c r="DZ6" s="600"/>
      <c r="EA6" s="600"/>
      <c r="EB6" s="600"/>
      <c r="EC6" s="600"/>
      <c r="ED6" s="600"/>
      <c r="EE6" s="600"/>
      <c r="EF6" s="600"/>
      <c r="EG6" s="600"/>
      <c r="EH6" s="600"/>
      <c r="EI6" s="600"/>
      <c r="EJ6" s="600"/>
      <c r="EK6" s="600"/>
      <c r="EL6" s="600"/>
      <c r="EM6" s="600"/>
      <c r="EN6" s="600"/>
      <c r="EO6" s="600"/>
      <c r="EP6" s="600"/>
      <c r="EQ6" s="600"/>
      <c r="ER6" s="600"/>
      <c r="ES6" s="600"/>
      <c r="ET6" s="600"/>
      <c r="EU6" s="600"/>
      <c r="EV6" s="600"/>
      <c r="EW6" s="600"/>
      <c r="EX6" s="600"/>
      <c r="EY6" s="600"/>
      <c r="EZ6" s="600"/>
      <c r="FA6" s="600"/>
      <c r="FB6" s="600"/>
      <c r="FC6" s="600"/>
      <c r="FD6" s="600"/>
      <c r="FE6" s="600"/>
      <c r="FF6" s="600"/>
      <c r="FG6" s="600"/>
      <c r="FH6" s="600"/>
      <c r="FI6" s="600"/>
      <c r="FJ6" s="600"/>
      <c r="FK6" s="600"/>
      <c r="FL6" s="600"/>
      <c r="FM6" s="600"/>
      <c r="FN6" s="600"/>
      <c r="FO6" s="600"/>
      <c r="FP6" s="600"/>
      <c r="FQ6" s="600"/>
      <c r="FR6" s="600"/>
      <c r="FS6" s="600"/>
      <c r="FT6" s="600"/>
      <c r="FU6" s="600"/>
      <c r="FV6" s="600"/>
      <c r="FW6" s="600"/>
      <c r="FX6" s="600"/>
      <c r="FY6" s="600"/>
      <c r="FZ6" s="600"/>
      <c r="GA6" s="600"/>
      <c r="GB6" s="600"/>
      <c r="GC6" s="600"/>
      <c r="GD6" s="600"/>
      <c r="GE6" s="600"/>
      <c r="GF6" s="600"/>
      <c r="GG6" s="600"/>
      <c r="GH6" s="600"/>
      <c r="GI6" s="600"/>
      <c r="GJ6" s="600"/>
      <c r="GK6" s="600"/>
      <c r="GL6" s="600"/>
      <c r="GM6" s="600"/>
      <c r="GN6" s="600"/>
      <c r="GO6" s="600"/>
      <c r="GP6" s="600"/>
      <c r="GQ6" s="600"/>
      <c r="GR6" s="600"/>
      <c r="GS6" s="600"/>
      <c r="GT6" s="600"/>
      <c r="GU6" s="600"/>
      <c r="GV6" s="600"/>
      <c r="GW6" s="600"/>
      <c r="GX6" s="600"/>
      <c r="GY6" s="600"/>
      <c r="GZ6" s="600"/>
      <c r="HA6" s="600"/>
      <c r="HB6" s="600"/>
      <c r="HC6" s="600"/>
      <c r="HD6" s="600"/>
      <c r="HE6" s="600"/>
      <c r="HF6" s="600"/>
      <c r="HG6" s="600"/>
      <c r="HH6" s="600"/>
      <c r="HI6" s="600"/>
      <c r="HJ6" s="600"/>
      <c r="HK6" s="600"/>
      <c r="HL6" s="600"/>
      <c r="HM6" s="600"/>
      <c r="HN6" s="600"/>
      <c r="HO6" s="600"/>
      <c r="HP6" s="600"/>
      <c r="HQ6" s="600"/>
      <c r="HR6" s="600"/>
      <c r="HS6" s="600"/>
      <c r="HT6" s="600"/>
      <c r="HU6" s="600"/>
      <c r="HV6" s="600"/>
      <c r="HW6" s="600"/>
      <c r="HX6" s="600"/>
      <c r="HY6" s="600"/>
      <c r="HZ6" s="600"/>
      <c r="IA6" s="600"/>
      <c r="IB6" s="600"/>
      <c r="IC6" s="600"/>
      <c r="ID6" s="600"/>
      <c r="IE6" s="600"/>
      <c r="IF6" s="600"/>
      <c r="IG6" s="600"/>
      <c r="IH6" s="600"/>
      <c r="II6" s="600"/>
      <c r="IJ6" s="600"/>
      <c r="IK6" s="600"/>
      <c r="IL6" s="600"/>
      <c r="IM6" s="600"/>
      <c r="IN6" s="600"/>
      <c r="IO6" s="600"/>
      <c r="IP6" s="600"/>
      <c r="IQ6" s="600"/>
      <c r="IR6" s="600"/>
      <c r="IS6" s="600"/>
    </row>
    <row r="7" spans="1:253" s="601" customFormat="1">
      <c r="A7" s="463" t="s">
        <v>33</v>
      </c>
      <c r="B7" s="460">
        <f>'Sources and Uses Budget'!$C6</f>
        <v>0</v>
      </c>
      <c r="C7" s="460">
        <f>'Sources and Uses Budget'!$C6</f>
        <v>0</v>
      </c>
      <c r="D7" s="464">
        <f t="shared" si="0"/>
        <v>0</v>
      </c>
      <c r="E7" s="462"/>
      <c r="F7" s="461"/>
      <c r="G7" s="605"/>
      <c r="H7" s="600"/>
      <c r="I7" s="600"/>
      <c r="J7" s="600"/>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c r="AT7" s="600"/>
      <c r="AU7" s="600"/>
      <c r="AV7" s="600"/>
      <c r="AW7" s="600"/>
      <c r="AX7" s="600"/>
      <c r="AY7" s="600"/>
      <c r="AZ7" s="600"/>
      <c r="BA7" s="600"/>
      <c r="BB7" s="600"/>
      <c r="BC7" s="600"/>
      <c r="BD7" s="600"/>
      <c r="BE7" s="600"/>
      <c r="BF7" s="600"/>
      <c r="BG7" s="600"/>
      <c r="BH7" s="600"/>
      <c r="BI7" s="600"/>
      <c r="BJ7" s="600"/>
      <c r="BK7" s="600"/>
      <c r="BL7" s="600"/>
      <c r="BM7" s="600"/>
      <c r="BN7" s="600"/>
      <c r="BO7" s="600"/>
      <c r="BP7" s="600"/>
      <c r="BQ7" s="600"/>
      <c r="BR7" s="600"/>
      <c r="BS7" s="600"/>
      <c r="BT7" s="600"/>
      <c r="BU7" s="600"/>
      <c r="BV7" s="600"/>
      <c r="BW7" s="600"/>
      <c r="BX7" s="600"/>
      <c r="BY7" s="600"/>
      <c r="BZ7" s="600"/>
      <c r="CA7" s="600"/>
      <c r="CB7" s="600"/>
      <c r="CC7" s="600"/>
      <c r="CD7" s="600"/>
      <c r="CE7" s="600"/>
      <c r="CF7" s="600"/>
      <c r="CG7" s="600"/>
      <c r="CH7" s="600"/>
      <c r="CI7" s="600"/>
      <c r="CJ7" s="600"/>
      <c r="CK7" s="600"/>
      <c r="CL7" s="600"/>
      <c r="CM7" s="600"/>
      <c r="CN7" s="600"/>
      <c r="CO7" s="600"/>
      <c r="CP7" s="600"/>
      <c r="CQ7" s="600"/>
      <c r="CR7" s="600"/>
      <c r="CS7" s="600"/>
      <c r="CT7" s="600"/>
      <c r="CU7" s="600"/>
      <c r="CV7" s="600"/>
      <c r="CW7" s="600"/>
      <c r="CX7" s="600"/>
      <c r="CY7" s="600"/>
      <c r="CZ7" s="600"/>
      <c r="DA7" s="600"/>
      <c r="DB7" s="600"/>
      <c r="DC7" s="600"/>
      <c r="DD7" s="600"/>
      <c r="DE7" s="600"/>
      <c r="DF7" s="600"/>
      <c r="DG7" s="600"/>
      <c r="DH7" s="600"/>
      <c r="DI7" s="600"/>
      <c r="DJ7" s="600"/>
      <c r="DK7" s="600"/>
      <c r="DL7" s="600"/>
      <c r="DM7" s="600"/>
      <c r="DN7" s="600"/>
      <c r="DO7" s="600"/>
      <c r="DP7" s="600"/>
      <c r="DQ7" s="600"/>
      <c r="DR7" s="600"/>
      <c r="DS7" s="600"/>
      <c r="DT7" s="600"/>
      <c r="DU7" s="600"/>
      <c r="DV7" s="600"/>
      <c r="DW7" s="600"/>
      <c r="DX7" s="600"/>
      <c r="DY7" s="600"/>
      <c r="DZ7" s="600"/>
      <c r="EA7" s="600"/>
      <c r="EB7" s="600"/>
      <c r="EC7" s="600"/>
      <c r="ED7" s="600"/>
      <c r="EE7" s="600"/>
      <c r="EF7" s="600"/>
      <c r="EG7" s="600"/>
      <c r="EH7" s="600"/>
      <c r="EI7" s="600"/>
      <c r="EJ7" s="600"/>
      <c r="EK7" s="600"/>
      <c r="EL7" s="600"/>
      <c r="EM7" s="600"/>
      <c r="EN7" s="600"/>
      <c r="EO7" s="600"/>
      <c r="EP7" s="600"/>
      <c r="EQ7" s="600"/>
      <c r="ER7" s="600"/>
      <c r="ES7" s="600"/>
      <c r="ET7" s="600"/>
      <c r="EU7" s="600"/>
      <c r="EV7" s="600"/>
      <c r="EW7" s="600"/>
      <c r="EX7" s="600"/>
      <c r="EY7" s="600"/>
      <c r="EZ7" s="600"/>
      <c r="FA7" s="600"/>
      <c r="FB7" s="600"/>
      <c r="FC7" s="600"/>
      <c r="FD7" s="600"/>
      <c r="FE7" s="600"/>
      <c r="FF7" s="600"/>
      <c r="FG7" s="600"/>
      <c r="FH7" s="600"/>
      <c r="FI7" s="600"/>
      <c r="FJ7" s="600"/>
      <c r="FK7" s="600"/>
      <c r="FL7" s="600"/>
      <c r="FM7" s="600"/>
      <c r="FN7" s="600"/>
      <c r="FO7" s="600"/>
      <c r="FP7" s="600"/>
      <c r="FQ7" s="600"/>
      <c r="FR7" s="600"/>
      <c r="FS7" s="600"/>
      <c r="FT7" s="600"/>
      <c r="FU7" s="600"/>
      <c r="FV7" s="600"/>
      <c r="FW7" s="600"/>
      <c r="FX7" s="600"/>
      <c r="FY7" s="600"/>
      <c r="FZ7" s="600"/>
      <c r="GA7" s="600"/>
      <c r="GB7" s="600"/>
      <c r="GC7" s="600"/>
      <c r="GD7" s="600"/>
      <c r="GE7" s="600"/>
      <c r="GF7" s="600"/>
      <c r="GG7" s="600"/>
      <c r="GH7" s="600"/>
      <c r="GI7" s="600"/>
      <c r="GJ7" s="600"/>
      <c r="GK7" s="600"/>
      <c r="GL7" s="600"/>
      <c r="GM7" s="600"/>
      <c r="GN7" s="600"/>
      <c r="GO7" s="600"/>
      <c r="GP7" s="600"/>
      <c r="GQ7" s="600"/>
      <c r="GR7" s="600"/>
      <c r="GS7" s="600"/>
      <c r="GT7" s="600"/>
      <c r="GU7" s="600"/>
      <c r="GV7" s="600"/>
      <c r="GW7" s="600"/>
      <c r="GX7" s="600"/>
      <c r="GY7" s="600"/>
      <c r="GZ7" s="600"/>
      <c r="HA7" s="600"/>
      <c r="HB7" s="600"/>
      <c r="HC7" s="600"/>
      <c r="HD7" s="600"/>
      <c r="HE7" s="600"/>
      <c r="HF7" s="600"/>
      <c r="HG7" s="600"/>
      <c r="HH7" s="600"/>
      <c r="HI7" s="600"/>
      <c r="HJ7" s="600"/>
      <c r="HK7" s="600"/>
      <c r="HL7" s="600"/>
      <c r="HM7" s="600"/>
      <c r="HN7" s="600"/>
      <c r="HO7" s="600"/>
      <c r="HP7" s="600"/>
      <c r="HQ7" s="600"/>
      <c r="HR7" s="600"/>
      <c r="HS7" s="600"/>
      <c r="HT7" s="600"/>
      <c r="HU7" s="600"/>
      <c r="HV7" s="600"/>
      <c r="HW7" s="600"/>
      <c r="HX7" s="600"/>
      <c r="HY7" s="600"/>
      <c r="HZ7" s="600"/>
      <c r="IA7" s="600"/>
      <c r="IB7" s="600"/>
      <c r="IC7" s="600"/>
      <c r="ID7" s="600"/>
      <c r="IE7" s="600"/>
      <c r="IF7" s="600"/>
      <c r="IG7" s="600"/>
      <c r="IH7" s="600"/>
      <c r="II7" s="600"/>
      <c r="IJ7" s="600"/>
      <c r="IK7" s="600"/>
      <c r="IL7" s="600"/>
      <c r="IM7" s="600"/>
      <c r="IN7" s="600"/>
      <c r="IO7" s="600"/>
      <c r="IP7" s="600"/>
      <c r="IQ7" s="600"/>
      <c r="IR7" s="600"/>
      <c r="IS7" s="600"/>
    </row>
    <row r="8" spans="1:253" s="601" customFormat="1">
      <c r="A8" s="463" t="s">
        <v>105</v>
      </c>
      <c r="B8" s="460">
        <f>'Sources and Uses Budget'!$C7</f>
        <v>0</v>
      </c>
      <c r="C8" s="460">
        <f>'Sources and Uses Budget'!$C7</f>
        <v>0</v>
      </c>
      <c r="D8" s="464">
        <f t="shared" si="0"/>
        <v>0</v>
      </c>
      <c r="E8" s="462"/>
      <c r="F8" s="461"/>
      <c r="G8" s="605"/>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600"/>
      <c r="AZ8" s="600"/>
      <c r="BA8" s="600"/>
      <c r="BB8" s="600"/>
      <c r="BC8" s="600"/>
      <c r="BD8" s="600"/>
      <c r="BE8" s="600"/>
      <c r="BF8" s="600"/>
      <c r="BG8" s="600"/>
      <c r="BH8" s="600"/>
      <c r="BI8" s="600"/>
      <c r="BJ8" s="600"/>
      <c r="BK8" s="600"/>
      <c r="BL8" s="600"/>
      <c r="BM8" s="600"/>
      <c r="BN8" s="600"/>
      <c r="BO8" s="600"/>
      <c r="BP8" s="600"/>
      <c r="BQ8" s="600"/>
      <c r="BR8" s="600"/>
      <c r="BS8" s="600"/>
      <c r="BT8" s="600"/>
      <c r="BU8" s="600"/>
      <c r="BV8" s="600"/>
      <c r="BW8" s="600"/>
      <c r="BX8" s="600"/>
      <c r="BY8" s="600"/>
      <c r="BZ8" s="600"/>
      <c r="CA8" s="600"/>
      <c r="CB8" s="600"/>
      <c r="CC8" s="600"/>
      <c r="CD8" s="600"/>
      <c r="CE8" s="600"/>
      <c r="CF8" s="600"/>
      <c r="CG8" s="600"/>
      <c r="CH8" s="600"/>
      <c r="CI8" s="600"/>
      <c r="CJ8" s="600"/>
      <c r="CK8" s="600"/>
      <c r="CL8" s="600"/>
      <c r="CM8" s="600"/>
      <c r="CN8" s="600"/>
      <c r="CO8" s="600"/>
      <c r="CP8" s="600"/>
      <c r="CQ8" s="600"/>
      <c r="CR8" s="600"/>
      <c r="CS8" s="600"/>
      <c r="CT8" s="600"/>
      <c r="CU8" s="600"/>
      <c r="CV8" s="600"/>
      <c r="CW8" s="600"/>
      <c r="CX8" s="600"/>
      <c r="CY8" s="600"/>
      <c r="CZ8" s="600"/>
      <c r="DA8" s="600"/>
      <c r="DB8" s="600"/>
      <c r="DC8" s="600"/>
      <c r="DD8" s="600"/>
      <c r="DE8" s="600"/>
      <c r="DF8" s="600"/>
      <c r="DG8" s="600"/>
      <c r="DH8" s="600"/>
      <c r="DI8" s="600"/>
      <c r="DJ8" s="600"/>
      <c r="DK8" s="600"/>
      <c r="DL8" s="600"/>
      <c r="DM8" s="600"/>
      <c r="DN8" s="600"/>
      <c r="DO8" s="600"/>
      <c r="DP8" s="600"/>
      <c r="DQ8" s="600"/>
      <c r="DR8" s="600"/>
      <c r="DS8" s="600"/>
      <c r="DT8" s="600"/>
      <c r="DU8" s="600"/>
      <c r="DV8" s="600"/>
      <c r="DW8" s="600"/>
      <c r="DX8" s="600"/>
      <c r="DY8" s="600"/>
      <c r="DZ8" s="600"/>
      <c r="EA8" s="600"/>
      <c r="EB8" s="600"/>
      <c r="EC8" s="600"/>
      <c r="ED8" s="600"/>
      <c r="EE8" s="600"/>
      <c r="EF8" s="600"/>
      <c r="EG8" s="600"/>
      <c r="EH8" s="600"/>
      <c r="EI8" s="600"/>
      <c r="EJ8" s="600"/>
      <c r="EK8" s="600"/>
      <c r="EL8" s="600"/>
      <c r="EM8" s="600"/>
      <c r="EN8" s="600"/>
      <c r="EO8" s="600"/>
      <c r="EP8" s="600"/>
      <c r="EQ8" s="600"/>
      <c r="ER8" s="600"/>
      <c r="ES8" s="600"/>
      <c r="ET8" s="600"/>
      <c r="EU8" s="600"/>
      <c r="EV8" s="600"/>
      <c r="EW8" s="600"/>
      <c r="EX8" s="600"/>
      <c r="EY8" s="600"/>
      <c r="EZ8" s="600"/>
      <c r="FA8" s="600"/>
      <c r="FB8" s="600"/>
      <c r="FC8" s="600"/>
      <c r="FD8" s="600"/>
      <c r="FE8" s="600"/>
      <c r="FF8" s="600"/>
      <c r="FG8" s="600"/>
      <c r="FH8" s="600"/>
      <c r="FI8" s="600"/>
      <c r="FJ8" s="600"/>
      <c r="FK8" s="600"/>
      <c r="FL8" s="600"/>
      <c r="FM8" s="600"/>
      <c r="FN8" s="600"/>
      <c r="FO8" s="600"/>
      <c r="FP8" s="600"/>
      <c r="FQ8" s="600"/>
      <c r="FR8" s="600"/>
      <c r="FS8" s="600"/>
      <c r="FT8" s="600"/>
      <c r="FU8" s="600"/>
      <c r="FV8" s="600"/>
      <c r="FW8" s="600"/>
      <c r="FX8" s="600"/>
      <c r="FY8" s="600"/>
      <c r="FZ8" s="600"/>
      <c r="GA8" s="600"/>
      <c r="GB8" s="600"/>
      <c r="GC8" s="600"/>
      <c r="GD8" s="600"/>
      <c r="GE8" s="600"/>
      <c r="GF8" s="600"/>
      <c r="GG8" s="600"/>
      <c r="GH8" s="600"/>
      <c r="GI8" s="600"/>
      <c r="GJ8" s="600"/>
      <c r="GK8" s="600"/>
      <c r="GL8" s="600"/>
      <c r="GM8" s="600"/>
      <c r="GN8" s="600"/>
      <c r="GO8" s="600"/>
      <c r="GP8" s="600"/>
      <c r="GQ8" s="600"/>
      <c r="GR8" s="600"/>
      <c r="GS8" s="600"/>
      <c r="GT8" s="600"/>
      <c r="GU8" s="600"/>
      <c r="GV8" s="600"/>
      <c r="GW8" s="600"/>
      <c r="GX8" s="600"/>
      <c r="GY8" s="600"/>
      <c r="GZ8" s="600"/>
      <c r="HA8" s="600"/>
      <c r="HB8" s="600"/>
      <c r="HC8" s="600"/>
      <c r="HD8" s="600"/>
      <c r="HE8" s="600"/>
      <c r="HF8" s="600"/>
      <c r="HG8" s="600"/>
      <c r="HH8" s="600"/>
      <c r="HI8" s="600"/>
      <c r="HJ8" s="600"/>
      <c r="HK8" s="600"/>
      <c r="HL8" s="600"/>
      <c r="HM8" s="600"/>
      <c r="HN8" s="600"/>
      <c r="HO8" s="600"/>
      <c r="HP8" s="600"/>
      <c r="HQ8" s="600"/>
      <c r="HR8" s="600"/>
      <c r="HS8" s="600"/>
      <c r="HT8" s="600"/>
      <c r="HU8" s="600"/>
      <c r="HV8" s="600"/>
      <c r="HW8" s="600"/>
      <c r="HX8" s="600"/>
      <c r="HY8" s="600"/>
      <c r="HZ8" s="600"/>
      <c r="IA8" s="600"/>
      <c r="IB8" s="600"/>
      <c r="IC8" s="600"/>
      <c r="ID8" s="600"/>
      <c r="IE8" s="600"/>
      <c r="IF8" s="600"/>
      <c r="IG8" s="600"/>
      <c r="IH8" s="600"/>
      <c r="II8" s="600"/>
      <c r="IJ8" s="600"/>
      <c r="IK8" s="600"/>
      <c r="IL8" s="600"/>
      <c r="IM8" s="600"/>
      <c r="IN8" s="600"/>
      <c r="IO8" s="600"/>
      <c r="IP8" s="600"/>
      <c r="IQ8" s="600"/>
      <c r="IR8" s="600"/>
      <c r="IS8" s="600"/>
    </row>
    <row r="9" spans="1:253" s="601" customFormat="1">
      <c r="A9" s="465" t="s">
        <v>674</v>
      </c>
      <c r="B9" s="464">
        <f>SUM(B5:B8)</f>
        <v>421223.54771784233</v>
      </c>
      <c r="C9" s="464">
        <f>SUM(C5:C8)</f>
        <v>421223.54771784233</v>
      </c>
      <c r="D9" s="464">
        <f t="shared" si="0"/>
        <v>0</v>
      </c>
      <c r="E9" s="462"/>
      <c r="F9" s="461"/>
      <c r="G9" s="605"/>
      <c r="H9" s="600"/>
      <c r="I9" s="600"/>
      <c r="J9" s="600"/>
      <c r="K9" s="600"/>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c r="AT9" s="600"/>
      <c r="AU9" s="600"/>
      <c r="AV9" s="600"/>
      <c r="AW9" s="600"/>
      <c r="AX9" s="600"/>
      <c r="AY9" s="600"/>
      <c r="AZ9" s="600"/>
      <c r="BA9" s="600"/>
      <c r="BB9" s="600"/>
      <c r="BC9" s="600"/>
      <c r="BD9" s="600"/>
      <c r="BE9" s="600"/>
      <c r="BF9" s="600"/>
      <c r="BG9" s="600"/>
      <c r="BH9" s="600"/>
      <c r="BI9" s="600"/>
      <c r="BJ9" s="600"/>
      <c r="BK9" s="600"/>
      <c r="BL9" s="600"/>
      <c r="BM9" s="600"/>
      <c r="BN9" s="600"/>
      <c r="BO9" s="600"/>
      <c r="BP9" s="600"/>
      <c r="BQ9" s="600"/>
      <c r="BR9" s="600"/>
      <c r="BS9" s="600"/>
      <c r="BT9" s="600"/>
      <c r="BU9" s="600"/>
      <c r="BV9" s="600"/>
      <c r="BW9" s="600"/>
      <c r="BX9" s="600"/>
      <c r="BY9" s="600"/>
      <c r="BZ9" s="600"/>
      <c r="CA9" s="600"/>
      <c r="CB9" s="600"/>
      <c r="CC9" s="600"/>
      <c r="CD9" s="600"/>
      <c r="CE9" s="600"/>
      <c r="CF9" s="600"/>
      <c r="CG9" s="600"/>
      <c r="CH9" s="600"/>
      <c r="CI9" s="600"/>
      <c r="CJ9" s="600"/>
      <c r="CK9" s="600"/>
      <c r="CL9" s="600"/>
      <c r="CM9" s="600"/>
      <c r="CN9" s="600"/>
      <c r="CO9" s="600"/>
      <c r="CP9" s="600"/>
      <c r="CQ9" s="600"/>
      <c r="CR9" s="600"/>
      <c r="CS9" s="600"/>
      <c r="CT9" s="600"/>
      <c r="CU9" s="600"/>
      <c r="CV9" s="600"/>
      <c r="CW9" s="600"/>
      <c r="CX9" s="600"/>
      <c r="CY9" s="600"/>
      <c r="CZ9" s="600"/>
      <c r="DA9" s="600"/>
      <c r="DB9" s="600"/>
      <c r="DC9" s="600"/>
      <c r="DD9" s="600"/>
      <c r="DE9" s="600"/>
      <c r="DF9" s="600"/>
      <c r="DG9" s="600"/>
      <c r="DH9" s="600"/>
      <c r="DI9" s="600"/>
      <c r="DJ9" s="600"/>
      <c r="DK9" s="600"/>
      <c r="DL9" s="600"/>
      <c r="DM9" s="600"/>
      <c r="DN9" s="600"/>
      <c r="DO9" s="600"/>
      <c r="DP9" s="600"/>
      <c r="DQ9" s="600"/>
      <c r="DR9" s="600"/>
      <c r="DS9" s="600"/>
      <c r="DT9" s="600"/>
      <c r="DU9" s="600"/>
      <c r="DV9" s="600"/>
      <c r="DW9" s="600"/>
      <c r="DX9" s="600"/>
      <c r="DY9" s="600"/>
      <c r="DZ9" s="600"/>
      <c r="EA9" s="600"/>
      <c r="EB9" s="600"/>
      <c r="EC9" s="600"/>
      <c r="ED9" s="600"/>
      <c r="EE9" s="600"/>
      <c r="EF9" s="600"/>
      <c r="EG9" s="600"/>
      <c r="EH9" s="600"/>
      <c r="EI9" s="600"/>
      <c r="EJ9" s="600"/>
      <c r="EK9" s="600"/>
      <c r="EL9" s="600"/>
      <c r="EM9" s="600"/>
      <c r="EN9" s="600"/>
      <c r="EO9" s="600"/>
      <c r="EP9" s="600"/>
      <c r="EQ9" s="600"/>
      <c r="ER9" s="600"/>
      <c r="ES9" s="600"/>
      <c r="ET9" s="600"/>
      <c r="EU9" s="600"/>
      <c r="EV9" s="600"/>
      <c r="EW9" s="600"/>
      <c r="EX9" s="600"/>
      <c r="EY9" s="600"/>
      <c r="EZ9" s="600"/>
      <c r="FA9" s="600"/>
      <c r="FB9" s="600"/>
      <c r="FC9" s="600"/>
      <c r="FD9" s="600"/>
      <c r="FE9" s="600"/>
      <c r="FF9" s="600"/>
      <c r="FG9" s="600"/>
      <c r="FH9" s="600"/>
      <c r="FI9" s="600"/>
      <c r="FJ9" s="600"/>
      <c r="FK9" s="600"/>
      <c r="FL9" s="600"/>
      <c r="FM9" s="600"/>
      <c r="FN9" s="600"/>
      <c r="FO9" s="600"/>
      <c r="FP9" s="600"/>
      <c r="FQ9" s="600"/>
      <c r="FR9" s="600"/>
      <c r="FS9" s="600"/>
      <c r="FT9" s="600"/>
      <c r="FU9" s="600"/>
      <c r="FV9" s="600"/>
      <c r="FW9" s="600"/>
      <c r="FX9" s="600"/>
      <c r="FY9" s="600"/>
      <c r="FZ9" s="600"/>
      <c r="GA9" s="600"/>
      <c r="GB9" s="600"/>
      <c r="GC9" s="600"/>
      <c r="GD9" s="600"/>
      <c r="GE9" s="600"/>
      <c r="GF9" s="600"/>
      <c r="GG9" s="600"/>
      <c r="GH9" s="600"/>
      <c r="GI9" s="600"/>
      <c r="GJ9" s="600"/>
      <c r="GK9" s="600"/>
      <c r="GL9" s="600"/>
      <c r="GM9" s="600"/>
      <c r="GN9" s="600"/>
      <c r="GO9" s="600"/>
      <c r="GP9" s="600"/>
      <c r="GQ9" s="600"/>
      <c r="GR9" s="600"/>
      <c r="GS9" s="600"/>
      <c r="GT9" s="600"/>
      <c r="GU9" s="600"/>
      <c r="GV9" s="600"/>
      <c r="GW9" s="600"/>
      <c r="GX9" s="600"/>
      <c r="GY9" s="600"/>
      <c r="GZ9" s="600"/>
      <c r="HA9" s="600"/>
      <c r="HB9" s="600"/>
      <c r="HC9" s="600"/>
      <c r="HD9" s="600"/>
      <c r="HE9" s="600"/>
      <c r="HF9" s="600"/>
      <c r="HG9" s="600"/>
      <c r="HH9" s="600"/>
      <c r="HI9" s="600"/>
      <c r="HJ9" s="600"/>
      <c r="HK9" s="600"/>
      <c r="HL9" s="600"/>
      <c r="HM9" s="600"/>
      <c r="HN9" s="600"/>
      <c r="HO9" s="600"/>
      <c r="HP9" s="600"/>
      <c r="HQ9" s="600"/>
      <c r="HR9" s="600"/>
      <c r="HS9" s="600"/>
      <c r="HT9" s="600"/>
      <c r="HU9" s="600"/>
      <c r="HV9" s="600"/>
      <c r="HW9" s="600"/>
      <c r="HX9" s="600"/>
      <c r="HY9" s="600"/>
      <c r="HZ9" s="600"/>
      <c r="IA9" s="600"/>
      <c r="IB9" s="600"/>
      <c r="IC9" s="600"/>
      <c r="ID9" s="600"/>
      <c r="IE9" s="600"/>
      <c r="IF9" s="600"/>
      <c r="IG9" s="600"/>
      <c r="IH9" s="600"/>
      <c r="II9" s="600"/>
      <c r="IJ9" s="600"/>
      <c r="IK9" s="600"/>
      <c r="IL9" s="600"/>
      <c r="IM9" s="600"/>
      <c r="IN9" s="600"/>
      <c r="IO9" s="600"/>
      <c r="IP9" s="600"/>
      <c r="IQ9" s="600"/>
      <c r="IR9" s="600"/>
      <c r="IS9" s="600"/>
    </row>
    <row r="10" spans="1:253" s="601" customFormat="1">
      <c r="A10" s="463" t="s">
        <v>675</v>
      </c>
      <c r="B10" s="460">
        <f>'Sources and Uses Budget'!$C9</f>
        <v>6553796</v>
      </c>
      <c r="C10" s="460">
        <f>'Sources and Uses Budget'!$C9</f>
        <v>6553796</v>
      </c>
      <c r="D10" s="464">
        <f t="shared" si="0"/>
        <v>0</v>
      </c>
      <c r="E10" s="462"/>
      <c r="F10" s="461"/>
      <c r="G10" s="605"/>
      <c r="H10" s="600"/>
      <c r="I10" s="600"/>
      <c r="J10" s="600"/>
      <c r="K10" s="600"/>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c r="CU10" s="600"/>
      <c r="CV10" s="600"/>
      <c r="CW10" s="600"/>
      <c r="CX10" s="600"/>
      <c r="CY10" s="600"/>
      <c r="CZ10" s="600"/>
      <c r="DA10" s="600"/>
      <c r="DB10" s="600"/>
      <c r="DC10" s="600"/>
      <c r="DD10" s="600"/>
      <c r="DE10" s="600"/>
      <c r="DF10" s="600"/>
      <c r="DG10" s="600"/>
      <c r="DH10" s="600"/>
      <c r="DI10" s="600"/>
      <c r="DJ10" s="600"/>
      <c r="DK10" s="600"/>
      <c r="DL10" s="600"/>
      <c r="DM10" s="600"/>
      <c r="DN10" s="600"/>
      <c r="DO10" s="600"/>
      <c r="DP10" s="600"/>
      <c r="DQ10" s="600"/>
      <c r="DR10" s="600"/>
      <c r="DS10" s="600"/>
      <c r="DT10" s="600"/>
      <c r="DU10" s="600"/>
      <c r="DV10" s="600"/>
      <c r="DW10" s="600"/>
      <c r="DX10" s="600"/>
      <c r="DY10" s="600"/>
      <c r="DZ10" s="600"/>
      <c r="EA10" s="600"/>
      <c r="EB10" s="600"/>
      <c r="EC10" s="600"/>
      <c r="ED10" s="600"/>
      <c r="EE10" s="600"/>
      <c r="EF10" s="600"/>
      <c r="EG10" s="600"/>
      <c r="EH10" s="600"/>
      <c r="EI10" s="600"/>
      <c r="EJ10" s="600"/>
      <c r="EK10" s="600"/>
      <c r="EL10" s="600"/>
      <c r="EM10" s="600"/>
      <c r="EN10" s="600"/>
      <c r="EO10" s="600"/>
      <c r="EP10" s="600"/>
      <c r="EQ10" s="600"/>
      <c r="ER10" s="600"/>
      <c r="ES10" s="600"/>
      <c r="ET10" s="600"/>
      <c r="EU10" s="600"/>
      <c r="EV10" s="600"/>
      <c r="EW10" s="600"/>
      <c r="EX10" s="600"/>
      <c r="EY10" s="600"/>
      <c r="EZ10" s="600"/>
      <c r="FA10" s="600"/>
      <c r="FB10" s="600"/>
      <c r="FC10" s="600"/>
      <c r="FD10" s="600"/>
      <c r="FE10" s="600"/>
      <c r="FF10" s="600"/>
      <c r="FG10" s="600"/>
      <c r="FH10" s="600"/>
      <c r="FI10" s="600"/>
      <c r="FJ10" s="600"/>
      <c r="FK10" s="600"/>
      <c r="FL10" s="600"/>
      <c r="FM10" s="600"/>
      <c r="FN10" s="600"/>
      <c r="FO10" s="600"/>
      <c r="FP10" s="600"/>
      <c r="FQ10" s="600"/>
      <c r="FR10" s="600"/>
      <c r="FS10" s="600"/>
      <c r="FT10" s="600"/>
      <c r="FU10" s="600"/>
      <c r="FV10" s="600"/>
      <c r="FW10" s="600"/>
      <c r="FX10" s="600"/>
      <c r="FY10" s="600"/>
      <c r="FZ10" s="600"/>
      <c r="GA10" s="600"/>
      <c r="GB10" s="600"/>
      <c r="GC10" s="600"/>
      <c r="GD10" s="600"/>
      <c r="GE10" s="600"/>
      <c r="GF10" s="600"/>
      <c r="GG10" s="600"/>
      <c r="GH10" s="600"/>
      <c r="GI10" s="600"/>
      <c r="GJ10" s="600"/>
      <c r="GK10" s="600"/>
      <c r="GL10" s="600"/>
      <c r="GM10" s="600"/>
      <c r="GN10" s="600"/>
      <c r="GO10" s="600"/>
      <c r="GP10" s="600"/>
      <c r="GQ10" s="600"/>
      <c r="GR10" s="600"/>
      <c r="GS10" s="600"/>
      <c r="GT10" s="600"/>
      <c r="GU10" s="600"/>
      <c r="GV10" s="600"/>
      <c r="GW10" s="600"/>
      <c r="GX10" s="600"/>
      <c r="GY10" s="600"/>
      <c r="GZ10" s="600"/>
      <c r="HA10" s="600"/>
      <c r="HB10" s="600"/>
      <c r="HC10" s="600"/>
      <c r="HD10" s="600"/>
      <c r="HE10" s="600"/>
      <c r="HF10" s="600"/>
      <c r="HG10" s="600"/>
      <c r="HH10" s="600"/>
      <c r="HI10" s="600"/>
      <c r="HJ10" s="600"/>
      <c r="HK10" s="600"/>
      <c r="HL10" s="600"/>
      <c r="HM10" s="600"/>
      <c r="HN10" s="600"/>
      <c r="HO10" s="600"/>
      <c r="HP10" s="600"/>
      <c r="HQ10" s="600"/>
      <c r="HR10" s="600"/>
      <c r="HS10" s="600"/>
      <c r="HT10" s="600"/>
      <c r="HU10" s="600"/>
      <c r="HV10" s="600"/>
      <c r="HW10" s="600"/>
      <c r="HX10" s="600"/>
      <c r="HY10" s="600"/>
      <c r="HZ10" s="600"/>
      <c r="IA10" s="600"/>
      <c r="IB10" s="600"/>
      <c r="IC10" s="600"/>
      <c r="ID10" s="600"/>
      <c r="IE10" s="600"/>
      <c r="IF10" s="600"/>
      <c r="IG10" s="600"/>
      <c r="IH10" s="600"/>
      <c r="II10" s="600"/>
      <c r="IJ10" s="600"/>
      <c r="IK10" s="600"/>
      <c r="IL10" s="600"/>
      <c r="IM10" s="600"/>
      <c r="IN10" s="600"/>
      <c r="IO10" s="600"/>
      <c r="IP10" s="600"/>
      <c r="IQ10" s="600"/>
      <c r="IR10" s="600"/>
      <c r="IS10" s="600"/>
    </row>
    <row r="11" spans="1:253" s="601" customFormat="1">
      <c r="A11" s="463" t="s">
        <v>676</v>
      </c>
      <c r="B11" s="460">
        <f>'Sources and Uses Budget'!$C10</f>
        <v>0</v>
      </c>
      <c r="C11" s="460">
        <f>'Sources and Uses Budget'!$C10</f>
        <v>0</v>
      </c>
      <c r="D11" s="464">
        <f t="shared" si="0"/>
        <v>0</v>
      </c>
      <c r="E11" s="462"/>
      <c r="F11" s="461"/>
      <c r="G11" s="605"/>
      <c r="H11" s="600"/>
      <c r="I11" s="60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c r="AT11" s="600"/>
      <c r="AU11" s="600"/>
      <c r="AV11" s="600"/>
      <c r="AW11" s="600"/>
      <c r="AX11" s="600"/>
      <c r="AY11" s="600"/>
      <c r="AZ11" s="600"/>
      <c r="BA11" s="600"/>
      <c r="BB11" s="600"/>
      <c r="BC11" s="600"/>
      <c r="BD11" s="600"/>
      <c r="BE11" s="600"/>
      <c r="BF11" s="600"/>
      <c r="BG11" s="600"/>
      <c r="BH11" s="600"/>
      <c r="BI11" s="600"/>
      <c r="BJ11" s="600"/>
      <c r="BK11" s="600"/>
      <c r="BL11" s="600"/>
      <c r="BM11" s="600"/>
      <c r="BN11" s="600"/>
      <c r="BO11" s="600"/>
      <c r="BP11" s="600"/>
      <c r="BQ11" s="600"/>
      <c r="BR11" s="600"/>
      <c r="BS11" s="600"/>
      <c r="BT11" s="600"/>
      <c r="BU11" s="600"/>
      <c r="BV11" s="600"/>
      <c r="BW11" s="600"/>
      <c r="BX11" s="600"/>
      <c r="BY11" s="600"/>
      <c r="BZ11" s="600"/>
      <c r="CA11" s="600"/>
      <c r="CB11" s="600"/>
      <c r="CC11" s="600"/>
      <c r="CD11" s="600"/>
      <c r="CE11" s="600"/>
      <c r="CF11" s="600"/>
      <c r="CG11" s="600"/>
      <c r="CH11" s="600"/>
      <c r="CI11" s="600"/>
      <c r="CJ11" s="600"/>
      <c r="CK11" s="600"/>
      <c r="CL11" s="600"/>
      <c r="CM11" s="600"/>
      <c r="CN11" s="600"/>
      <c r="CO11" s="600"/>
      <c r="CP11" s="600"/>
      <c r="CQ11" s="600"/>
      <c r="CR11" s="600"/>
      <c r="CS11" s="600"/>
      <c r="CT11" s="600"/>
      <c r="CU11" s="600"/>
      <c r="CV11" s="600"/>
      <c r="CW11" s="600"/>
      <c r="CX11" s="600"/>
      <c r="CY11" s="600"/>
      <c r="CZ11" s="600"/>
      <c r="DA11" s="600"/>
      <c r="DB11" s="600"/>
      <c r="DC11" s="600"/>
      <c r="DD11" s="600"/>
      <c r="DE11" s="600"/>
      <c r="DF11" s="600"/>
      <c r="DG11" s="600"/>
      <c r="DH11" s="600"/>
      <c r="DI11" s="600"/>
      <c r="DJ11" s="600"/>
      <c r="DK11" s="600"/>
      <c r="DL11" s="600"/>
      <c r="DM11" s="600"/>
      <c r="DN11" s="600"/>
      <c r="DO11" s="600"/>
      <c r="DP11" s="600"/>
      <c r="DQ11" s="600"/>
      <c r="DR11" s="600"/>
      <c r="DS11" s="600"/>
      <c r="DT11" s="600"/>
      <c r="DU11" s="600"/>
      <c r="DV11" s="600"/>
      <c r="DW11" s="600"/>
      <c r="DX11" s="600"/>
      <c r="DY11" s="600"/>
      <c r="DZ11" s="600"/>
      <c r="EA11" s="600"/>
      <c r="EB11" s="600"/>
      <c r="EC11" s="600"/>
      <c r="ED11" s="600"/>
      <c r="EE11" s="600"/>
      <c r="EF11" s="600"/>
      <c r="EG11" s="600"/>
      <c r="EH11" s="600"/>
      <c r="EI11" s="600"/>
      <c r="EJ11" s="600"/>
      <c r="EK11" s="600"/>
      <c r="EL11" s="600"/>
      <c r="EM11" s="600"/>
      <c r="EN11" s="600"/>
      <c r="EO11" s="600"/>
      <c r="EP11" s="600"/>
      <c r="EQ11" s="600"/>
      <c r="ER11" s="600"/>
      <c r="ES11" s="600"/>
      <c r="ET11" s="600"/>
      <c r="EU11" s="600"/>
      <c r="EV11" s="600"/>
      <c r="EW11" s="600"/>
      <c r="EX11" s="600"/>
      <c r="EY11" s="600"/>
      <c r="EZ11" s="600"/>
      <c r="FA11" s="600"/>
      <c r="FB11" s="600"/>
      <c r="FC11" s="600"/>
      <c r="FD11" s="600"/>
      <c r="FE11" s="600"/>
      <c r="FF11" s="600"/>
      <c r="FG11" s="600"/>
      <c r="FH11" s="600"/>
      <c r="FI11" s="600"/>
      <c r="FJ11" s="600"/>
      <c r="FK11" s="600"/>
      <c r="FL11" s="600"/>
      <c r="FM11" s="600"/>
      <c r="FN11" s="600"/>
      <c r="FO11" s="600"/>
      <c r="FP11" s="600"/>
      <c r="FQ11" s="600"/>
      <c r="FR11" s="600"/>
      <c r="FS11" s="600"/>
      <c r="FT11" s="600"/>
      <c r="FU11" s="600"/>
      <c r="FV11" s="600"/>
      <c r="FW11" s="600"/>
      <c r="FX11" s="600"/>
      <c r="FY11" s="600"/>
      <c r="FZ11" s="600"/>
      <c r="GA11" s="600"/>
      <c r="GB11" s="600"/>
      <c r="GC11" s="600"/>
      <c r="GD11" s="600"/>
      <c r="GE11" s="600"/>
      <c r="GF11" s="600"/>
      <c r="GG11" s="600"/>
      <c r="GH11" s="600"/>
      <c r="GI11" s="600"/>
      <c r="GJ11" s="600"/>
      <c r="GK11" s="600"/>
      <c r="GL11" s="600"/>
      <c r="GM11" s="600"/>
      <c r="GN11" s="600"/>
      <c r="GO11" s="600"/>
      <c r="GP11" s="600"/>
      <c r="GQ11" s="600"/>
      <c r="GR11" s="600"/>
      <c r="GS11" s="600"/>
      <c r="GT11" s="600"/>
      <c r="GU11" s="600"/>
      <c r="GV11" s="600"/>
      <c r="GW11" s="600"/>
      <c r="GX11" s="600"/>
      <c r="GY11" s="600"/>
      <c r="GZ11" s="600"/>
      <c r="HA11" s="600"/>
      <c r="HB11" s="600"/>
      <c r="HC11" s="600"/>
      <c r="HD11" s="600"/>
      <c r="HE11" s="600"/>
      <c r="HF11" s="600"/>
      <c r="HG11" s="600"/>
      <c r="HH11" s="600"/>
      <c r="HI11" s="600"/>
      <c r="HJ11" s="600"/>
      <c r="HK11" s="600"/>
      <c r="HL11" s="600"/>
      <c r="HM11" s="600"/>
      <c r="HN11" s="600"/>
      <c r="HO11" s="600"/>
      <c r="HP11" s="600"/>
      <c r="HQ11" s="600"/>
      <c r="HR11" s="600"/>
      <c r="HS11" s="600"/>
      <c r="HT11" s="600"/>
      <c r="HU11" s="600"/>
      <c r="HV11" s="600"/>
      <c r="HW11" s="600"/>
      <c r="HX11" s="600"/>
      <c r="HY11" s="600"/>
      <c r="HZ11" s="600"/>
      <c r="IA11" s="600"/>
      <c r="IB11" s="600"/>
      <c r="IC11" s="600"/>
      <c r="ID11" s="600"/>
      <c r="IE11" s="600"/>
      <c r="IF11" s="600"/>
      <c r="IG11" s="600"/>
      <c r="IH11" s="600"/>
      <c r="II11" s="600"/>
      <c r="IJ11" s="600"/>
      <c r="IK11" s="600"/>
      <c r="IL11" s="600"/>
      <c r="IM11" s="600"/>
      <c r="IN11" s="600"/>
      <c r="IO11" s="600"/>
      <c r="IP11" s="600"/>
      <c r="IQ11" s="600"/>
      <c r="IR11" s="600"/>
      <c r="IS11" s="600"/>
    </row>
    <row r="12" spans="1:253" s="601" customFormat="1">
      <c r="A12" s="465" t="s">
        <v>677</v>
      </c>
      <c r="B12" s="464">
        <f>SUM(B10:B11)</f>
        <v>6553796</v>
      </c>
      <c r="C12" s="464">
        <f>SUM(C10:C11)</f>
        <v>6553796</v>
      </c>
      <c r="D12" s="464">
        <f t="shared" si="0"/>
        <v>0</v>
      </c>
      <c r="E12" s="462"/>
      <c r="F12" s="461"/>
      <c r="G12" s="605"/>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00"/>
      <c r="AX12" s="600"/>
      <c r="AY12" s="600"/>
      <c r="AZ12" s="600"/>
      <c r="BA12" s="600"/>
      <c r="BB12" s="600"/>
      <c r="BC12" s="600"/>
      <c r="BD12" s="600"/>
      <c r="BE12" s="600"/>
      <c r="BF12" s="600"/>
      <c r="BG12" s="600"/>
      <c r="BH12" s="600"/>
      <c r="BI12" s="600"/>
      <c r="BJ12" s="600"/>
      <c r="BK12" s="600"/>
      <c r="BL12" s="600"/>
      <c r="BM12" s="600"/>
      <c r="BN12" s="600"/>
      <c r="BO12" s="600"/>
      <c r="BP12" s="600"/>
      <c r="BQ12" s="600"/>
      <c r="BR12" s="600"/>
      <c r="BS12" s="600"/>
      <c r="BT12" s="600"/>
      <c r="BU12" s="600"/>
      <c r="BV12" s="600"/>
      <c r="BW12" s="600"/>
      <c r="BX12" s="600"/>
      <c r="BY12" s="600"/>
      <c r="BZ12" s="600"/>
      <c r="CA12" s="600"/>
      <c r="CB12" s="600"/>
      <c r="CC12" s="600"/>
      <c r="CD12" s="600"/>
      <c r="CE12" s="600"/>
      <c r="CF12" s="600"/>
      <c r="CG12" s="600"/>
      <c r="CH12" s="600"/>
      <c r="CI12" s="600"/>
      <c r="CJ12" s="600"/>
      <c r="CK12" s="600"/>
      <c r="CL12" s="600"/>
      <c r="CM12" s="600"/>
      <c r="CN12" s="600"/>
      <c r="CO12" s="600"/>
      <c r="CP12" s="600"/>
      <c r="CQ12" s="600"/>
      <c r="CR12" s="600"/>
      <c r="CS12" s="600"/>
      <c r="CT12" s="600"/>
      <c r="CU12" s="600"/>
      <c r="CV12" s="600"/>
      <c r="CW12" s="600"/>
      <c r="CX12" s="600"/>
      <c r="CY12" s="600"/>
      <c r="CZ12" s="600"/>
      <c r="DA12" s="600"/>
      <c r="DB12" s="600"/>
      <c r="DC12" s="600"/>
      <c r="DD12" s="600"/>
      <c r="DE12" s="600"/>
      <c r="DF12" s="600"/>
      <c r="DG12" s="600"/>
      <c r="DH12" s="600"/>
      <c r="DI12" s="600"/>
      <c r="DJ12" s="600"/>
      <c r="DK12" s="600"/>
      <c r="DL12" s="600"/>
      <c r="DM12" s="600"/>
      <c r="DN12" s="600"/>
      <c r="DO12" s="600"/>
      <c r="DP12" s="600"/>
      <c r="DQ12" s="600"/>
      <c r="DR12" s="600"/>
      <c r="DS12" s="600"/>
      <c r="DT12" s="600"/>
      <c r="DU12" s="600"/>
      <c r="DV12" s="600"/>
      <c r="DW12" s="600"/>
      <c r="DX12" s="600"/>
      <c r="DY12" s="600"/>
      <c r="DZ12" s="600"/>
      <c r="EA12" s="600"/>
      <c r="EB12" s="600"/>
      <c r="EC12" s="600"/>
      <c r="ED12" s="600"/>
      <c r="EE12" s="600"/>
      <c r="EF12" s="600"/>
      <c r="EG12" s="600"/>
      <c r="EH12" s="600"/>
      <c r="EI12" s="600"/>
      <c r="EJ12" s="600"/>
      <c r="EK12" s="600"/>
      <c r="EL12" s="600"/>
      <c r="EM12" s="600"/>
      <c r="EN12" s="600"/>
      <c r="EO12" s="600"/>
      <c r="EP12" s="600"/>
      <c r="EQ12" s="600"/>
      <c r="ER12" s="600"/>
      <c r="ES12" s="600"/>
      <c r="ET12" s="600"/>
      <c r="EU12" s="600"/>
      <c r="EV12" s="600"/>
      <c r="EW12" s="600"/>
      <c r="EX12" s="600"/>
      <c r="EY12" s="600"/>
      <c r="EZ12" s="600"/>
      <c r="FA12" s="600"/>
      <c r="FB12" s="600"/>
      <c r="FC12" s="600"/>
      <c r="FD12" s="600"/>
      <c r="FE12" s="600"/>
      <c r="FF12" s="600"/>
      <c r="FG12" s="600"/>
      <c r="FH12" s="600"/>
      <c r="FI12" s="600"/>
      <c r="FJ12" s="600"/>
      <c r="FK12" s="600"/>
      <c r="FL12" s="600"/>
      <c r="FM12" s="600"/>
      <c r="FN12" s="600"/>
      <c r="FO12" s="600"/>
      <c r="FP12" s="600"/>
      <c r="FQ12" s="600"/>
      <c r="FR12" s="600"/>
      <c r="FS12" s="600"/>
      <c r="FT12" s="600"/>
      <c r="FU12" s="600"/>
      <c r="FV12" s="600"/>
      <c r="FW12" s="600"/>
      <c r="FX12" s="600"/>
      <c r="FY12" s="600"/>
      <c r="FZ12" s="600"/>
      <c r="GA12" s="600"/>
      <c r="GB12" s="600"/>
      <c r="GC12" s="600"/>
      <c r="GD12" s="600"/>
      <c r="GE12" s="600"/>
      <c r="GF12" s="600"/>
      <c r="GG12" s="600"/>
      <c r="GH12" s="600"/>
      <c r="GI12" s="600"/>
      <c r="GJ12" s="600"/>
      <c r="GK12" s="600"/>
      <c r="GL12" s="600"/>
      <c r="GM12" s="600"/>
      <c r="GN12" s="600"/>
      <c r="GO12" s="600"/>
      <c r="GP12" s="600"/>
      <c r="GQ12" s="600"/>
      <c r="GR12" s="600"/>
      <c r="GS12" s="600"/>
      <c r="GT12" s="600"/>
      <c r="GU12" s="600"/>
      <c r="GV12" s="600"/>
      <c r="GW12" s="600"/>
      <c r="GX12" s="600"/>
      <c r="GY12" s="600"/>
      <c r="GZ12" s="600"/>
      <c r="HA12" s="600"/>
      <c r="HB12" s="600"/>
      <c r="HC12" s="600"/>
      <c r="HD12" s="600"/>
      <c r="HE12" s="600"/>
      <c r="HF12" s="600"/>
      <c r="HG12" s="600"/>
      <c r="HH12" s="600"/>
      <c r="HI12" s="600"/>
      <c r="HJ12" s="600"/>
      <c r="HK12" s="600"/>
      <c r="HL12" s="600"/>
      <c r="HM12" s="600"/>
      <c r="HN12" s="600"/>
      <c r="HO12" s="600"/>
      <c r="HP12" s="600"/>
      <c r="HQ12" s="600"/>
      <c r="HR12" s="600"/>
      <c r="HS12" s="600"/>
      <c r="HT12" s="600"/>
      <c r="HU12" s="600"/>
      <c r="HV12" s="600"/>
      <c r="HW12" s="600"/>
      <c r="HX12" s="600"/>
      <c r="HY12" s="600"/>
      <c r="HZ12" s="600"/>
      <c r="IA12" s="600"/>
      <c r="IB12" s="600"/>
      <c r="IC12" s="600"/>
      <c r="ID12" s="600"/>
      <c r="IE12" s="600"/>
      <c r="IF12" s="600"/>
      <c r="IG12" s="600"/>
      <c r="IH12" s="600"/>
      <c r="II12" s="600"/>
      <c r="IJ12" s="600"/>
      <c r="IK12" s="600"/>
      <c r="IL12" s="600"/>
      <c r="IM12" s="600"/>
      <c r="IN12" s="600"/>
      <c r="IO12" s="600"/>
      <c r="IP12" s="600"/>
      <c r="IQ12" s="600"/>
      <c r="IR12" s="600"/>
      <c r="IS12" s="600"/>
    </row>
    <row r="13" spans="1:253" s="601" customFormat="1">
      <c r="A13" s="465" t="s">
        <v>92</v>
      </c>
      <c r="B13" s="464">
        <f>SUM(B9+B12)</f>
        <v>6975019.5477178423</v>
      </c>
      <c r="C13" s="464">
        <f>SUM(C9+C12)</f>
        <v>6975019.5477178423</v>
      </c>
      <c r="D13" s="464">
        <f t="shared" si="0"/>
        <v>0</v>
      </c>
      <c r="E13" s="462"/>
      <c r="F13" s="461"/>
      <c r="G13" s="605"/>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c r="BX13" s="600"/>
      <c r="BY13" s="600"/>
      <c r="BZ13" s="600"/>
      <c r="CA13" s="600"/>
      <c r="CB13" s="600"/>
      <c r="CC13" s="600"/>
      <c r="CD13" s="600"/>
      <c r="CE13" s="600"/>
      <c r="CF13" s="600"/>
      <c r="CG13" s="600"/>
      <c r="CH13" s="600"/>
      <c r="CI13" s="600"/>
      <c r="CJ13" s="600"/>
      <c r="CK13" s="600"/>
      <c r="CL13" s="600"/>
      <c r="CM13" s="600"/>
      <c r="CN13" s="600"/>
      <c r="CO13" s="600"/>
      <c r="CP13" s="600"/>
      <c r="CQ13" s="600"/>
      <c r="CR13" s="600"/>
      <c r="CS13" s="600"/>
      <c r="CT13" s="600"/>
      <c r="CU13" s="600"/>
      <c r="CV13" s="600"/>
      <c r="CW13" s="600"/>
      <c r="CX13" s="600"/>
      <c r="CY13" s="600"/>
      <c r="CZ13" s="600"/>
      <c r="DA13" s="600"/>
      <c r="DB13" s="600"/>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c r="EB13" s="600"/>
      <c r="EC13" s="600"/>
      <c r="ED13" s="600"/>
      <c r="EE13" s="600"/>
      <c r="EF13" s="600"/>
      <c r="EG13" s="600"/>
      <c r="EH13" s="600"/>
      <c r="EI13" s="600"/>
      <c r="EJ13" s="600"/>
      <c r="EK13" s="600"/>
      <c r="EL13" s="600"/>
      <c r="EM13" s="600"/>
      <c r="EN13" s="600"/>
      <c r="EO13" s="600"/>
      <c r="EP13" s="600"/>
      <c r="EQ13" s="600"/>
      <c r="ER13" s="600"/>
      <c r="ES13" s="600"/>
      <c r="ET13" s="600"/>
      <c r="EU13" s="600"/>
      <c r="EV13" s="600"/>
      <c r="EW13" s="600"/>
      <c r="EX13" s="600"/>
      <c r="EY13" s="600"/>
      <c r="EZ13" s="600"/>
      <c r="FA13" s="600"/>
      <c r="FB13" s="600"/>
      <c r="FC13" s="600"/>
      <c r="FD13" s="600"/>
      <c r="FE13" s="600"/>
      <c r="FF13" s="600"/>
      <c r="FG13" s="600"/>
      <c r="FH13" s="600"/>
      <c r="FI13" s="600"/>
      <c r="FJ13" s="600"/>
      <c r="FK13" s="600"/>
      <c r="FL13" s="600"/>
      <c r="FM13" s="600"/>
      <c r="FN13" s="600"/>
      <c r="FO13" s="600"/>
      <c r="FP13" s="600"/>
      <c r="FQ13" s="600"/>
      <c r="FR13" s="600"/>
      <c r="FS13" s="600"/>
      <c r="FT13" s="600"/>
      <c r="FU13" s="600"/>
      <c r="FV13" s="600"/>
      <c r="FW13" s="600"/>
      <c r="FX13" s="600"/>
      <c r="FY13" s="600"/>
      <c r="FZ13" s="600"/>
      <c r="GA13" s="600"/>
      <c r="GB13" s="600"/>
      <c r="GC13" s="600"/>
      <c r="GD13" s="600"/>
      <c r="GE13" s="600"/>
      <c r="GF13" s="600"/>
      <c r="GG13" s="600"/>
      <c r="GH13" s="600"/>
      <c r="GI13" s="600"/>
      <c r="GJ13" s="600"/>
      <c r="GK13" s="600"/>
      <c r="GL13" s="600"/>
      <c r="GM13" s="600"/>
      <c r="GN13" s="600"/>
      <c r="GO13" s="600"/>
      <c r="GP13" s="600"/>
      <c r="GQ13" s="600"/>
      <c r="GR13" s="600"/>
      <c r="GS13" s="600"/>
      <c r="GT13" s="600"/>
      <c r="GU13" s="600"/>
      <c r="GV13" s="600"/>
      <c r="GW13" s="600"/>
      <c r="GX13" s="600"/>
      <c r="GY13" s="600"/>
      <c r="GZ13" s="600"/>
      <c r="HA13" s="600"/>
      <c r="HB13" s="600"/>
      <c r="HC13" s="600"/>
      <c r="HD13" s="600"/>
      <c r="HE13" s="600"/>
      <c r="HF13" s="600"/>
      <c r="HG13" s="600"/>
      <c r="HH13" s="600"/>
      <c r="HI13" s="600"/>
      <c r="HJ13" s="600"/>
      <c r="HK13" s="600"/>
      <c r="HL13" s="600"/>
      <c r="HM13" s="600"/>
      <c r="HN13" s="600"/>
      <c r="HO13" s="600"/>
      <c r="HP13" s="600"/>
      <c r="HQ13" s="600"/>
      <c r="HR13" s="600"/>
      <c r="HS13" s="600"/>
      <c r="HT13" s="600"/>
      <c r="HU13" s="600"/>
      <c r="HV13" s="600"/>
      <c r="HW13" s="600"/>
      <c r="HX13" s="600"/>
      <c r="HY13" s="600"/>
      <c r="HZ13" s="600"/>
      <c r="IA13" s="600"/>
      <c r="IB13" s="600"/>
      <c r="IC13" s="600"/>
      <c r="ID13" s="600"/>
      <c r="IE13" s="600"/>
      <c r="IF13" s="600"/>
      <c r="IG13" s="600"/>
      <c r="IH13" s="600"/>
      <c r="II13" s="600"/>
      <c r="IJ13" s="600"/>
      <c r="IK13" s="600"/>
      <c r="IL13" s="600"/>
      <c r="IM13" s="600"/>
      <c r="IN13" s="600"/>
      <c r="IO13" s="600"/>
      <c r="IP13" s="600"/>
      <c r="IQ13" s="600"/>
      <c r="IR13" s="600"/>
      <c r="IS13" s="600"/>
    </row>
    <row r="14" spans="1:253" s="601" customFormat="1">
      <c r="A14" s="488" t="s">
        <v>1035</v>
      </c>
      <c r="B14" s="460">
        <f>'Sources and Uses Budget'!$C13</f>
        <v>0</v>
      </c>
      <c r="C14" s="460">
        <f>'Sources and Uses Budget'!$C13</f>
        <v>0</v>
      </c>
      <c r="D14" s="464">
        <f t="shared" si="0"/>
        <v>0</v>
      </c>
      <c r="E14" s="462"/>
      <c r="F14" s="461"/>
      <c r="G14" s="605"/>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600"/>
      <c r="CM14" s="600"/>
      <c r="CN14" s="600"/>
      <c r="CO14" s="600"/>
      <c r="CP14" s="600"/>
      <c r="CQ14" s="600"/>
      <c r="CR14" s="600"/>
      <c r="CS14" s="600"/>
      <c r="CT14" s="600"/>
      <c r="CU14" s="600"/>
      <c r="CV14" s="600"/>
      <c r="CW14" s="600"/>
      <c r="CX14" s="600"/>
      <c r="CY14" s="600"/>
      <c r="CZ14" s="600"/>
      <c r="DA14" s="600"/>
      <c r="DB14" s="600"/>
      <c r="DC14" s="600"/>
      <c r="DD14" s="600"/>
      <c r="DE14" s="600"/>
      <c r="DF14" s="600"/>
      <c r="DG14" s="600"/>
      <c r="DH14" s="600"/>
      <c r="DI14" s="600"/>
      <c r="DJ14" s="600"/>
      <c r="DK14" s="600"/>
      <c r="DL14" s="600"/>
      <c r="DM14" s="600"/>
      <c r="DN14" s="600"/>
      <c r="DO14" s="600"/>
      <c r="DP14" s="600"/>
      <c r="DQ14" s="600"/>
      <c r="DR14" s="600"/>
      <c r="DS14" s="600"/>
      <c r="DT14" s="600"/>
      <c r="DU14" s="600"/>
      <c r="DV14" s="600"/>
      <c r="DW14" s="600"/>
      <c r="DX14" s="600"/>
      <c r="DY14" s="600"/>
      <c r="DZ14" s="600"/>
      <c r="EA14" s="600"/>
      <c r="EB14" s="600"/>
      <c r="EC14" s="600"/>
      <c r="ED14" s="600"/>
      <c r="EE14" s="600"/>
      <c r="EF14" s="600"/>
      <c r="EG14" s="600"/>
      <c r="EH14" s="600"/>
      <c r="EI14" s="600"/>
      <c r="EJ14" s="600"/>
      <c r="EK14" s="600"/>
      <c r="EL14" s="600"/>
      <c r="EM14" s="600"/>
      <c r="EN14" s="600"/>
      <c r="EO14" s="600"/>
      <c r="EP14" s="600"/>
      <c r="EQ14" s="600"/>
      <c r="ER14" s="600"/>
      <c r="ES14" s="600"/>
      <c r="ET14" s="600"/>
      <c r="EU14" s="600"/>
      <c r="EV14" s="600"/>
      <c r="EW14" s="600"/>
      <c r="EX14" s="600"/>
      <c r="EY14" s="600"/>
      <c r="EZ14" s="600"/>
      <c r="FA14" s="600"/>
      <c r="FB14" s="600"/>
      <c r="FC14" s="600"/>
      <c r="FD14" s="600"/>
      <c r="FE14" s="600"/>
      <c r="FF14" s="600"/>
      <c r="FG14" s="600"/>
      <c r="FH14" s="600"/>
      <c r="FI14" s="600"/>
      <c r="FJ14" s="600"/>
      <c r="FK14" s="600"/>
      <c r="FL14" s="600"/>
      <c r="FM14" s="600"/>
      <c r="FN14" s="600"/>
      <c r="FO14" s="600"/>
      <c r="FP14" s="600"/>
      <c r="FQ14" s="600"/>
      <c r="FR14" s="600"/>
      <c r="FS14" s="600"/>
      <c r="FT14" s="600"/>
      <c r="FU14" s="600"/>
      <c r="FV14" s="600"/>
      <c r="FW14" s="600"/>
      <c r="FX14" s="600"/>
      <c r="FY14" s="600"/>
      <c r="FZ14" s="600"/>
      <c r="GA14" s="600"/>
      <c r="GB14" s="600"/>
      <c r="GC14" s="600"/>
      <c r="GD14" s="600"/>
      <c r="GE14" s="600"/>
      <c r="GF14" s="600"/>
      <c r="GG14" s="600"/>
      <c r="GH14" s="600"/>
      <c r="GI14" s="600"/>
      <c r="GJ14" s="600"/>
      <c r="GK14" s="600"/>
      <c r="GL14" s="600"/>
      <c r="GM14" s="600"/>
      <c r="GN14" s="600"/>
      <c r="GO14" s="600"/>
      <c r="GP14" s="600"/>
      <c r="GQ14" s="600"/>
      <c r="GR14" s="600"/>
      <c r="GS14" s="600"/>
      <c r="GT14" s="600"/>
      <c r="GU14" s="600"/>
      <c r="GV14" s="600"/>
      <c r="GW14" s="600"/>
      <c r="GX14" s="600"/>
      <c r="GY14" s="600"/>
      <c r="GZ14" s="600"/>
      <c r="HA14" s="600"/>
      <c r="HB14" s="600"/>
      <c r="HC14" s="600"/>
      <c r="HD14" s="600"/>
      <c r="HE14" s="600"/>
      <c r="HF14" s="600"/>
      <c r="HG14" s="600"/>
      <c r="HH14" s="600"/>
      <c r="HI14" s="600"/>
      <c r="HJ14" s="600"/>
      <c r="HK14" s="600"/>
      <c r="HL14" s="600"/>
      <c r="HM14" s="600"/>
      <c r="HN14" s="600"/>
      <c r="HO14" s="600"/>
      <c r="HP14" s="600"/>
      <c r="HQ14" s="600"/>
      <c r="HR14" s="600"/>
      <c r="HS14" s="600"/>
      <c r="HT14" s="600"/>
      <c r="HU14" s="600"/>
      <c r="HV14" s="600"/>
      <c r="HW14" s="600"/>
      <c r="HX14" s="600"/>
      <c r="HY14" s="600"/>
      <c r="HZ14" s="600"/>
      <c r="IA14" s="600"/>
      <c r="IB14" s="600"/>
      <c r="IC14" s="600"/>
      <c r="ID14" s="600"/>
      <c r="IE14" s="600"/>
      <c r="IF14" s="600"/>
      <c r="IG14" s="600"/>
      <c r="IH14" s="600"/>
      <c r="II14" s="600"/>
      <c r="IJ14" s="600"/>
      <c r="IK14" s="600"/>
      <c r="IL14" s="600"/>
      <c r="IM14" s="600"/>
      <c r="IN14" s="600"/>
      <c r="IO14" s="600"/>
      <c r="IP14" s="600"/>
      <c r="IQ14" s="600"/>
      <c r="IR14" s="600"/>
      <c r="IS14" s="600"/>
    </row>
    <row r="15" spans="1:253" s="601" customFormat="1" ht="24">
      <c r="A15" s="489" t="s">
        <v>1036</v>
      </c>
      <c r="B15" s="460">
        <f>'Sources and Uses Budget'!$C14</f>
        <v>0</v>
      </c>
      <c r="C15" s="460">
        <f>'Sources and Uses Budget'!$C14</f>
        <v>0</v>
      </c>
      <c r="D15" s="464">
        <f t="shared" si="0"/>
        <v>0</v>
      </c>
      <c r="E15" s="462"/>
      <c r="F15" s="461"/>
      <c r="G15" s="605"/>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0"/>
      <c r="CP15" s="600"/>
      <c r="CQ15" s="600"/>
      <c r="CR15" s="600"/>
      <c r="CS15" s="600"/>
      <c r="CT15" s="600"/>
      <c r="CU15" s="600"/>
      <c r="CV15" s="600"/>
      <c r="CW15" s="600"/>
      <c r="CX15" s="600"/>
      <c r="CY15" s="600"/>
      <c r="CZ15" s="600"/>
      <c r="DA15" s="600"/>
      <c r="DB15" s="600"/>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c r="EB15" s="600"/>
      <c r="EC15" s="600"/>
      <c r="ED15" s="600"/>
      <c r="EE15" s="600"/>
      <c r="EF15" s="600"/>
      <c r="EG15" s="600"/>
      <c r="EH15" s="600"/>
      <c r="EI15" s="600"/>
      <c r="EJ15" s="600"/>
      <c r="EK15" s="600"/>
      <c r="EL15" s="600"/>
      <c r="EM15" s="600"/>
      <c r="EN15" s="600"/>
      <c r="EO15" s="600"/>
      <c r="EP15" s="600"/>
      <c r="EQ15" s="600"/>
      <c r="ER15" s="600"/>
      <c r="ES15" s="600"/>
      <c r="ET15" s="600"/>
      <c r="EU15" s="600"/>
      <c r="EV15" s="600"/>
      <c r="EW15" s="600"/>
      <c r="EX15" s="600"/>
      <c r="EY15" s="600"/>
      <c r="EZ15" s="600"/>
      <c r="FA15" s="600"/>
      <c r="FB15" s="600"/>
      <c r="FC15" s="600"/>
      <c r="FD15" s="600"/>
      <c r="FE15" s="600"/>
      <c r="FF15" s="600"/>
      <c r="FG15" s="600"/>
      <c r="FH15" s="600"/>
      <c r="FI15" s="600"/>
      <c r="FJ15" s="600"/>
      <c r="FK15" s="600"/>
      <c r="FL15" s="600"/>
      <c r="FM15" s="600"/>
      <c r="FN15" s="600"/>
      <c r="FO15" s="600"/>
      <c r="FP15" s="600"/>
      <c r="FQ15" s="600"/>
      <c r="FR15" s="600"/>
      <c r="FS15" s="600"/>
      <c r="FT15" s="600"/>
      <c r="FU15" s="600"/>
      <c r="FV15" s="600"/>
      <c r="FW15" s="600"/>
      <c r="FX15" s="600"/>
      <c r="FY15" s="600"/>
      <c r="FZ15" s="600"/>
      <c r="GA15" s="600"/>
      <c r="GB15" s="600"/>
      <c r="GC15" s="600"/>
      <c r="GD15" s="600"/>
      <c r="GE15" s="600"/>
      <c r="GF15" s="600"/>
      <c r="GG15" s="600"/>
      <c r="GH15" s="600"/>
      <c r="GI15" s="600"/>
      <c r="GJ15" s="600"/>
      <c r="GK15" s="600"/>
      <c r="GL15" s="600"/>
      <c r="GM15" s="600"/>
      <c r="GN15" s="600"/>
      <c r="GO15" s="600"/>
      <c r="GP15" s="600"/>
      <c r="GQ15" s="600"/>
      <c r="GR15" s="600"/>
      <c r="GS15" s="600"/>
      <c r="GT15" s="600"/>
      <c r="GU15" s="600"/>
      <c r="GV15" s="600"/>
      <c r="GW15" s="600"/>
      <c r="GX15" s="600"/>
      <c r="GY15" s="600"/>
      <c r="GZ15" s="600"/>
      <c r="HA15" s="600"/>
      <c r="HB15" s="600"/>
      <c r="HC15" s="600"/>
      <c r="HD15" s="600"/>
      <c r="HE15" s="600"/>
      <c r="HF15" s="600"/>
      <c r="HG15" s="600"/>
      <c r="HH15" s="600"/>
      <c r="HI15" s="600"/>
      <c r="HJ15" s="600"/>
      <c r="HK15" s="600"/>
      <c r="HL15" s="600"/>
      <c r="HM15" s="600"/>
      <c r="HN15" s="600"/>
      <c r="HO15" s="600"/>
      <c r="HP15" s="600"/>
      <c r="HQ15" s="600"/>
      <c r="HR15" s="600"/>
      <c r="HS15" s="600"/>
      <c r="HT15" s="600"/>
      <c r="HU15" s="600"/>
      <c r="HV15" s="600"/>
      <c r="HW15" s="600"/>
      <c r="HX15" s="600"/>
      <c r="HY15" s="600"/>
      <c r="HZ15" s="600"/>
      <c r="IA15" s="600"/>
      <c r="IB15" s="600"/>
      <c r="IC15" s="600"/>
      <c r="ID15" s="600"/>
      <c r="IE15" s="600"/>
      <c r="IF15" s="600"/>
      <c r="IG15" s="600"/>
      <c r="IH15" s="600"/>
      <c r="II15" s="600"/>
      <c r="IJ15" s="600"/>
      <c r="IK15" s="600"/>
      <c r="IL15" s="600"/>
      <c r="IM15" s="600"/>
      <c r="IN15" s="600"/>
      <c r="IO15" s="600"/>
      <c r="IP15" s="600"/>
      <c r="IQ15" s="600"/>
      <c r="IR15" s="600"/>
      <c r="IS15" s="600"/>
    </row>
    <row r="16" spans="1:253" s="601" customFormat="1">
      <c r="A16" s="945" t="s">
        <v>1475</v>
      </c>
      <c r="B16" s="460">
        <f>'Sources and Uses Budget'!$C15</f>
        <v>0</v>
      </c>
      <c r="C16" s="460">
        <f>'Sources and Uses Budget'!$C15</f>
        <v>0</v>
      </c>
      <c r="D16" s="464">
        <f t="shared" si="0"/>
        <v>0</v>
      </c>
      <c r="E16" s="462"/>
      <c r="F16" s="461"/>
      <c r="G16" s="605"/>
      <c r="H16" s="600"/>
      <c r="I16" s="600"/>
      <c r="J16" s="600"/>
      <c r="K16" s="600"/>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c r="AT16" s="600"/>
      <c r="AU16" s="600"/>
      <c r="AV16" s="600"/>
      <c r="AW16" s="600"/>
      <c r="AX16" s="600"/>
      <c r="AY16" s="600"/>
      <c r="AZ16" s="600"/>
      <c r="BA16" s="600"/>
      <c r="BB16" s="600"/>
      <c r="BC16" s="600"/>
      <c r="BD16" s="600"/>
      <c r="BE16" s="600"/>
      <c r="BF16" s="600"/>
      <c r="BG16" s="600"/>
      <c r="BH16" s="600"/>
      <c r="BI16" s="600"/>
      <c r="BJ16" s="600"/>
      <c r="BK16" s="600"/>
      <c r="BL16" s="600"/>
      <c r="BM16" s="600"/>
      <c r="BN16" s="600"/>
      <c r="BO16" s="600"/>
      <c r="BP16" s="600"/>
      <c r="BQ16" s="600"/>
      <c r="BR16" s="600"/>
      <c r="BS16" s="600"/>
      <c r="BT16" s="600"/>
      <c r="BU16" s="600"/>
      <c r="BV16" s="600"/>
      <c r="BW16" s="600"/>
      <c r="BX16" s="600"/>
      <c r="BY16" s="600"/>
      <c r="BZ16" s="600"/>
      <c r="CA16" s="600"/>
      <c r="CB16" s="600"/>
      <c r="CC16" s="600"/>
      <c r="CD16" s="600"/>
      <c r="CE16" s="600"/>
      <c r="CF16" s="600"/>
      <c r="CG16" s="600"/>
      <c r="CH16" s="600"/>
      <c r="CI16" s="600"/>
      <c r="CJ16" s="600"/>
      <c r="CK16" s="600"/>
      <c r="CL16" s="600"/>
      <c r="CM16" s="600"/>
      <c r="CN16" s="600"/>
      <c r="CO16" s="600"/>
      <c r="CP16" s="600"/>
      <c r="CQ16" s="600"/>
      <c r="CR16" s="600"/>
      <c r="CS16" s="600"/>
      <c r="CT16" s="600"/>
      <c r="CU16" s="600"/>
      <c r="CV16" s="600"/>
      <c r="CW16" s="600"/>
      <c r="CX16" s="600"/>
      <c r="CY16" s="600"/>
      <c r="CZ16" s="600"/>
      <c r="DA16" s="600"/>
      <c r="DB16" s="600"/>
      <c r="DC16" s="600"/>
      <c r="DD16" s="600"/>
      <c r="DE16" s="600"/>
      <c r="DF16" s="600"/>
      <c r="DG16" s="600"/>
      <c r="DH16" s="600"/>
      <c r="DI16" s="600"/>
      <c r="DJ16" s="600"/>
      <c r="DK16" s="600"/>
      <c r="DL16" s="600"/>
      <c r="DM16" s="600"/>
      <c r="DN16" s="600"/>
      <c r="DO16" s="600"/>
      <c r="DP16" s="600"/>
      <c r="DQ16" s="600"/>
      <c r="DR16" s="600"/>
      <c r="DS16" s="600"/>
      <c r="DT16" s="600"/>
      <c r="DU16" s="600"/>
      <c r="DV16" s="600"/>
      <c r="DW16" s="600"/>
      <c r="DX16" s="600"/>
      <c r="DY16" s="600"/>
      <c r="DZ16" s="600"/>
      <c r="EA16" s="600"/>
      <c r="EB16" s="600"/>
      <c r="EC16" s="600"/>
      <c r="ED16" s="600"/>
      <c r="EE16" s="600"/>
      <c r="EF16" s="600"/>
      <c r="EG16" s="600"/>
      <c r="EH16" s="600"/>
      <c r="EI16" s="600"/>
      <c r="EJ16" s="600"/>
      <c r="EK16" s="600"/>
      <c r="EL16" s="600"/>
      <c r="EM16" s="600"/>
      <c r="EN16" s="600"/>
      <c r="EO16" s="600"/>
      <c r="EP16" s="600"/>
      <c r="EQ16" s="600"/>
      <c r="ER16" s="600"/>
      <c r="ES16" s="600"/>
      <c r="ET16" s="600"/>
      <c r="EU16" s="600"/>
      <c r="EV16" s="600"/>
      <c r="EW16" s="600"/>
      <c r="EX16" s="600"/>
      <c r="EY16" s="600"/>
      <c r="EZ16" s="600"/>
      <c r="FA16" s="600"/>
      <c r="FB16" s="600"/>
      <c r="FC16" s="600"/>
      <c r="FD16" s="600"/>
      <c r="FE16" s="600"/>
      <c r="FF16" s="600"/>
      <c r="FG16" s="600"/>
      <c r="FH16" s="600"/>
      <c r="FI16" s="600"/>
      <c r="FJ16" s="600"/>
      <c r="FK16" s="600"/>
      <c r="FL16" s="600"/>
      <c r="FM16" s="600"/>
      <c r="FN16" s="600"/>
      <c r="FO16" s="600"/>
      <c r="FP16" s="600"/>
      <c r="FQ16" s="600"/>
      <c r="FR16" s="600"/>
      <c r="FS16" s="600"/>
      <c r="FT16" s="600"/>
      <c r="FU16" s="600"/>
      <c r="FV16" s="600"/>
      <c r="FW16" s="600"/>
      <c r="FX16" s="600"/>
      <c r="FY16" s="600"/>
      <c r="FZ16" s="600"/>
      <c r="GA16" s="600"/>
      <c r="GB16" s="600"/>
      <c r="GC16" s="600"/>
      <c r="GD16" s="600"/>
      <c r="GE16" s="600"/>
      <c r="GF16" s="600"/>
      <c r="GG16" s="600"/>
      <c r="GH16" s="600"/>
      <c r="GI16" s="600"/>
      <c r="GJ16" s="600"/>
      <c r="GK16" s="600"/>
      <c r="GL16" s="600"/>
      <c r="GM16" s="600"/>
      <c r="GN16" s="600"/>
      <c r="GO16" s="600"/>
      <c r="GP16" s="600"/>
      <c r="GQ16" s="600"/>
      <c r="GR16" s="600"/>
      <c r="GS16" s="600"/>
      <c r="GT16" s="600"/>
      <c r="GU16" s="600"/>
      <c r="GV16" s="600"/>
      <c r="GW16" s="600"/>
      <c r="GX16" s="600"/>
      <c r="GY16" s="600"/>
      <c r="GZ16" s="600"/>
      <c r="HA16" s="600"/>
      <c r="HB16" s="600"/>
      <c r="HC16" s="600"/>
      <c r="HD16" s="600"/>
      <c r="HE16" s="600"/>
      <c r="HF16" s="600"/>
      <c r="HG16" s="600"/>
      <c r="HH16" s="600"/>
      <c r="HI16" s="600"/>
      <c r="HJ16" s="600"/>
      <c r="HK16" s="600"/>
      <c r="HL16" s="600"/>
      <c r="HM16" s="600"/>
      <c r="HN16" s="600"/>
      <c r="HO16" s="600"/>
      <c r="HP16" s="600"/>
      <c r="HQ16" s="600"/>
      <c r="HR16" s="600"/>
      <c r="HS16" s="600"/>
      <c r="HT16" s="600"/>
      <c r="HU16" s="600"/>
      <c r="HV16" s="600"/>
      <c r="HW16" s="600"/>
      <c r="HX16" s="600"/>
      <c r="HY16" s="600"/>
      <c r="HZ16" s="600"/>
      <c r="IA16" s="600"/>
      <c r="IB16" s="600"/>
      <c r="IC16" s="600"/>
      <c r="ID16" s="600"/>
      <c r="IE16" s="600"/>
      <c r="IF16" s="600"/>
      <c r="IG16" s="600"/>
      <c r="IH16" s="600"/>
      <c r="II16" s="600"/>
      <c r="IJ16" s="600"/>
      <c r="IK16" s="600"/>
      <c r="IL16" s="600"/>
      <c r="IM16" s="600"/>
      <c r="IN16" s="600"/>
      <c r="IO16" s="600"/>
      <c r="IP16" s="600"/>
      <c r="IQ16" s="600"/>
      <c r="IR16" s="600"/>
      <c r="IS16" s="600"/>
    </row>
    <row r="17" spans="1:253" s="601" customFormat="1">
      <c r="A17" s="458" t="s">
        <v>678</v>
      </c>
      <c r="B17" s="458"/>
      <c r="C17" s="458"/>
      <c r="D17" s="458"/>
      <c r="E17" s="478"/>
      <c r="F17" s="458"/>
      <c r="G17" s="605"/>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600"/>
      <c r="AS17" s="600"/>
      <c r="AT17" s="600"/>
      <c r="AU17" s="600"/>
      <c r="AV17" s="600"/>
      <c r="AW17" s="600"/>
      <c r="AX17" s="600"/>
      <c r="AY17" s="600"/>
      <c r="AZ17" s="600"/>
      <c r="BA17" s="600"/>
      <c r="BB17" s="600"/>
      <c r="BC17" s="600"/>
      <c r="BD17" s="600"/>
      <c r="BE17" s="600"/>
      <c r="BF17" s="600"/>
      <c r="BG17" s="600"/>
      <c r="BH17" s="600"/>
      <c r="BI17" s="600"/>
      <c r="BJ17" s="600"/>
      <c r="BK17" s="600"/>
      <c r="BL17" s="600"/>
      <c r="BM17" s="600"/>
      <c r="BN17" s="600"/>
      <c r="BO17" s="600"/>
      <c r="BP17" s="600"/>
      <c r="BQ17" s="600"/>
      <c r="BR17" s="600"/>
      <c r="BS17" s="600"/>
      <c r="BT17" s="600"/>
      <c r="BU17" s="600"/>
      <c r="BV17" s="600"/>
      <c r="BW17" s="600"/>
      <c r="BX17" s="600"/>
      <c r="BY17" s="600"/>
      <c r="BZ17" s="600"/>
      <c r="CA17" s="600"/>
      <c r="CB17" s="600"/>
      <c r="CC17" s="600"/>
      <c r="CD17" s="600"/>
      <c r="CE17" s="600"/>
      <c r="CF17" s="600"/>
      <c r="CG17" s="600"/>
      <c r="CH17" s="600"/>
      <c r="CI17" s="600"/>
      <c r="CJ17" s="600"/>
      <c r="CK17" s="600"/>
      <c r="CL17" s="600"/>
      <c r="CM17" s="600"/>
      <c r="CN17" s="600"/>
      <c r="CO17" s="600"/>
      <c r="CP17" s="600"/>
      <c r="CQ17" s="600"/>
      <c r="CR17" s="600"/>
      <c r="CS17" s="600"/>
      <c r="CT17" s="600"/>
      <c r="CU17" s="600"/>
      <c r="CV17" s="600"/>
      <c r="CW17" s="600"/>
      <c r="CX17" s="600"/>
      <c r="CY17" s="600"/>
      <c r="CZ17" s="600"/>
      <c r="DA17" s="600"/>
      <c r="DB17" s="600"/>
      <c r="DC17" s="600"/>
      <c r="DD17" s="600"/>
      <c r="DE17" s="600"/>
      <c r="DF17" s="600"/>
      <c r="DG17" s="600"/>
      <c r="DH17" s="600"/>
      <c r="DI17" s="600"/>
      <c r="DJ17" s="600"/>
      <c r="DK17" s="600"/>
      <c r="DL17" s="600"/>
      <c r="DM17" s="600"/>
      <c r="DN17" s="600"/>
      <c r="DO17" s="600"/>
      <c r="DP17" s="600"/>
      <c r="DQ17" s="600"/>
      <c r="DR17" s="600"/>
      <c r="DS17" s="600"/>
      <c r="DT17" s="600"/>
      <c r="DU17" s="600"/>
      <c r="DV17" s="600"/>
      <c r="DW17" s="600"/>
      <c r="DX17" s="600"/>
      <c r="DY17" s="600"/>
      <c r="DZ17" s="600"/>
      <c r="EA17" s="600"/>
      <c r="EB17" s="600"/>
      <c r="EC17" s="600"/>
      <c r="ED17" s="600"/>
      <c r="EE17" s="600"/>
      <c r="EF17" s="600"/>
      <c r="EG17" s="600"/>
      <c r="EH17" s="600"/>
      <c r="EI17" s="600"/>
      <c r="EJ17" s="600"/>
      <c r="EK17" s="600"/>
      <c r="EL17" s="600"/>
      <c r="EM17" s="600"/>
      <c r="EN17" s="600"/>
      <c r="EO17" s="600"/>
      <c r="EP17" s="600"/>
      <c r="EQ17" s="600"/>
      <c r="ER17" s="600"/>
      <c r="ES17" s="600"/>
      <c r="ET17" s="600"/>
      <c r="EU17" s="600"/>
      <c r="EV17" s="600"/>
      <c r="EW17" s="600"/>
      <c r="EX17" s="600"/>
      <c r="EY17" s="600"/>
      <c r="EZ17" s="600"/>
      <c r="FA17" s="600"/>
      <c r="FB17" s="600"/>
      <c r="FC17" s="600"/>
      <c r="FD17" s="600"/>
      <c r="FE17" s="600"/>
      <c r="FF17" s="600"/>
      <c r="FG17" s="600"/>
      <c r="FH17" s="600"/>
      <c r="FI17" s="600"/>
      <c r="FJ17" s="600"/>
      <c r="FK17" s="600"/>
      <c r="FL17" s="600"/>
      <c r="FM17" s="600"/>
      <c r="FN17" s="600"/>
      <c r="FO17" s="600"/>
      <c r="FP17" s="600"/>
      <c r="FQ17" s="600"/>
      <c r="FR17" s="600"/>
      <c r="FS17" s="600"/>
      <c r="FT17" s="600"/>
      <c r="FU17" s="600"/>
      <c r="FV17" s="600"/>
      <c r="FW17" s="600"/>
      <c r="FX17" s="600"/>
      <c r="FY17" s="600"/>
      <c r="FZ17" s="600"/>
      <c r="GA17" s="600"/>
      <c r="GB17" s="600"/>
      <c r="GC17" s="600"/>
      <c r="GD17" s="600"/>
      <c r="GE17" s="600"/>
      <c r="GF17" s="600"/>
      <c r="GG17" s="600"/>
      <c r="GH17" s="600"/>
      <c r="GI17" s="600"/>
      <c r="GJ17" s="600"/>
      <c r="GK17" s="600"/>
      <c r="GL17" s="600"/>
      <c r="GM17" s="600"/>
      <c r="GN17" s="600"/>
      <c r="GO17" s="600"/>
      <c r="GP17" s="600"/>
      <c r="GQ17" s="600"/>
      <c r="GR17" s="600"/>
      <c r="GS17" s="600"/>
      <c r="GT17" s="600"/>
      <c r="GU17" s="600"/>
      <c r="GV17" s="600"/>
      <c r="GW17" s="600"/>
      <c r="GX17" s="600"/>
      <c r="GY17" s="600"/>
      <c r="GZ17" s="600"/>
      <c r="HA17" s="600"/>
      <c r="HB17" s="600"/>
      <c r="HC17" s="600"/>
      <c r="HD17" s="600"/>
      <c r="HE17" s="600"/>
      <c r="HF17" s="600"/>
      <c r="HG17" s="600"/>
      <c r="HH17" s="600"/>
      <c r="HI17" s="600"/>
      <c r="HJ17" s="600"/>
      <c r="HK17" s="600"/>
      <c r="HL17" s="600"/>
      <c r="HM17" s="600"/>
      <c r="HN17" s="600"/>
      <c r="HO17" s="600"/>
      <c r="HP17" s="600"/>
      <c r="HQ17" s="600"/>
      <c r="HR17" s="600"/>
      <c r="HS17" s="600"/>
      <c r="HT17" s="600"/>
      <c r="HU17" s="600"/>
      <c r="HV17" s="600"/>
      <c r="HW17" s="600"/>
      <c r="HX17" s="600"/>
      <c r="HY17" s="600"/>
      <c r="HZ17" s="600"/>
      <c r="IA17" s="600"/>
      <c r="IB17" s="600"/>
      <c r="IC17" s="600"/>
      <c r="ID17" s="600"/>
      <c r="IE17" s="600"/>
      <c r="IF17" s="600"/>
      <c r="IG17" s="600"/>
      <c r="IH17" s="600"/>
      <c r="II17" s="600"/>
      <c r="IJ17" s="600"/>
      <c r="IK17" s="600"/>
      <c r="IL17" s="600"/>
      <c r="IM17" s="600"/>
      <c r="IN17" s="600"/>
      <c r="IO17" s="600"/>
      <c r="IP17" s="600"/>
      <c r="IQ17" s="600"/>
      <c r="IR17" s="600"/>
      <c r="IS17" s="600"/>
    </row>
    <row r="18" spans="1:253" s="601" customFormat="1">
      <c r="A18" s="463" t="s">
        <v>679</v>
      </c>
      <c r="B18" s="460">
        <f>'Sources and Uses Budget'!$C17</f>
        <v>0</v>
      </c>
      <c r="C18" s="460">
        <f>'Sources and Uses Budget'!$C17</f>
        <v>0</v>
      </c>
      <c r="D18" s="464">
        <f t="shared" si="0"/>
        <v>0</v>
      </c>
      <c r="E18" s="462"/>
      <c r="F18" s="461"/>
      <c r="G18" s="605"/>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c r="BL18" s="600"/>
      <c r="BM18" s="600"/>
      <c r="BN18" s="600"/>
      <c r="BO18" s="600"/>
      <c r="BP18" s="600"/>
      <c r="BQ18" s="600"/>
      <c r="BR18" s="600"/>
      <c r="BS18" s="600"/>
      <c r="BT18" s="600"/>
      <c r="BU18" s="600"/>
      <c r="BV18" s="600"/>
      <c r="BW18" s="600"/>
      <c r="BX18" s="600"/>
      <c r="BY18" s="600"/>
      <c r="BZ18" s="600"/>
      <c r="CA18" s="600"/>
      <c r="CB18" s="600"/>
      <c r="CC18" s="600"/>
      <c r="CD18" s="600"/>
      <c r="CE18" s="600"/>
      <c r="CF18" s="600"/>
      <c r="CG18" s="600"/>
      <c r="CH18" s="600"/>
      <c r="CI18" s="600"/>
      <c r="CJ18" s="600"/>
      <c r="CK18" s="600"/>
      <c r="CL18" s="600"/>
      <c r="CM18" s="600"/>
      <c r="CN18" s="600"/>
      <c r="CO18" s="600"/>
      <c r="CP18" s="600"/>
      <c r="CQ18" s="600"/>
      <c r="CR18" s="600"/>
      <c r="CS18" s="600"/>
      <c r="CT18" s="600"/>
      <c r="CU18" s="600"/>
      <c r="CV18" s="600"/>
      <c r="CW18" s="600"/>
      <c r="CX18" s="600"/>
      <c r="CY18" s="600"/>
      <c r="CZ18" s="600"/>
      <c r="DA18" s="600"/>
      <c r="DB18" s="600"/>
      <c r="DC18" s="600"/>
      <c r="DD18" s="600"/>
      <c r="DE18" s="600"/>
      <c r="DF18" s="600"/>
      <c r="DG18" s="600"/>
      <c r="DH18" s="600"/>
      <c r="DI18" s="600"/>
      <c r="DJ18" s="600"/>
      <c r="DK18" s="600"/>
      <c r="DL18" s="600"/>
      <c r="DM18" s="600"/>
      <c r="DN18" s="600"/>
      <c r="DO18" s="600"/>
      <c r="DP18" s="600"/>
      <c r="DQ18" s="600"/>
      <c r="DR18" s="600"/>
      <c r="DS18" s="600"/>
      <c r="DT18" s="600"/>
      <c r="DU18" s="600"/>
      <c r="DV18" s="600"/>
      <c r="DW18" s="600"/>
      <c r="DX18" s="600"/>
      <c r="DY18" s="600"/>
      <c r="DZ18" s="600"/>
      <c r="EA18" s="600"/>
      <c r="EB18" s="600"/>
      <c r="EC18" s="600"/>
      <c r="ED18" s="600"/>
      <c r="EE18" s="600"/>
      <c r="EF18" s="600"/>
      <c r="EG18" s="600"/>
      <c r="EH18" s="600"/>
      <c r="EI18" s="600"/>
      <c r="EJ18" s="600"/>
      <c r="EK18" s="600"/>
      <c r="EL18" s="600"/>
      <c r="EM18" s="600"/>
      <c r="EN18" s="600"/>
      <c r="EO18" s="600"/>
      <c r="EP18" s="600"/>
      <c r="EQ18" s="600"/>
      <c r="ER18" s="600"/>
      <c r="ES18" s="600"/>
      <c r="ET18" s="600"/>
      <c r="EU18" s="600"/>
      <c r="EV18" s="600"/>
      <c r="EW18" s="600"/>
      <c r="EX18" s="600"/>
      <c r="EY18" s="600"/>
      <c r="EZ18" s="600"/>
      <c r="FA18" s="600"/>
      <c r="FB18" s="600"/>
      <c r="FC18" s="600"/>
      <c r="FD18" s="600"/>
      <c r="FE18" s="600"/>
      <c r="FF18" s="600"/>
      <c r="FG18" s="600"/>
      <c r="FH18" s="600"/>
      <c r="FI18" s="600"/>
      <c r="FJ18" s="600"/>
      <c r="FK18" s="600"/>
      <c r="FL18" s="600"/>
      <c r="FM18" s="600"/>
      <c r="FN18" s="600"/>
      <c r="FO18" s="600"/>
      <c r="FP18" s="600"/>
      <c r="FQ18" s="600"/>
      <c r="FR18" s="600"/>
      <c r="FS18" s="600"/>
      <c r="FT18" s="600"/>
      <c r="FU18" s="600"/>
      <c r="FV18" s="600"/>
      <c r="FW18" s="600"/>
      <c r="FX18" s="600"/>
      <c r="FY18" s="600"/>
      <c r="FZ18" s="600"/>
      <c r="GA18" s="600"/>
      <c r="GB18" s="600"/>
      <c r="GC18" s="600"/>
      <c r="GD18" s="600"/>
      <c r="GE18" s="600"/>
      <c r="GF18" s="600"/>
      <c r="GG18" s="600"/>
      <c r="GH18" s="600"/>
      <c r="GI18" s="600"/>
      <c r="GJ18" s="600"/>
      <c r="GK18" s="600"/>
      <c r="GL18" s="600"/>
      <c r="GM18" s="600"/>
      <c r="GN18" s="600"/>
      <c r="GO18" s="600"/>
      <c r="GP18" s="600"/>
      <c r="GQ18" s="600"/>
      <c r="GR18" s="600"/>
      <c r="GS18" s="600"/>
      <c r="GT18" s="600"/>
      <c r="GU18" s="600"/>
      <c r="GV18" s="600"/>
      <c r="GW18" s="600"/>
      <c r="GX18" s="600"/>
      <c r="GY18" s="600"/>
      <c r="GZ18" s="600"/>
      <c r="HA18" s="600"/>
      <c r="HB18" s="600"/>
      <c r="HC18" s="600"/>
      <c r="HD18" s="600"/>
      <c r="HE18" s="600"/>
      <c r="HF18" s="600"/>
      <c r="HG18" s="600"/>
      <c r="HH18" s="600"/>
      <c r="HI18" s="600"/>
      <c r="HJ18" s="600"/>
      <c r="HK18" s="600"/>
      <c r="HL18" s="600"/>
      <c r="HM18" s="600"/>
      <c r="HN18" s="600"/>
      <c r="HO18" s="600"/>
      <c r="HP18" s="600"/>
      <c r="HQ18" s="600"/>
      <c r="HR18" s="600"/>
      <c r="HS18" s="600"/>
      <c r="HT18" s="600"/>
      <c r="HU18" s="600"/>
      <c r="HV18" s="600"/>
      <c r="HW18" s="600"/>
      <c r="HX18" s="600"/>
      <c r="HY18" s="600"/>
      <c r="HZ18" s="600"/>
      <c r="IA18" s="600"/>
      <c r="IB18" s="600"/>
      <c r="IC18" s="600"/>
      <c r="ID18" s="600"/>
      <c r="IE18" s="600"/>
      <c r="IF18" s="600"/>
      <c r="IG18" s="600"/>
      <c r="IH18" s="600"/>
      <c r="II18" s="600"/>
      <c r="IJ18" s="600"/>
      <c r="IK18" s="600"/>
      <c r="IL18" s="600"/>
      <c r="IM18" s="600"/>
      <c r="IN18" s="600"/>
      <c r="IO18" s="600"/>
      <c r="IP18" s="600"/>
      <c r="IQ18" s="600"/>
      <c r="IR18" s="600"/>
      <c r="IS18" s="600"/>
    </row>
    <row r="19" spans="1:253" s="601" customFormat="1">
      <c r="A19" s="463" t="s">
        <v>680</v>
      </c>
      <c r="B19" s="460">
        <f>'Sources and Uses Budget'!$C18</f>
        <v>4096169</v>
      </c>
      <c r="C19" s="460">
        <f>'Sources and Uses Budget'!$C18</f>
        <v>4096169</v>
      </c>
      <c r="D19" s="464">
        <f t="shared" si="0"/>
        <v>0</v>
      </c>
      <c r="E19" s="462"/>
      <c r="F19" s="461"/>
      <c r="G19" s="605"/>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c r="AR19" s="600"/>
      <c r="AS19" s="600"/>
      <c r="AT19" s="600"/>
      <c r="AU19" s="600"/>
      <c r="AV19" s="600"/>
      <c r="AW19" s="600"/>
      <c r="AX19" s="600"/>
      <c r="AY19" s="600"/>
      <c r="AZ19" s="600"/>
      <c r="BA19" s="600"/>
      <c r="BB19" s="600"/>
      <c r="BC19" s="600"/>
      <c r="BD19" s="600"/>
      <c r="BE19" s="600"/>
      <c r="BF19" s="600"/>
      <c r="BG19" s="600"/>
      <c r="BH19" s="600"/>
      <c r="BI19" s="600"/>
      <c r="BJ19" s="600"/>
      <c r="BK19" s="600"/>
      <c r="BL19" s="600"/>
      <c r="BM19" s="600"/>
      <c r="BN19" s="600"/>
      <c r="BO19" s="600"/>
      <c r="BP19" s="600"/>
      <c r="BQ19" s="600"/>
      <c r="BR19" s="600"/>
      <c r="BS19" s="600"/>
      <c r="BT19" s="600"/>
      <c r="BU19" s="600"/>
      <c r="BV19" s="600"/>
      <c r="BW19" s="600"/>
      <c r="BX19" s="600"/>
      <c r="BY19" s="600"/>
      <c r="BZ19" s="600"/>
      <c r="CA19" s="600"/>
      <c r="CB19" s="600"/>
      <c r="CC19" s="600"/>
      <c r="CD19" s="600"/>
      <c r="CE19" s="600"/>
      <c r="CF19" s="600"/>
      <c r="CG19" s="600"/>
      <c r="CH19" s="600"/>
      <c r="CI19" s="600"/>
      <c r="CJ19" s="600"/>
      <c r="CK19" s="600"/>
      <c r="CL19" s="600"/>
      <c r="CM19" s="600"/>
      <c r="CN19" s="600"/>
      <c r="CO19" s="600"/>
      <c r="CP19" s="600"/>
      <c r="CQ19" s="600"/>
      <c r="CR19" s="600"/>
      <c r="CS19" s="600"/>
      <c r="CT19" s="600"/>
      <c r="CU19" s="600"/>
      <c r="CV19" s="600"/>
      <c r="CW19" s="600"/>
      <c r="CX19" s="600"/>
      <c r="CY19" s="600"/>
      <c r="CZ19" s="600"/>
      <c r="DA19" s="600"/>
      <c r="DB19" s="600"/>
      <c r="DC19" s="600"/>
      <c r="DD19" s="600"/>
      <c r="DE19" s="600"/>
      <c r="DF19" s="600"/>
      <c r="DG19" s="600"/>
      <c r="DH19" s="600"/>
      <c r="DI19" s="600"/>
      <c r="DJ19" s="600"/>
      <c r="DK19" s="600"/>
      <c r="DL19" s="600"/>
      <c r="DM19" s="600"/>
      <c r="DN19" s="600"/>
      <c r="DO19" s="600"/>
      <c r="DP19" s="600"/>
      <c r="DQ19" s="600"/>
      <c r="DR19" s="600"/>
      <c r="DS19" s="600"/>
      <c r="DT19" s="600"/>
      <c r="DU19" s="600"/>
      <c r="DV19" s="600"/>
      <c r="DW19" s="600"/>
      <c r="DX19" s="600"/>
      <c r="DY19" s="600"/>
      <c r="DZ19" s="600"/>
      <c r="EA19" s="600"/>
      <c r="EB19" s="600"/>
      <c r="EC19" s="600"/>
      <c r="ED19" s="600"/>
      <c r="EE19" s="600"/>
      <c r="EF19" s="600"/>
      <c r="EG19" s="600"/>
      <c r="EH19" s="600"/>
      <c r="EI19" s="600"/>
      <c r="EJ19" s="600"/>
      <c r="EK19" s="600"/>
      <c r="EL19" s="600"/>
      <c r="EM19" s="600"/>
      <c r="EN19" s="600"/>
      <c r="EO19" s="600"/>
      <c r="EP19" s="600"/>
      <c r="EQ19" s="600"/>
      <c r="ER19" s="600"/>
      <c r="ES19" s="600"/>
      <c r="ET19" s="600"/>
      <c r="EU19" s="600"/>
      <c r="EV19" s="600"/>
      <c r="EW19" s="600"/>
      <c r="EX19" s="600"/>
      <c r="EY19" s="600"/>
      <c r="EZ19" s="600"/>
      <c r="FA19" s="600"/>
      <c r="FB19" s="600"/>
      <c r="FC19" s="600"/>
      <c r="FD19" s="600"/>
      <c r="FE19" s="600"/>
      <c r="FF19" s="600"/>
      <c r="FG19" s="600"/>
      <c r="FH19" s="600"/>
      <c r="FI19" s="600"/>
      <c r="FJ19" s="600"/>
      <c r="FK19" s="600"/>
      <c r="FL19" s="600"/>
      <c r="FM19" s="600"/>
      <c r="FN19" s="600"/>
      <c r="FO19" s="600"/>
      <c r="FP19" s="600"/>
      <c r="FQ19" s="600"/>
      <c r="FR19" s="600"/>
      <c r="FS19" s="600"/>
      <c r="FT19" s="600"/>
      <c r="FU19" s="600"/>
      <c r="FV19" s="600"/>
      <c r="FW19" s="600"/>
      <c r="FX19" s="600"/>
      <c r="FY19" s="600"/>
      <c r="FZ19" s="600"/>
      <c r="GA19" s="600"/>
      <c r="GB19" s="600"/>
      <c r="GC19" s="600"/>
      <c r="GD19" s="600"/>
      <c r="GE19" s="600"/>
      <c r="GF19" s="600"/>
      <c r="GG19" s="600"/>
      <c r="GH19" s="600"/>
      <c r="GI19" s="600"/>
      <c r="GJ19" s="600"/>
      <c r="GK19" s="600"/>
      <c r="GL19" s="600"/>
      <c r="GM19" s="600"/>
      <c r="GN19" s="600"/>
      <c r="GO19" s="600"/>
      <c r="GP19" s="600"/>
      <c r="GQ19" s="600"/>
      <c r="GR19" s="600"/>
      <c r="GS19" s="600"/>
      <c r="GT19" s="600"/>
      <c r="GU19" s="600"/>
      <c r="GV19" s="600"/>
      <c r="GW19" s="600"/>
      <c r="GX19" s="600"/>
      <c r="GY19" s="600"/>
      <c r="GZ19" s="600"/>
      <c r="HA19" s="600"/>
      <c r="HB19" s="600"/>
      <c r="HC19" s="600"/>
      <c r="HD19" s="600"/>
      <c r="HE19" s="600"/>
      <c r="HF19" s="600"/>
      <c r="HG19" s="600"/>
      <c r="HH19" s="600"/>
      <c r="HI19" s="600"/>
      <c r="HJ19" s="600"/>
      <c r="HK19" s="600"/>
      <c r="HL19" s="600"/>
      <c r="HM19" s="600"/>
      <c r="HN19" s="600"/>
      <c r="HO19" s="600"/>
      <c r="HP19" s="600"/>
      <c r="HQ19" s="600"/>
      <c r="HR19" s="600"/>
      <c r="HS19" s="600"/>
      <c r="HT19" s="600"/>
      <c r="HU19" s="600"/>
      <c r="HV19" s="600"/>
      <c r="HW19" s="600"/>
      <c r="HX19" s="600"/>
      <c r="HY19" s="600"/>
      <c r="HZ19" s="600"/>
      <c r="IA19" s="600"/>
      <c r="IB19" s="600"/>
      <c r="IC19" s="600"/>
      <c r="ID19" s="600"/>
      <c r="IE19" s="600"/>
      <c r="IF19" s="600"/>
      <c r="IG19" s="600"/>
      <c r="IH19" s="600"/>
      <c r="II19" s="600"/>
      <c r="IJ19" s="600"/>
      <c r="IK19" s="600"/>
      <c r="IL19" s="600"/>
      <c r="IM19" s="600"/>
      <c r="IN19" s="600"/>
      <c r="IO19" s="600"/>
      <c r="IP19" s="600"/>
      <c r="IQ19" s="600"/>
      <c r="IR19" s="600"/>
      <c r="IS19" s="600"/>
    </row>
    <row r="20" spans="1:253" s="601" customFormat="1">
      <c r="A20" s="463" t="s">
        <v>681</v>
      </c>
      <c r="B20" s="460">
        <f>'Sources and Uses Budget'!$C19</f>
        <v>245770</v>
      </c>
      <c r="C20" s="460">
        <f>'Sources and Uses Budget'!$C19</f>
        <v>245770</v>
      </c>
      <c r="D20" s="464">
        <f t="shared" si="0"/>
        <v>0</v>
      </c>
      <c r="E20" s="462"/>
      <c r="F20" s="461"/>
      <c r="G20" s="605"/>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c r="AR20" s="600"/>
      <c r="AS20" s="600"/>
      <c r="AT20" s="600"/>
      <c r="AU20" s="600"/>
      <c r="AV20" s="600"/>
      <c r="AW20" s="600"/>
      <c r="AX20" s="600"/>
      <c r="AY20" s="600"/>
      <c r="AZ20" s="600"/>
      <c r="BA20" s="600"/>
      <c r="BB20" s="600"/>
      <c r="BC20" s="600"/>
      <c r="BD20" s="600"/>
      <c r="BE20" s="600"/>
      <c r="BF20" s="600"/>
      <c r="BG20" s="600"/>
      <c r="BH20" s="600"/>
      <c r="BI20" s="600"/>
      <c r="BJ20" s="600"/>
      <c r="BK20" s="600"/>
      <c r="BL20" s="600"/>
      <c r="BM20" s="600"/>
      <c r="BN20" s="600"/>
      <c r="BO20" s="600"/>
      <c r="BP20" s="600"/>
      <c r="BQ20" s="600"/>
      <c r="BR20" s="600"/>
      <c r="BS20" s="600"/>
      <c r="BT20" s="600"/>
      <c r="BU20" s="600"/>
      <c r="BV20" s="600"/>
      <c r="BW20" s="600"/>
      <c r="BX20" s="600"/>
      <c r="BY20" s="600"/>
      <c r="BZ20" s="600"/>
      <c r="CA20" s="600"/>
      <c r="CB20" s="600"/>
      <c r="CC20" s="600"/>
      <c r="CD20" s="600"/>
      <c r="CE20" s="600"/>
      <c r="CF20" s="600"/>
      <c r="CG20" s="600"/>
      <c r="CH20" s="600"/>
      <c r="CI20" s="600"/>
      <c r="CJ20" s="600"/>
      <c r="CK20" s="600"/>
      <c r="CL20" s="600"/>
      <c r="CM20" s="600"/>
      <c r="CN20" s="600"/>
      <c r="CO20" s="600"/>
      <c r="CP20" s="600"/>
      <c r="CQ20" s="600"/>
      <c r="CR20" s="600"/>
      <c r="CS20" s="600"/>
      <c r="CT20" s="600"/>
      <c r="CU20" s="600"/>
      <c r="CV20" s="600"/>
      <c r="CW20" s="600"/>
      <c r="CX20" s="600"/>
      <c r="CY20" s="600"/>
      <c r="CZ20" s="600"/>
      <c r="DA20" s="600"/>
      <c r="DB20" s="600"/>
      <c r="DC20" s="600"/>
      <c r="DD20" s="600"/>
      <c r="DE20" s="600"/>
      <c r="DF20" s="600"/>
      <c r="DG20" s="600"/>
      <c r="DH20" s="600"/>
      <c r="DI20" s="600"/>
      <c r="DJ20" s="600"/>
      <c r="DK20" s="600"/>
      <c r="DL20" s="600"/>
      <c r="DM20" s="600"/>
      <c r="DN20" s="600"/>
      <c r="DO20" s="600"/>
      <c r="DP20" s="600"/>
      <c r="DQ20" s="600"/>
      <c r="DR20" s="600"/>
      <c r="DS20" s="600"/>
      <c r="DT20" s="600"/>
      <c r="DU20" s="600"/>
      <c r="DV20" s="600"/>
      <c r="DW20" s="600"/>
      <c r="DX20" s="600"/>
      <c r="DY20" s="600"/>
      <c r="DZ20" s="600"/>
      <c r="EA20" s="600"/>
      <c r="EB20" s="600"/>
      <c r="EC20" s="600"/>
      <c r="ED20" s="600"/>
      <c r="EE20" s="600"/>
      <c r="EF20" s="600"/>
      <c r="EG20" s="600"/>
      <c r="EH20" s="600"/>
      <c r="EI20" s="600"/>
      <c r="EJ20" s="600"/>
      <c r="EK20" s="600"/>
      <c r="EL20" s="600"/>
      <c r="EM20" s="600"/>
      <c r="EN20" s="600"/>
      <c r="EO20" s="600"/>
      <c r="EP20" s="600"/>
      <c r="EQ20" s="600"/>
      <c r="ER20" s="600"/>
      <c r="ES20" s="600"/>
      <c r="ET20" s="600"/>
      <c r="EU20" s="600"/>
      <c r="EV20" s="600"/>
      <c r="EW20" s="600"/>
      <c r="EX20" s="600"/>
      <c r="EY20" s="600"/>
      <c r="EZ20" s="600"/>
      <c r="FA20" s="600"/>
      <c r="FB20" s="600"/>
      <c r="FC20" s="600"/>
      <c r="FD20" s="600"/>
      <c r="FE20" s="600"/>
      <c r="FF20" s="600"/>
      <c r="FG20" s="600"/>
      <c r="FH20" s="600"/>
      <c r="FI20" s="600"/>
      <c r="FJ20" s="600"/>
      <c r="FK20" s="600"/>
      <c r="FL20" s="600"/>
      <c r="FM20" s="600"/>
      <c r="FN20" s="600"/>
      <c r="FO20" s="600"/>
      <c r="FP20" s="600"/>
      <c r="FQ20" s="600"/>
      <c r="FR20" s="600"/>
      <c r="FS20" s="600"/>
      <c r="FT20" s="600"/>
      <c r="FU20" s="600"/>
      <c r="FV20" s="600"/>
      <c r="FW20" s="600"/>
      <c r="FX20" s="600"/>
      <c r="FY20" s="600"/>
      <c r="FZ20" s="600"/>
      <c r="GA20" s="600"/>
      <c r="GB20" s="600"/>
      <c r="GC20" s="600"/>
      <c r="GD20" s="600"/>
      <c r="GE20" s="600"/>
      <c r="GF20" s="600"/>
      <c r="GG20" s="600"/>
      <c r="GH20" s="600"/>
      <c r="GI20" s="600"/>
      <c r="GJ20" s="600"/>
      <c r="GK20" s="600"/>
      <c r="GL20" s="600"/>
      <c r="GM20" s="600"/>
      <c r="GN20" s="600"/>
      <c r="GO20" s="600"/>
      <c r="GP20" s="600"/>
      <c r="GQ20" s="600"/>
      <c r="GR20" s="600"/>
      <c r="GS20" s="600"/>
      <c r="GT20" s="600"/>
      <c r="GU20" s="600"/>
      <c r="GV20" s="600"/>
      <c r="GW20" s="600"/>
      <c r="GX20" s="600"/>
      <c r="GY20" s="600"/>
      <c r="GZ20" s="600"/>
      <c r="HA20" s="600"/>
      <c r="HB20" s="600"/>
      <c r="HC20" s="600"/>
      <c r="HD20" s="600"/>
      <c r="HE20" s="600"/>
      <c r="HF20" s="600"/>
      <c r="HG20" s="600"/>
      <c r="HH20" s="600"/>
      <c r="HI20" s="600"/>
      <c r="HJ20" s="600"/>
      <c r="HK20" s="600"/>
      <c r="HL20" s="600"/>
      <c r="HM20" s="600"/>
      <c r="HN20" s="600"/>
      <c r="HO20" s="600"/>
      <c r="HP20" s="600"/>
      <c r="HQ20" s="600"/>
      <c r="HR20" s="600"/>
      <c r="HS20" s="600"/>
      <c r="HT20" s="600"/>
      <c r="HU20" s="600"/>
      <c r="HV20" s="600"/>
      <c r="HW20" s="600"/>
      <c r="HX20" s="600"/>
      <c r="HY20" s="600"/>
      <c r="HZ20" s="600"/>
      <c r="IA20" s="600"/>
      <c r="IB20" s="600"/>
      <c r="IC20" s="600"/>
      <c r="ID20" s="600"/>
      <c r="IE20" s="600"/>
      <c r="IF20" s="600"/>
      <c r="IG20" s="600"/>
      <c r="IH20" s="600"/>
      <c r="II20" s="600"/>
      <c r="IJ20" s="600"/>
      <c r="IK20" s="600"/>
      <c r="IL20" s="600"/>
      <c r="IM20" s="600"/>
      <c r="IN20" s="600"/>
      <c r="IO20" s="600"/>
      <c r="IP20" s="600"/>
      <c r="IQ20" s="600"/>
      <c r="IR20" s="600"/>
      <c r="IS20" s="600"/>
    </row>
    <row r="21" spans="1:253" s="601" customFormat="1">
      <c r="A21" s="463" t="s">
        <v>148</v>
      </c>
      <c r="B21" s="460">
        <f>'Sources and Uses Budget'!$C20</f>
        <v>86839</v>
      </c>
      <c r="C21" s="460">
        <f>'Sources and Uses Budget'!$C20</f>
        <v>86839</v>
      </c>
      <c r="D21" s="464">
        <f t="shared" si="0"/>
        <v>0</v>
      </c>
      <c r="E21" s="462"/>
      <c r="F21" s="461"/>
      <c r="G21" s="605"/>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c r="AR21" s="600"/>
      <c r="AS21" s="600"/>
      <c r="AT21" s="600"/>
      <c r="AU21" s="600"/>
      <c r="AV21" s="600"/>
      <c r="AW21" s="600"/>
      <c r="AX21" s="600"/>
      <c r="AY21" s="600"/>
      <c r="AZ21" s="600"/>
      <c r="BA21" s="600"/>
      <c r="BB21" s="600"/>
      <c r="BC21" s="600"/>
      <c r="BD21" s="600"/>
      <c r="BE21" s="600"/>
      <c r="BF21" s="600"/>
      <c r="BG21" s="600"/>
      <c r="BH21" s="600"/>
      <c r="BI21" s="600"/>
      <c r="BJ21" s="600"/>
      <c r="BK21" s="600"/>
      <c r="BL21" s="600"/>
      <c r="BM21" s="600"/>
      <c r="BN21" s="600"/>
      <c r="BO21" s="600"/>
      <c r="BP21" s="600"/>
      <c r="BQ21" s="600"/>
      <c r="BR21" s="600"/>
      <c r="BS21" s="600"/>
      <c r="BT21" s="600"/>
      <c r="BU21" s="600"/>
      <c r="BV21" s="600"/>
      <c r="BW21" s="600"/>
      <c r="BX21" s="600"/>
      <c r="BY21" s="600"/>
      <c r="BZ21" s="600"/>
      <c r="CA21" s="600"/>
      <c r="CB21" s="600"/>
      <c r="CC21" s="600"/>
      <c r="CD21" s="600"/>
      <c r="CE21" s="600"/>
      <c r="CF21" s="600"/>
      <c r="CG21" s="600"/>
      <c r="CH21" s="600"/>
      <c r="CI21" s="600"/>
      <c r="CJ21" s="600"/>
      <c r="CK21" s="600"/>
      <c r="CL21" s="600"/>
      <c r="CM21" s="600"/>
      <c r="CN21" s="600"/>
      <c r="CO21" s="600"/>
      <c r="CP21" s="600"/>
      <c r="CQ21" s="600"/>
      <c r="CR21" s="600"/>
      <c r="CS21" s="600"/>
      <c r="CT21" s="600"/>
      <c r="CU21" s="600"/>
      <c r="CV21" s="600"/>
      <c r="CW21" s="600"/>
      <c r="CX21" s="600"/>
      <c r="CY21" s="600"/>
      <c r="CZ21" s="600"/>
      <c r="DA21" s="600"/>
      <c r="DB21" s="600"/>
      <c r="DC21" s="600"/>
      <c r="DD21" s="600"/>
      <c r="DE21" s="600"/>
      <c r="DF21" s="600"/>
      <c r="DG21" s="600"/>
      <c r="DH21" s="600"/>
      <c r="DI21" s="600"/>
      <c r="DJ21" s="600"/>
      <c r="DK21" s="600"/>
      <c r="DL21" s="600"/>
      <c r="DM21" s="600"/>
      <c r="DN21" s="600"/>
      <c r="DO21" s="600"/>
      <c r="DP21" s="600"/>
      <c r="DQ21" s="600"/>
      <c r="DR21" s="600"/>
      <c r="DS21" s="600"/>
      <c r="DT21" s="600"/>
      <c r="DU21" s="600"/>
      <c r="DV21" s="600"/>
      <c r="DW21" s="600"/>
      <c r="DX21" s="600"/>
      <c r="DY21" s="600"/>
      <c r="DZ21" s="600"/>
      <c r="EA21" s="600"/>
      <c r="EB21" s="600"/>
      <c r="EC21" s="600"/>
      <c r="ED21" s="600"/>
      <c r="EE21" s="600"/>
      <c r="EF21" s="600"/>
      <c r="EG21" s="600"/>
      <c r="EH21" s="600"/>
      <c r="EI21" s="600"/>
      <c r="EJ21" s="600"/>
      <c r="EK21" s="600"/>
      <c r="EL21" s="600"/>
      <c r="EM21" s="600"/>
      <c r="EN21" s="600"/>
      <c r="EO21" s="600"/>
      <c r="EP21" s="600"/>
      <c r="EQ21" s="600"/>
      <c r="ER21" s="600"/>
      <c r="ES21" s="600"/>
      <c r="ET21" s="600"/>
      <c r="EU21" s="600"/>
      <c r="EV21" s="600"/>
      <c r="EW21" s="600"/>
      <c r="EX21" s="600"/>
      <c r="EY21" s="600"/>
      <c r="EZ21" s="600"/>
      <c r="FA21" s="600"/>
      <c r="FB21" s="600"/>
      <c r="FC21" s="600"/>
      <c r="FD21" s="600"/>
      <c r="FE21" s="600"/>
      <c r="FF21" s="600"/>
      <c r="FG21" s="600"/>
      <c r="FH21" s="600"/>
      <c r="FI21" s="600"/>
      <c r="FJ21" s="600"/>
      <c r="FK21" s="600"/>
      <c r="FL21" s="600"/>
      <c r="FM21" s="600"/>
      <c r="FN21" s="600"/>
      <c r="FO21" s="600"/>
      <c r="FP21" s="600"/>
      <c r="FQ21" s="600"/>
      <c r="FR21" s="600"/>
      <c r="FS21" s="600"/>
      <c r="FT21" s="600"/>
      <c r="FU21" s="600"/>
      <c r="FV21" s="600"/>
      <c r="FW21" s="600"/>
      <c r="FX21" s="600"/>
      <c r="FY21" s="600"/>
      <c r="FZ21" s="600"/>
      <c r="GA21" s="600"/>
      <c r="GB21" s="600"/>
      <c r="GC21" s="600"/>
      <c r="GD21" s="600"/>
      <c r="GE21" s="600"/>
      <c r="GF21" s="600"/>
      <c r="GG21" s="600"/>
      <c r="GH21" s="600"/>
      <c r="GI21" s="600"/>
      <c r="GJ21" s="600"/>
      <c r="GK21" s="600"/>
      <c r="GL21" s="600"/>
      <c r="GM21" s="600"/>
      <c r="GN21" s="600"/>
      <c r="GO21" s="600"/>
      <c r="GP21" s="600"/>
      <c r="GQ21" s="600"/>
      <c r="GR21" s="600"/>
      <c r="GS21" s="600"/>
      <c r="GT21" s="600"/>
      <c r="GU21" s="600"/>
      <c r="GV21" s="600"/>
      <c r="GW21" s="600"/>
      <c r="GX21" s="600"/>
      <c r="GY21" s="600"/>
      <c r="GZ21" s="600"/>
      <c r="HA21" s="600"/>
      <c r="HB21" s="600"/>
      <c r="HC21" s="600"/>
      <c r="HD21" s="600"/>
      <c r="HE21" s="600"/>
      <c r="HF21" s="600"/>
      <c r="HG21" s="600"/>
      <c r="HH21" s="600"/>
      <c r="HI21" s="600"/>
      <c r="HJ21" s="600"/>
      <c r="HK21" s="600"/>
      <c r="HL21" s="600"/>
      <c r="HM21" s="600"/>
      <c r="HN21" s="600"/>
      <c r="HO21" s="600"/>
      <c r="HP21" s="600"/>
      <c r="HQ21" s="600"/>
      <c r="HR21" s="600"/>
      <c r="HS21" s="600"/>
      <c r="HT21" s="600"/>
      <c r="HU21" s="600"/>
      <c r="HV21" s="600"/>
      <c r="HW21" s="600"/>
      <c r="HX21" s="600"/>
      <c r="HY21" s="600"/>
      <c r="HZ21" s="600"/>
      <c r="IA21" s="600"/>
      <c r="IB21" s="600"/>
      <c r="IC21" s="600"/>
      <c r="ID21" s="600"/>
      <c r="IE21" s="600"/>
      <c r="IF21" s="600"/>
      <c r="IG21" s="600"/>
      <c r="IH21" s="600"/>
      <c r="II21" s="600"/>
      <c r="IJ21" s="600"/>
      <c r="IK21" s="600"/>
      <c r="IL21" s="600"/>
      <c r="IM21" s="600"/>
      <c r="IN21" s="600"/>
      <c r="IO21" s="600"/>
      <c r="IP21" s="600"/>
      <c r="IQ21" s="600"/>
      <c r="IR21" s="600"/>
      <c r="IS21" s="600"/>
    </row>
    <row r="22" spans="1:253" s="601" customFormat="1">
      <c r="A22" s="463" t="s">
        <v>149</v>
      </c>
      <c r="B22" s="460">
        <f>'Sources and Uses Budget'!$C21</f>
        <v>260516</v>
      </c>
      <c r="C22" s="460">
        <f>'Sources and Uses Budget'!$C21</f>
        <v>260516</v>
      </c>
      <c r="D22" s="464">
        <f t="shared" si="0"/>
        <v>0</v>
      </c>
      <c r="E22" s="462"/>
      <c r="F22" s="461"/>
      <c r="G22" s="605"/>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600"/>
      <c r="AT22" s="600"/>
      <c r="AU22" s="600"/>
      <c r="AV22" s="600"/>
      <c r="AW22" s="600"/>
      <c r="AX22" s="600"/>
      <c r="AY22" s="600"/>
      <c r="AZ22" s="600"/>
      <c r="BA22" s="600"/>
      <c r="BB22" s="600"/>
      <c r="BC22" s="600"/>
      <c r="BD22" s="600"/>
      <c r="BE22" s="600"/>
      <c r="BF22" s="600"/>
      <c r="BG22" s="600"/>
      <c r="BH22" s="600"/>
      <c r="BI22" s="600"/>
      <c r="BJ22" s="600"/>
      <c r="BK22" s="600"/>
      <c r="BL22" s="600"/>
      <c r="BM22" s="600"/>
      <c r="BN22" s="600"/>
      <c r="BO22" s="600"/>
      <c r="BP22" s="600"/>
      <c r="BQ22" s="600"/>
      <c r="BR22" s="600"/>
      <c r="BS22" s="600"/>
      <c r="BT22" s="600"/>
      <c r="BU22" s="600"/>
      <c r="BV22" s="600"/>
      <c r="BW22" s="600"/>
      <c r="BX22" s="600"/>
      <c r="BY22" s="600"/>
      <c r="BZ22" s="600"/>
      <c r="CA22" s="600"/>
      <c r="CB22" s="600"/>
      <c r="CC22" s="600"/>
      <c r="CD22" s="600"/>
      <c r="CE22" s="600"/>
      <c r="CF22" s="600"/>
      <c r="CG22" s="600"/>
      <c r="CH22" s="600"/>
      <c r="CI22" s="600"/>
      <c r="CJ22" s="600"/>
      <c r="CK22" s="600"/>
      <c r="CL22" s="600"/>
      <c r="CM22" s="600"/>
      <c r="CN22" s="600"/>
      <c r="CO22" s="600"/>
      <c r="CP22" s="600"/>
      <c r="CQ22" s="600"/>
      <c r="CR22" s="600"/>
      <c r="CS22" s="600"/>
      <c r="CT22" s="600"/>
      <c r="CU22" s="600"/>
      <c r="CV22" s="600"/>
      <c r="CW22" s="600"/>
      <c r="CX22" s="600"/>
      <c r="CY22" s="600"/>
      <c r="CZ22" s="600"/>
      <c r="DA22" s="600"/>
      <c r="DB22" s="600"/>
      <c r="DC22" s="600"/>
      <c r="DD22" s="600"/>
      <c r="DE22" s="600"/>
      <c r="DF22" s="600"/>
      <c r="DG22" s="600"/>
      <c r="DH22" s="600"/>
      <c r="DI22" s="600"/>
      <c r="DJ22" s="600"/>
      <c r="DK22" s="600"/>
      <c r="DL22" s="600"/>
      <c r="DM22" s="600"/>
      <c r="DN22" s="600"/>
      <c r="DO22" s="600"/>
      <c r="DP22" s="600"/>
      <c r="DQ22" s="600"/>
      <c r="DR22" s="600"/>
      <c r="DS22" s="600"/>
      <c r="DT22" s="600"/>
      <c r="DU22" s="600"/>
      <c r="DV22" s="600"/>
      <c r="DW22" s="600"/>
      <c r="DX22" s="600"/>
      <c r="DY22" s="600"/>
      <c r="DZ22" s="600"/>
      <c r="EA22" s="600"/>
      <c r="EB22" s="600"/>
      <c r="EC22" s="600"/>
      <c r="ED22" s="600"/>
      <c r="EE22" s="600"/>
      <c r="EF22" s="600"/>
      <c r="EG22" s="600"/>
      <c r="EH22" s="600"/>
      <c r="EI22" s="600"/>
      <c r="EJ22" s="600"/>
      <c r="EK22" s="600"/>
      <c r="EL22" s="600"/>
      <c r="EM22" s="600"/>
      <c r="EN22" s="600"/>
      <c r="EO22" s="600"/>
      <c r="EP22" s="600"/>
      <c r="EQ22" s="600"/>
      <c r="ER22" s="600"/>
      <c r="ES22" s="600"/>
      <c r="ET22" s="600"/>
      <c r="EU22" s="600"/>
      <c r="EV22" s="600"/>
      <c r="EW22" s="600"/>
      <c r="EX22" s="600"/>
      <c r="EY22" s="600"/>
      <c r="EZ22" s="600"/>
      <c r="FA22" s="600"/>
      <c r="FB22" s="600"/>
      <c r="FC22" s="600"/>
      <c r="FD22" s="600"/>
      <c r="FE22" s="600"/>
      <c r="FF22" s="600"/>
      <c r="FG22" s="600"/>
      <c r="FH22" s="600"/>
      <c r="FI22" s="600"/>
      <c r="FJ22" s="600"/>
      <c r="FK22" s="600"/>
      <c r="FL22" s="600"/>
      <c r="FM22" s="600"/>
      <c r="FN22" s="600"/>
      <c r="FO22" s="600"/>
      <c r="FP22" s="600"/>
      <c r="FQ22" s="600"/>
      <c r="FR22" s="600"/>
      <c r="FS22" s="600"/>
      <c r="FT22" s="600"/>
      <c r="FU22" s="600"/>
      <c r="FV22" s="600"/>
      <c r="FW22" s="600"/>
      <c r="FX22" s="600"/>
      <c r="FY22" s="600"/>
      <c r="FZ22" s="600"/>
      <c r="GA22" s="600"/>
      <c r="GB22" s="600"/>
      <c r="GC22" s="600"/>
      <c r="GD22" s="600"/>
      <c r="GE22" s="600"/>
      <c r="GF22" s="600"/>
      <c r="GG22" s="600"/>
      <c r="GH22" s="600"/>
      <c r="GI22" s="600"/>
      <c r="GJ22" s="600"/>
      <c r="GK22" s="600"/>
      <c r="GL22" s="600"/>
      <c r="GM22" s="600"/>
      <c r="GN22" s="600"/>
      <c r="GO22" s="600"/>
      <c r="GP22" s="600"/>
      <c r="GQ22" s="600"/>
      <c r="GR22" s="600"/>
      <c r="GS22" s="600"/>
      <c r="GT22" s="600"/>
      <c r="GU22" s="600"/>
      <c r="GV22" s="600"/>
      <c r="GW22" s="600"/>
      <c r="GX22" s="600"/>
      <c r="GY22" s="600"/>
      <c r="GZ22" s="600"/>
      <c r="HA22" s="600"/>
      <c r="HB22" s="600"/>
      <c r="HC22" s="600"/>
      <c r="HD22" s="600"/>
      <c r="HE22" s="600"/>
      <c r="HF22" s="600"/>
      <c r="HG22" s="600"/>
      <c r="HH22" s="600"/>
      <c r="HI22" s="600"/>
      <c r="HJ22" s="600"/>
      <c r="HK22" s="600"/>
      <c r="HL22" s="600"/>
      <c r="HM22" s="600"/>
      <c r="HN22" s="600"/>
      <c r="HO22" s="600"/>
      <c r="HP22" s="600"/>
      <c r="HQ22" s="600"/>
      <c r="HR22" s="600"/>
      <c r="HS22" s="600"/>
      <c r="HT22" s="600"/>
      <c r="HU22" s="600"/>
      <c r="HV22" s="600"/>
      <c r="HW22" s="600"/>
      <c r="HX22" s="600"/>
      <c r="HY22" s="600"/>
      <c r="HZ22" s="600"/>
      <c r="IA22" s="600"/>
      <c r="IB22" s="600"/>
      <c r="IC22" s="600"/>
      <c r="ID22" s="600"/>
      <c r="IE22" s="600"/>
      <c r="IF22" s="600"/>
      <c r="IG22" s="600"/>
      <c r="IH22" s="600"/>
      <c r="II22" s="600"/>
      <c r="IJ22" s="600"/>
      <c r="IK22" s="600"/>
      <c r="IL22" s="600"/>
      <c r="IM22" s="600"/>
      <c r="IN22" s="600"/>
      <c r="IO22" s="600"/>
      <c r="IP22" s="600"/>
      <c r="IQ22" s="600"/>
      <c r="IR22" s="600"/>
      <c r="IS22" s="600"/>
    </row>
    <row r="23" spans="1:253" s="601" customFormat="1">
      <c r="A23" s="463" t="s">
        <v>150</v>
      </c>
      <c r="B23" s="460">
        <f>'Sources and Uses Budget'!$C22</f>
        <v>0</v>
      </c>
      <c r="C23" s="460">
        <f>'Sources and Uses Budget'!$C22</f>
        <v>0</v>
      </c>
      <c r="D23" s="464">
        <f t="shared" si="0"/>
        <v>0</v>
      </c>
      <c r="E23" s="462"/>
      <c r="F23" s="461"/>
      <c r="G23" s="605"/>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c r="EQ23" s="600"/>
      <c r="ER23" s="600"/>
      <c r="ES23" s="600"/>
      <c r="ET23" s="600"/>
      <c r="EU23" s="600"/>
      <c r="EV23" s="600"/>
      <c r="EW23" s="600"/>
      <c r="EX23" s="600"/>
      <c r="EY23" s="600"/>
      <c r="EZ23" s="600"/>
      <c r="FA23" s="600"/>
      <c r="FB23" s="600"/>
      <c r="FC23" s="600"/>
      <c r="FD23" s="600"/>
      <c r="FE23" s="600"/>
      <c r="FF23" s="600"/>
      <c r="FG23" s="600"/>
      <c r="FH23" s="600"/>
      <c r="FI23" s="600"/>
      <c r="FJ23" s="600"/>
      <c r="FK23" s="600"/>
      <c r="FL23" s="600"/>
      <c r="FM23" s="600"/>
      <c r="FN23" s="600"/>
      <c r="FO23" s="600"/>
      <c r="FP23" s="600"/>
      <c r="FQ23" s="600"/>
      <c r="FR23" s="600"/>
      <c r="FS23" s="600"/>
      <c r="FT23" s="600"/>
      <c r="FU23" s="600"/>
      <c r="FV23" s="600"/>
      <c r="FW23" s="600"/>
      <c r="FX23" s="600"/>
      <c r="FY23" s="600"/>
      <c r="FZ23" s="600"/>
      <c r="GA23" s="600"/>
      <c r="GB23" s="600"/>
      <c r="GC23" s="600"/>
      <c r="GD23" s="600"/>
      <c r="GE23" s="600"/>
      <c r="GF23" s="600"/>
      <c r="GG23" s="600"/>
      <c r="GH23" s="600"/>
      <c r="GI23" s="600"/>
      <c r="GJ23" s="600"/>
      <c r="GK23" s="600"/>
      <c r="GL23" s="600"/>
      <c r="GM23" s="600"/>
      <c r="GN23" s="600"/>
      <c r="GO23" s="600"/>
      <c r="GP23" s="600"/>
      <c r="GQ23" s="600"/>
      <c r="GR23" s="600"/>
      <c r="GS23" s="600"/>
      <c r="GT23" s="600"/>
      <c r="GU23" s="600"/>
      <c r="GV23" s="600"/>
      <c r="GW23" s="600"/>
      <c r="GX23" s="600"/>
      <c r="GY23" s="600"/>
      <c r="GZ23" s="600"/>
      <c r="HA23" s="600"/>
      <c r="HB23" s="600"/>
      <c r="HC23" s="600"/>
      <c r="HD23" s="600"/>
      <c r="HE23" s="600"/>
      <c r="HF23" s="600"/>
      <c r="HG23" s="600"/>
      <c r="HH23" s="600"/>
      <c r="HI23" s="600"/>
      <c r="HJ23" s="600"/>
      <c r="HK23" s="600"/>
      <c r="HL23" s="600"/>
      <c r="HM23" s="600"/>
      <c r="HN23" s="600"/>
      <c r="HO23" s="600"/>
      <c r="HP23" s="600"/>
      <c r="HQ23" s="600"/>
      <c r="HR23" s="600"/>
      <c r="HS23" s="600"/>
      <c r="HT23" s="600"/>
      <c r="HU23" s="600"/>
      <c r="HV23" s="600"/>
      <c r="HW23" s="600"/>
      <c r="HX23" s="600"/>
      <c r="HY23" s="600"/>
      <c r="HZ23" s="600"/>
      <c r="IA23" s="600"/>
      <c r="IB23" s="600"/>
      <c r="IC23" s="600"/>
      <c r="ID23" s="600"/>
      <c r="IE23" s="600"/>
      <c r="IF23" s="600"/>
      <c r="IG23" s="600"/>
      <c r="IH23" s="600"/>
      <c r="II23" s="600"/>
      <c r="IJ23" s="600"/>
      <c r="IK23" s="600"/>
      <c r="IL23" s="600"/>
      <c r="IM23" s="600"/>
      <c r="IN23" s="600"/>
      <c r="IO23" s="600"/>
      <c r="IP23" s="600"/>
      <c r="IQ23" s="600"/>
      <c r="IR23" s="600"/>
      <c r="IS23" s="600"/>
    </row>
    <row r="24" spans="1:253" s="601" customFormat="1">
      <c r="A24" s="463" t="s">
        <v>151</v>
      </c>
      <c r="B24" s="460">
        <f>'Sources and Uses Budget'!$C23</f>
        <v>112778</v>
      </c>
      <c r="C24" s="460">
        <f>'Sources and Uses Budget'!$C23</f>
        <v>112778</v>
      </c>
      <c r="D24" s="464">
        <f t="shared" si="0"/>
        <v>0</v>
      </c>
      <c r="E24" s="462"/>
      <c r="F24" s="461"/>
      <c r="G24" s="605"/>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c r="EQ24" s="600"/>
      <c r="ER24" s="600"/>
      <c r="ES24" s="600"/>
      <c r="ET24" s="600"/>
      <c r="EU24" s="600"/>
      <c r="EV24" s="600"/>
      <c r="EW24" s="600"/>
      <c r="EX24" s="600"/>
      <c r="EY24" s="600"/>
      <c r="EZ24" s="600"/>
      <c r="FA24" s="600"/>
      <c r="FB24" s="600"/>
      <c r="FC24" s="600"/>
      <c r="FD24" s="600"/>
      <c r="FE24" s="600"/>
      <c r="FF24" s="600"/>
      <c r="FG24" s="600"/>
      <c r="FH24" s="600"/>
      <c r="FI24" s="600"/>
      <c r="FJ24" s="600"/>
      <c r="FK24" s="600"/>
      <c r="FL24" s="600"/>
      <c r="FM24" s="600"/>
      <c r="FN24" s="600"/>
      <c r="FO24" s="600"/>
      <c r="FP24" s="600"/>
      <c r="FQ24" s="600"/>
      <c r="FR24" s="600"/>
      <c r="FS24" s="600"/>
      <c r="FT24" s="600"/>
      <c r="FU24" s="600"/>
      <c r="FV24" s="600"/>
      <c r="FW24" s="600"/>
      <c r="FX24" s="600"/>
      <c r="FY24" s="600"/>
      <c r="FZ24" s="600"/>
      <c r="GA24" s="600"/>
      <c r="GB24" s="600"/>
      <c r="GC24" s="600"/>
      <c r="GD24" s="600"/>
      <c r="GE24" s="600"/>
      <c r="GF24" s="600"/>
      <c r="GG24" s="600"/>
      <c r="GH24" s="600"/>
      <c r="GI24" s="600"/>
      <c r="GJ24" s="600"/>
      <c r="GK24" s="600"/>
      <c r="GL24" s="600"/>
      <c r="GM24" s="600"/>
      <c r="GN24" s="600"/>
      <c r="GO24" s="600"/>
      <c r="GP24" s="600"/>
      <c r="GQ24" s="600"/>
      <c r="GR24" s="600"/>
      <c r="GS24" s="600"/>
      <c r="GT24" s="600"/>
      <c r="GU24" s="600"/>
      <c r="GV24" s="600"/>
      <c r="GW24" s="600"/>
      <c r="GX24" s="600"/>
      <c r="GY24" s="600"/>
      <c r="GZ24" s="600"/>
      <c r="HA24" s="600"/>
      <c r="HB24" s="600"/>
      <c r="HC24" s="600"/>
      <c r="HD24" s="600"/>
      <c r="HE24" s="600"/>
      <c r="HF24" s="600"/>
      <c r="HG24" s="600"/>
      <c r="HH24" s="600"/>
      <c r="HI24" s="600"/>
      <c r="HJ24" s="600"/>
      <c r="HK24" s="600"/>
      <c r="HL24" s="600"/>
      <c r="HM24" s="600"/>
      <c r="HN24" s="600"/>
      <c r="HO24" s="600"/>
      <c r="HP24" s="600"/>
      <c r="HQ24" s="600"/>
      <c r="HR24" s="600"/>
      <c r="HS24" s="600"/>
      <c r="HT24" s="600"/>
      <c r="HU24" s="600"/>
      <c r="HV24" s="600"/>
      <c r="HW24" s="600"/>
      <c r="HX24" s="600"/>
      <c r="HY24" s="600"/>
      <c r="HZ24" s="600"/>
      <c r="IA24" s="600"/>
      <c r="IB24" s="600"/>
      <c r="IC24" s="600"/>
      <c r="ID24" s="600"/>
      <c r="IE24" s="600"/>
      <c r="IF24" s="600"/>
      <c r="IG24" s="600"/>
      <c r="IH24" s="600"/>
      <c r="II24" s="600"/>
      <c r="IJ24" s="600"/>
      <c r="IK24" s="600"/>
      <c r="IL24" s="600"/>
      <c r="IM24" s="600"/>
      <c r="IN24" s="600"/>
      <c r="IO24" s="600"/>
      <c r="IP24" s="600"/>
      <c r="IQ24" s="600"/>
      <c r="IR24" s="600"/>
      <c r="IS24" s="600"/>
    </row>
    <row r="25" spans="1:253" s="601" customFormat="1">
      <c r="A25" s="466" t="s">
        <v>38</v>
      </c>
      <c r="B25" s="460">
        <f>'Sources and Uses Budget'!$C24</f>
        <v>0</v>
      </c>
      <c r="C25" s="460">
        <f>'Sources and Uses Budget'!$C24</f>
        <v>0</v>
      </c>
      <c r="D25" s="464">
        <f t="shared" si="0"/>
        <v>0</v>
      </c>
      <c r="E25" s="462"/>
      <c r="F25" s="461"/>
      <c r="G25" s="605"/>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0"/>
      <c r="BB25" s="600"/>
      <c r="BC25" s="600"/>
      <c r="BD25" s="600"/>
      <c r="BE25" s="600"/>
      <c r="BF25" s="600"/>
      <c r="BG25" s="600"/>
      <c r="BH25" s="600"/>
      <c r="BI25" s="600"/>
      <c r="BJ25" s="600"/>
      <c r="BK25" s="600"/>
      <c r="BL25" s="600"/>
      <c r="BM25" s="600"/>
      <c r="BN25" s="600"/>
      <c r="BO25" s="600"/>
      <c r="BP25" s="600"/>
      <c r="BQ25" s="600"/>
      <c r="BR25" s="600"/>
      <c r="BS25" s="600"/>
      <c r="BT25" s="600"/>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c r="EQ25" s="600"/>
      <c r="ER25" s="600"/>
      <c r="ES25" s="600"/>
      <c r="ET25" s="600"/>
      <c r="EU25" s="600"/>
      <c r="EV25" s="600"/>
      <c r="EW25" s="600"/>
      <c r="EX25" s="600"/>
      <c r="EY25" s="600"/>
      <c r="EZ25" s="600"/>
      <c r="FA25" s="600"/>
      <c r="FB25" s="600"/>
      <c r="FC25" s="600"/>
      <c r="FD25" s="600"/>
      <c r="FE25" s="600"/>
      <c r="FF25" s="600"/>
      <c r="FG25" s="600"/>
      <c r="FH25" s="600"/>
      <c r="FI25" s="600"/>
      <c r="FJ25" s="600"/>
      <c r="FK25" s="600"/>
      <c r="FL25" s="600"/>
      <c r="FM25" s="600"/>
      <c r="FN25" s="600"/>
      <c r="FO25" s="600"/>
      <c r="FP25" s="600"/>
      <c r="FQ25" s="600"/>
      <c r="FR25" s="600"/>
      <c r="FS25" s="600"/>
      <c r="FT25" s="600"/>
      <c r="FU25" s="600"/>
      <c r="FV25" s="600"/>
      <c r="FW25" s="600"/>
      <c r="FX25" s="600"/>
      <c r="FY25" s="600"/>
      <c r="FZ25" s="600"/>
      <c r="GA25" s="600"/>
      <c r="GB25" s="600"/>
      <c r="GC25" s="600"/>
      <c r="GD25" s="600"/>
      <c r="GE25" s="600"/>
      <c r="GF25" s="600"/>
      <c r="GG25" s="600"/>
      <c r="GH25" s="600"/>
      <c r="GI25" s="600"/>
      <c r="GJ25" s="600"/>
      <c r="GK25" s="600"/>
      <c r="GL25" s="600"/>
      <c r="GM25" s="600"/>
      <c r="GN25" s="600"/>
      <c r="GO25" s="600"/>
      <c r="GP25" s="600"/>
      <c r="GQ25" s="600"/>
      <c r="GR25" s="600"/>
      <c r="GS25" s="600"/>
      <c r="GT25" s="600"/>
      <c r="GU25" s="600"/>
      <c r="GV25" s="600"/>
      <c r="GW25" s="600"/>
      <c r="GX25" s="600"/>
      <c r="GY25" s="600"/>
      <c r="GZ25" s="600"/>
      <c r="HA25" s="600"/>
      <c r="HB25" s="600"/>
      <c r="HC25" s="600"/>
      <c r="HD25" s="600"/>
      <c r="HE25" s="600"/>
      <c r="HF25" s="600"/>
      <c r="HG25" s="600"/>
      <c r="HH25" s="600"/>
      <c r="HI25" s="600"/>
      <c r="HJ25" s="600"/>
      <c r="HK25" s="600"/>
      <c r="HL25" s="600"/>
      <c r="HM25" s="600"/>
      <c r="HN25" s="600"/>
      <c r="HO25" s="600"/>
      <c r="HP25" s="600"/>
      <c r="HQ25" s="600"/>
      <c r="HR25" s="600"/>
      <c r="HS25" s="600"/>
      <c r="HT25" s="600"/>
      <c r="HU25" s="600"/>
      <c r="HV25" s="600"/>
      <c r="HW25" s="600"/>
      <c r="HX25" s="600"/>
      <c r="HY25" s="600"/>
      <c r="HZ25" s="600"/>
      <c r="IA25" s="600"/>
      <c r="IB25" s="600"/>
      <c r="IC25" s="600"/>
      <c r="ID25" s="600"/>
      <c r="IE25" s="600"/>
      <c r="IF25" s="600"/>
      <c r="IG25" s="600"/>
      <c r="IH25" s="600"/>
      <c r="II25" s="600"/>
      <c r="IJ25" s="600"/>
      <c r="IK25" s="600"/>
      <c r="IL25" s="600"/>
      <c r="IM25" s="600"/>
      <c r="IN25" s="600"/>
      <c r="IO25" s="600"/>
      <c r="IP25" s="600"/>
      <c r="IQ25" s="600"/>
      <c r="IR25" s="600"/>
      <c r="IS25" s="600"/>
    </row>
    <row r="26" spans="1:253" s="601" customFormat="1">
      <c r="A26" s="465" t="s">
        <v>144</v>
      </c>
      <c r="B26" s="464">
        <f>SUM(B18:B25)</f>
        <v>4802072</v>
      </c>
      <c r="C26" s="464">
        <f>SUM(C18:C25)</f>
        <v>4802072</v>
      </c>
      <c r="D26" s="464">
        <f t="shared" si="0"/>
        <v>0</v>
      </c>
      <c r="E26" s="462"/>
      <c r="F26" s="461"/>
      <c r="G26" s="605"/>
      <c r="H26" s="600"/>
      <c r="I26" s="600"/>
      <c r="J26" s="600"/>
      <c r="K26" s="600"/>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c r="AR26" s="600"/>
      <c r="AS26" s="600"/>
      <c r="AT26" s="600"/>
      <c r="AU26" s="600"/>
      <c r="AV26" s="600"/>
      <c r="AW26" s="600"/>
      <c r="AX26" s="600"/>
      <c r="AY26" s="600"/>
      <c r="AZ26" s="600"/>
      <c r="BA26" s="600"/>
      <c r="BB26" s="600"/>
      <c r="BC26" s="600"/>
      <c r="BD26" s="600"/>
      <c r="BE26" s="600"/>
      <c r="BF26" s="600"/>
      <c r="BG26" s="600"/>
      <c r="BH26" s="600"/>
      <c r="BI26" s="600"/>
      <c r="BJ26" s="600"/>
      <c r="BK26" s="600"/>
      <c r="BL26" s="600"/>
      <c r="BM26" s="600"/>
      <c r="BN26" s="600"/>
      <c r="BO26" s="600"/>
      <c r="BP26" s="600"/>
      <c r="BQ26" s="600"/>
      <c r="BR26" s="600"/>
      <c r="BS26" s="600"/>
      <c r="BT26" s="600"/>
      <c r="BU26" s="600"/>
      <c r="BV26" s="600"/>
      <c r="BW26" s="600"/>
      <c r="BX26" s="600"/>
      <c r="BY26" s="600"/>
      <c r="BZ26" s="600"/>
      <c r="CA26" s="600"/>
      <c r="CB26" s="600"/>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c r="EQ26" s="600"/>
      <c r="ER26" s="600"/>
      <c r="ES26" s="600"/>
      <c r="ET26" s="600"/>
      <c r="EU26" s="600"/>
      <c r="EV26" s="600"/>
      <c r="EW26" s="600"/>
      <c r="EX26" s="600"/>
      <c r="EY26" s="600"/>
      <c r="EZ26" s="600"/>
      <c r="FA26" s="600"/>
      <c r="FB26" s="600"/>
      <c r="FC26" s="600"/>
      <c r="FD26" s="600"/>
      <c r="FE26" s="600"/>
      <c r="FF26" s="600"/>
      <c r="FG26" s="600"/>
      <c r="FH26" s="600"/>
      <c r="FI26" s="600"/>
      <c r="FJ26" s="600"/>
      <c r="FK26" s="600"/>
      <c r="FL26" s="600"/>
      <c r="FM26" s="600"/>
      <c r="FN26" s="600"/>
      <c r="FO26" s="600"/>
      <c r="FP26" s="600"/>
      <c r="FQ26" s="600"/>
      <c r="FR26" s="600"/>
      <c r="FS26" s="600"/>
      <c r="FT26" s="600"/>
      <c r="FU26" s="600"/>
      <c r="FV26" s="600"/>
      <c r="FW26" s="600"/>
      <c r="FX26" s="600"/>
      <c r="FY26" s="600"/>
      <c r="FZ26" s="600"/>
      <c r="GA26" s="600"/>
      <c r="GB26" s="600"/>
      <c r="GC26" s="600"/>
      <c r="GD26" s="600"/>
      <c r="GE26" s="600"/>
      <c r="GF26" s="600"/>
      <c r="GG26" s="600"/>
      <c r="GH26" s="600"/>
      <c r="GI26" s="600"/>
      <c r="GJ26" s="600"/>
      <c r="GK26" s="600"/>
      <c r="GL26" s="600"/>
      <c r="GM26" s="600"/>
      <c r="GN26" s="600"/>
      <c r="GO26" s="600"/>
      <c r="GP26" s="600"/>
      <c r="GQ26" s="600"/>
      <c r="GR26" s="600"/>
      <c r="GS26" s="600"/>
      <c r="GT26" s="600"/>
      <c r="GU26" s="600"/>
      <c r="GV26" s="600"/>
      <c r="GW26" s="600"/>
      <c r="GX26" s="600"/>
      <c r="GY26" s="600"/>
      <c r="GZ26" s="600"/>
      <c r="HA26" s="600"/>
      <c r="HB26" s="600"/>
      <c r="HC26" s="600"/>
      <c r="HD26" s="600"/>
      <c r="HE26" s="600"/>
      <c r="HF26" s="600"/>
      <c r="HG26" s="600"/>
      <c r="HH26" s="600"/>
      <c r="HI26" s="600"/>
      <c r="HJ26" s="600"/>
      <c r="HK26" s="600"/>
      <c r="HL26" s="600"/>
      <c r="HM26" s="600"/>
      <c r="HN26" s="600"/>
      <c r="HO26" s="600"/>
      <c r="HP26" s="600"/>
      <c r="HQ26" s="600"/>
      <c r="HR26" s="600"/>
      <c r="HS26" s="600"/>
      <c r="HT26" s="600"/>
      <c r="HU26" s="600"/>
      <c r="HV26" s="600"/>
      <c r="HW26" s="600"/>
      <c r="HX26" s="600"/>
      <c r="HY26" s="600"/>
      <c r="HZ26" s="600"/>
      <c r="IA26" s="600"/>
      <c r="IB26" s="600"/>
      <c r="IC26" s="600"/>
      <c r="ID26" s="600"/>
      <c r="IE26" s="600"/>
      <c r="IF26" s="600"/>
      <c r="IG26" s="600"/>
      <c r="IH26" s="600"/>
      <c r="II26" s="600"/>
      <c r="IJ26" s="600"/>
      <c r="IK26" s="600"/>
      <c r="IL26" s="600"/>
      <c r="IM26" s="600"/>
      <c r="IN26" s="600"/>
      <c r="IO26" s="600"/>
      <c r="IP26" s="600"/>
      <c r="IQ26" s="600"/>
      <c r="IR26" s="600"/>
      <c r="IS26" s="600"/>
    </row>
    <row r="27" spans="1:253" s="601" customFormat="1">
      <c r="A27" s="465" t="s">
        <v>152</v>
      </c>
      <c r="B27" s="460">
        <f>'Sources and Uses Budget'!$C$26</f>
        <v>109350</v>
      </c>
      <c r="C27" s="460">
        <f>'Sources and Uses Budget'!$C$26</f>
        <v>109350</v>
      </c>
      <c r="D27" s="464">
        <f t="shared" si="0"/>
        <v>0</v>
      </c>
      <c r="E27" s="462"/>
      <c r="F27" s="461"/>
      <c r="G27" s="605"/>
      <c r="H27" s="600"/>
      <c r="I27" s="600"/>
      <c r="J27" s="600"/>
      <c r="K27" s="600"/>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c r="AR27" s="600"/>
      <c r="AS27" s="600"/>
      <c r="AT27" s="600"/>
      <c r="AU27" s="600"/>
      <c r="AV27" s="600"/>
      <c r="AW27" s="600"/>
      <c r="AX27" s="600"/>
      <c r="AY27" s="600"/>
      <c r="AZ27" s="600"/>
      <c r="BA27" s="600"/>
      <c r="BB27" s="600"/>
      <c r="BC27" s="600"/>
      <c r="BD27" s="600"/>
      <c r="BE27" s="600"/>
      <c r="BF27" s="600"/>
      <c r="BG27" s="600"/>
      <c r="BH27" s="600"/>
      <c r="BI27" s="600"/>
      <c r="BJ27" s="600"/>
      <c r="BK27" s="600"/>
      <c r="BL27" s="600"/>
      <c r="BM27" s="600"/>
      <c r="BN27" s="600"/>
      <c r="BO27" s="600"/>
      <c r="BP27" s="600"/>
      <c r="BQ27" s="600"/>
      <c r="BR27" s="600"/>
      <c r="BS27" s="600"/>
      <c r="BT27" s="600"/>
      <c r="BU27" s="600"/>
      <c r="BV27" s="600"/>
      <c r="BW27" s="600"/>
      <c r="BX27" s="600"/>
      <c r="BY27" s="600"/>
      <c r="BZ27" s="600"/>
      <c r="CA27" s="600"/>
      <c r="CB27" s="600"/>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c r="EQ27" s="600"/>
      <c r="ER27" s="600"/>
      <c r="ES27" s="600"/>
      <c r="ET27" s="600"/>
      <c r="EU27" s="600"/>
      <c r="EV27" s="600"/>
      <c r="EW27" s="600"/>
      <c r="EX27" s="600"/>
      <c r="EY27" s="600"/>
      <c r="EZ27" s="600"/>
      <c r="FA27" s="600"/>
      <c r="FB27" s="600"/>
      <c r="FC27" s="600"/>
      <c r="FD27" s="600"/>
      <c r="FE27" s="600"/>
      <c r="FF27" s="600"/>
      <c r="FG27" s="600"/>
      <c r="FH27" s="600"/>
      <c r="FI27" s="600"/>
      <c r="FJ27" s="600"/>
      <c r="FK27" s="600"/>
      <c r="FL27" s="600"/>
      <c r="FM27" s="600"/>
      <c r="FN27" s="600"/>
      <c r="FO27" s="600"/>
      <c r="FP27" s="600"/>
      <c r="FQ27" s="600"/>
      <c r="FR27" s="600"/>
      <c r="FS27" s="600"/>
      <c r="FT27" s="600"/>
      <c r="FU27" s="600"/>
      <c r="FV27" s="600"/>
      <c r="FW27" s="600"/>
      <c r="FX27" s="600"/>
      <c r="FY27" s="600"/>
      <c r="FZ27" s="600"/>
      <c r="GA27" s="600"/>
      <c r="GB27" s="600"/>
      <c r="GC27" s="600"/>
      <c r="GD27" s="600"/>
      <c r="GE27" s="600"/>
      <c r="GF27" s="600"/>
      <c r="GG27" s="600"/>
      <c r="GH27" s="600"/>
      <c r="GI27" s="600"/>
      <c r="GJ27" s="600"/>
      <c r="GK27" s="600"/>
      <c r="GL27" s="600"/>
      <c r="GM27" s="600"/>
      <c r="GN27" s="600"/>
      <c r="GO27" s="600"/>
      <c r="GP27" s="600"/>
      <c r="GQ27" s="600"/>
      <c r="GR27" s="600"/>
      <c r="GS27" s="600"/>
      <c r="GT27" s="600"/>
      <c r="GU27" s="600"/>
      <c r="GV27" s="600"/>
      <c r="GW27" s="600"/>
      <c r="GX27" s="600"/>
      <c r="GY27" s="600"/>
      <c r="GZ27" s="600"/>
      <c r="HA27" s="600"/>
      <c r="HB27" s="600"/>
      <c r="HC27" s="600"/>
      <c r="HD27" s="600"/>
      <c r="HE27" s="600"/>
      <c r="HF27" s="600"/>
      <c r="HG27" s="600"/>
      <c r="HH27" s="600"/>
      <c r="HI27" s="600"/>
      <c r="HJ27" s="600"/>
      <c r="HK27" s="600"/>
      <c r="HL27" s="600"/>
      <c r="HM27" s="600"/>
      <c r="HN27" s="600"/>
      <c r="HO27" s="600"/>
      <c r="HP27" s="600"/>
      <c r="HQ27" s="600"/>
      <c r="HR27" s="600"/>
      <c r="HS27" s="600"/>
      <c r="HT27" s="600"/>
      <c r="HU27" s="600"/>
      <c r="HV27" s="600"/>
      <c r="HW27" s="600"/>
      <c r="HX27" s="600"/>
      <c r="HY27" s="600"/>
      <c r="HZ27" s="600"/>
      <c r="IA27" s="600"/>
      <c r="IB27" s="600"/>
      <c r="IC27" s="600"/>
      <c r="ID27" s="600"/>
      <c r="IE27" s="600"/>
      <c r="IF27" s="600"/>
      <c r="IG27" s="600"/>
      <c r="IH27" s="600"/>
      <c r="II27" s="600"/>
      <c r="IJ27" s="600"/>
      <c r="IK27" s="600"/>
      <c r="IL27" s="600"/>
      <c r="IM27" s="600"/>
      <c r="IN27" s="600"/>
      <c r="IO27" s="600"/>
      <c r="IP27" s="600"/>
      <c r="IQ27" s="600"/>
      <c r="IR27" s="600"/>
      <c r="IS27" s="600"/>
    </row>
    <row r="28" spans="1:253" s="601" customFormat="1">
      <c r="A28" s="458" t="s">
        <v>153</v>
      </c>
      <c r="B28" s="458"/>
      <c r="C28" s="458"/>
      <c r="D28" s="458"/>
      <c r="E28" s="478"/>
      <c r="F28" s="458"/>
      <c r="G28" s="605"/>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c r="AR28" s="600"/>
      <c r="AS28" s="600"/>
      <c r="AT28" s="600"/>
      <c r="AU28" s="600"/>
      <c r="AV28" s="600"/>
      <c r="AW28" s="600"/>
      <c r="AX28" s="600"/>
      <c r="AY28" s="600"/>
      <c r="AZ28" s="600"/>
      <c r="BA28" s="600"/>
      <c r="BB28" s="600"/>
      <c r="BC28" s="600"/>
      <c r="BD28" s="600"/>
      <c r="BE28" s="600"/>
      <c r="BF28" s="600"/>
      <c r="BG28" s="600"/>
      <c r="BH28" s="600"/>
      <c r="BI28" s="600"/>
      <c r="BJ28" s="600"/>
      <c r="BK28" s="600"/>
      <c r="BL28" s="600"/>
      <c r="BM28" s="600"/>
      <c r="BN28" s="600"/>
      <c r="BO28" s="600"/>
      <c r="BP28" s="600"/>
      <c r="BQ28" s="600"/>
      <c r="BR28" s="600"/>
      <c r="BS28" s="600"/>
      <c r="BT28" s="600"/>
      <c r="BU28" s="600"/>
      <c r="BV28" s="600"/>
      <c r="BW28" s="600"/>
      <c r="BX28" s="600"/>
      <c r="BY28" s="600"/>
      <c r="BZ28" s="600"/>
      <c r="CA28" s="600"/>
      <c r="CB28" s="600"/>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c r="EQ28" s="600"/>
      <c r="ER28" s="600"/>
      <c r="ES28" s="600"/>
      <c r="ET28" s="600"/>
      <c r="EU28" s="600"/>
      <c r="EV28" s="600"/>
      <c r="EW28" s="600"/>
      <c r="EX28" s="600"/>
      <c r="EY28" s="600"/>
      <c r="EZ28" s="600"/>
      <c r="FA28" s="600"/>
      <c r="FB28" s="600"/>
      <c r="FC28" s="600"/>
      <c r="FD28" s="600"/>
      <c r="FE28" s="600"/>
      <c r="FF28" s="600"/>
      <c r="FG28" s="600"/>
      <c r="FH28" s="600"/>
      <c r="FI28" s="600"/>
      <c r="FJ28" s="600"/>
      <c r="FK28" s="600"/>
      <c r="FL28" s="600"/>
      <c r="FM28" s="600"/>
      <c r="FN28" s="600"/>
      <c r="FO28" s="600"/>
      <c r="FP28" s="600"/>
      <c r="FQ28" s="600"/>
      <c r="FR28" s="600"/>
      <c r="FS28" s="600"/>
      <c r="FT28" s="600"/>
      <c r="FU28" s="600"/>
      <c r="FV28" s="600"/>
      <c r="FW28" s="600"/>
      <c r="FX28" s="600"/>
      <c r="FY28" s="600"/>
      <c r="FZ28" s="600"/>
      <c r="GA28" s="600"/>
      <c r="GB28" s="600"/>
      <c r="GC28" s="600"/>
      <c r="GD28" s="600"/>
      <c r="GE28" s="600"/>
      <c r="GF28" s="600"/>
      <c r="GG28" s="600"/>
      <c r="GH28" s="600"/>
      <c r="GI28" s="600"/>
      <c r="GJ28" s="600"/>
      <c r="GK28" s="600"/>
      <c r="GL28" s="600"/>
      <c r="GM28" s="600"/>
      <c r="GN28" s="600"/>
      <c r="GO28" s="600"/>
      <c r="GP28" s="600"/>
      <c r="GQ28" s="600"/>
      <c r="GR28" s="600"/>
      <c r="GS28" s="600"/>
      <c r="GT28" s="600"/>
      <c r="GU28" s="600"/>
      <c r="GV28" s="600"/>
      <c r="GW28" s="600"/>
      <c r="GX28" s="600"/>
      <c r="GY28" s="600"/>
      <c r="GZ28" s="600"/>
      <c r="HA28" s="600"/>
      <c r="HB28" s="600"/>
      <c r="HC28" s="600"/>
      <c r="HD28" s="600"/>
      <c r="HE28" s="600"/>
      <c r="HF28" s="600"/>
      <c r="HG28" s="600"/>
      <c r="HH28" s="600"/>
      <c r="HI28" s="600"/>
      <c r="HJ28" s="600"/>
      <c r="HK28" s="600"/>
      <c r="HL28" s="600"/>
      <c r="HM28" s="600"/>
      <c r="HN28" s="600"/>
      <c r="HO28" s="600"/>
      <c r="HP28" s="600"/>
      <c r="HQ28" s="600"/>
      <c r="HR28" s="600"/>
      <c r="HS28" s="600"/>
      <c r="HT28" s="600"/>
      <c r="HU28" s="600"/>
      <c r="HV28" s="600"/>
      <c r="HW28" s="600"/>
      <c r="HX28" s="600"/>
      <c r="HY28" s="600"/>
      <c r="HZ28" s="600"/>
      <c r="IA28" s="600"/>
      <c r="IB28" s="600"/>
      <c r="IC28" s="600"/>
      <c r="ID28" s="600"/>
      <c r="IE28" s="600"/>
      <c r="IF28" s="600"/>
      <c r="IG28" s="600"/>
      <c r="IH28" s="600"/>
      <c r="II28" s="600"/>
      <c r="IJ28" s="600"/>
      <c r="IK28" s="600"/>
      <c r="IL28" s="600"/>
      <c r="IM28" s="600"/>
      <c r="IN28" s="600"/>
      <c r="IO28" s="600"/>
      <c r="IP28" s="600"/>
      <c r="IQ28" s="600"/>
      <c r="IR28" s="600"/>
      <c r="IS28" s="600"/>
    </row>
    <row r="29" spans="1:253" s="601" customFormat="1">
      <c r="A29" s="463" t="s">
        <v>679</v>
      </c>
      <c r="B29" s="460">
        <f>'Sources and Uses Budget'!$C28</f>
        <v>0</v>
      </c>
      <c r="C29" s="460">
        <f>'Sources and Uses Budget'!$C28</f>
        <v>0</v>
      </c>
      <c r="D29" s="464">
        <f t="shared" si="0"/>
        <v>0</v>
      </c>
      <c r="E29" s="462"/>
      <c r="F29" s="461"/>
      <c r="G29" s="605"/>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c r="EQ29" s="600"/>
      <c r="ER29" s="600"/>
      <c r="ES29" s="600"/>
      <c r="ET29" s="600"/>
      <c r="EU29" s="600"/>
      <c r="EV29" s="600"/>
      <c r="EW29" s="600"/>
      <c r="EX29" s="600"/>
      <c r="EY29" s="600"/>
      <c r="EZ29" s="600"/>
      <c r="FA29" s="600"/>
      <c r="FB29" s="600"/>
      <c r="FC29" s="600"/>
      <c r="FD29" s="600"/>
      <c r="FE29" s="600"/>
      <c r="FF29" s="600"/>
      <c r="FG29" s="600"/>
      <c r="FH29" s="600"/>
      <c r="FI29" s="600"/>
      <c r="FJ29" s="600"/>
      <c r="FK29" s="600"/>
      <c r="FL29" s="600"/>
      <c r="FM29" s="600"/>
      <c r="FN29" s="600"/>
      <c r="FO29" s="600"/>
      <c r="FP29" s="600"/>
      <c r="FQ29" s="600"/>
      <c r="FR29" s="600"/>
      <c r="FS29" s="600"/>
      <c r="FT29" s="600"/>
      <c r="FU29" s="600"/>
      <c r="FV29" s="600"/>
      <c r="FW29" s="600"/>
      <c r="FX29" s="600"/>
      <c r="FY29" s="600"/>
      <c r="FZ29" s="600"/>
      <c r="GA29" s="600"/>
      <c r="GB29" s="600"/>
      <c r="GC29" s="600"/>
      <c r="GD29" s="600"/>
      <c r="GE29" s="600"/>
      <c r="GF29" s="600"/>
      <c r="GG29" s="600"/>
      <c r="GH29" s="600"/>
      <c r="GI29" s="600"/>
      <c r="GJ29" s="600"/>
      <c r="GK29" s="600"/>
      <c r="GL29" s="600"/>
      <c r="GM29" s="600"/>
      <c r="GN29" s="600"/>
      <c r="GO29" s="600"/>
      <c r="GP29" s="600"/>
      <c r="GQ29" s="600"/>
      <c r="GR29" s="600"/>
      <c r="GS29" s="600"/>
      <c r="GT29" s="600"/>
      <c r="GU29" s="600"/>
      <c r="GV29" s="600"/>
      <c r="GW29" s="600"/>
      <c r="GX29" s="600"/>
      <c r="GY29" s="600"/>
      <c r="GZ29" s="600"/>
      <c r="HA29" s="600"/>
      <c r="HB29" s="600"/>
      <c r="HC29" s="600"/>
      <c r="HD29" s="600"/>
      <c r="HE29" s="600"/>
      <c r="HF29" s="600"/>
      <c r="HG29" s="600"/>
      <c r="HH29" s="600"/>
      <c r="HI29" s="600"/>
      <c r="HJ29" s="600"/>
      <c r="HK29" s="600"/>
      <c r="HL29" s="600"/>
      <c r="HM29" s="600"/>
      <c r="HN29" s="600"/>
      <c r="HO29" s="600"/>
      <c r="HP29" s="600"/>
      <c r="HQ29" s="600"/>
      <c r="HR29" s="600"/>
      <c r="HS29" s="600"/>
      <c r="HT29" s="600"/>
      <c r="HU29" s="600"/>
      <c r="HV29" s="600"/>
      <c r="HW29" s="600"/>
      <c r="HX29" s="600"/>
      <c r="HY29" s="600"/>
      <c r="HZ29" s="600"/>
      <c r="IA29" s="600"/>
      <c r="IB29" s="600"/>
      <c r="IC29" s="600"/>
      <c r="ID29" s="600"/>
      <c r="IE29" s="600"/>
      <c r="IF29" s="600"/>
      <c r="IG29" s="600"/>
      <c r="IH29" s="600"/>
      <c r="II29" s="600"/>
      <c r="IJ29" s="600"/>
      <c r="IK29" s="600"/>
      <c r="IL29" s="600"/>
      <c r="IM29" s="600"/>
      <c r="IN29" s="600"/>
      <c r="IO29" s="600"/>
      <c r="IP29" s="600"/>
      <c r="IQ29" s="600"/>
      <c r="IR29" s="600"/>
      <c r="IS29" s="600"/>
    </row>
    <row r="30" spans="1:253" s="601" customFormat="1">
      <c r="A30" s="463" t="s">
        <v>680</v>
      </c>
      <c r="B30" s="460">
        <f>'Sources and Uses Budget'!$C29</f>
        <v>0</v>
      </c>
      <c r="C30" s="460">
        <f>'Sources and Uses Budget'!$C29</f>
        <v>0</v>
      </c>
      <c r="D30" s="464">
        <f t="shared" si="0"/>
        <v>0</v>
      </c>
      <c r="E30" s="462"/>
      <c r="F30" s="461"/>
      <c r="G30" s="605"/>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c r="AR30" s="600"/>
      <c r="AS30" s="600"/>
      <c r="AT30" s="600"/>
      <c r="AU30" s="600"/>
      <c r="AV30" s="600"/>
      <c r="AW30" s="600"/>
      <c r="AX30" s="600"/>
      <c r="AY30" s="600"/>
      <c r="AZ30" s="600"/>
      <c r="BA30" s="600"/>
      <c r="BB30" s="600"/>
      <c r="BC30" s="600"/>
      <c r="BD30" s="600"/>
      <c r="BE30" s="600"/>
      <c r="BF30" s="600"/>
      <c r="BG30" s="600"/>
      <c r="BH30" s="600"/>
      <c r="BI30" s="600"/>
      <c r="BJ30" s="600"/>
      <c r="BK30" s="600"/>
      <c r="BL30" s="600"/>
      <c r="BM30" s="600"/>
      <c r="BN30" s="600"/>
      <c r="BO30" s="600"/>
      <c r="BP30" s="600"/>
      <c r="BQ30" s="600"/>
      <c r="BR30" s="600"/>
      <c r="BS30" s="600"/>
      <c r="BT30" s="600"/>
      <c r="BU30" s="600"/>
      <c r="BV30" s="600"/>
      <c r="BW30" s="600"/>
      <c r="BX30" s="600"/>
      <c r="BY30" s="600"/>
      <c r="BZ30" s="600"/>
      <c r="CA30" s="600"/>
      <c r="CB30" s="600"/>
      <c r="CC30" s="600"/>
      <c r="CD30" s="600"/>
      <c r="CE30" s="600"/>
      <c r="CF30" s="600"/>
      <c r="CG30" s="600"/>
      <c r="CH30" s="600"/>
      <c r="CI30" s="600"/>
      <c r="CJ30" s="600"/>
      <c r="CK30" s="600"/>
      <c r="CL30" s="600"/>
      <c r="CM30" s="600"/>
      <c r="CN30" s="600"/>
      <c r="CO30" s="600"/>
      <c r="CP30" s="600"/>
      <c r="CQ30" s="600"/>
      <c r="CR30" s="600"/>
      <c r="CS30" s="600"/>
      <c r="CT30" s="600"/>
      <c r="CU30" s="600"/>
      <c r="CV30" s="600"/>
      <c r="CW30" s="600"/>
      <c r="CX30" s="600"/>
      <c r="CY30" s="600"/>
      <c r="CZ30" s="600"/>
      <c r="DA30" s="600"/>
      <c r="DB30" s="600"/>
      <c r="DC30" s="600"/>
      <c r="DD30" s="600"/>
      <c r="DE30" s="600"/>
      <c r="DF30" s="600"/>
      <c r="DG30" s="600"/>
      <c r="DH30" s="600"/>
      <c r="DI30" s="600"/>
      <c r="DJ30" s="600"/>
      <c r="DK30" s="600"/>
      <c r="DL30" s="600"/>
      <c r="DM30" s="600"/>
      <c r="DN30" s="600"/>
      <c r="DO30" s="600"/>
      <c r="DP30" s="600"/>
      <c r="DQ30" s="600"/>
      <c r="DR30" s="600"/>
      <c r="DS30" s="600"/>
      <c r="DT30" s="600"/>
      <c r="DU30" s="600"/>
      <c r="DV30" s="600"/>
      <c r="DW30" s="600"/>
      <c r="DX30" s="600"/>
      <c r="DY30" s="600"/>
      <c r="DZ30" s="600"/>
      <c r="EA30" s="600"/>
      <c r="EB30" s="600"/>
      <c r="EC30" s="600"/>
      <c r="ED30" s="600"/>
      <c r="EE30" s="600"/>
      <c r="EF30" s="600"/>
      <c r="EG30" s="600"/>
      <c r="EH30" s="600"/>
      <c r="EI30" s="600"/>
      <c r="EJ30" s="600"/>
      <c r="EK30" s="600"/>
      <c r="EL30" s="600"/>
      <c r="EM30" s="600"/>
      <c r="EN30" s="600"/>
      <c r="EO30" s="600"/>
      <c r="EP30" s="600"/>
      <c r="EQ30" s="600"/>
      <c r="ER30" s="600"/>
      <c r="ES30" s="600"/>
      <c r="ET30" s="600"/>
      <c r="EU30" s="600"/>
      <c r="EV30" s="600"/>
      <c r="EW30" s="600"/>
      <c r="EX30" s="600"/>
      <c r="EY30" s="600"/>
      <c r="EZ30" s="600"/>
      <c r="FA30" s="600"/>
      <c r="FB30" s="600"/>
      <c r="FC30" s="600"/>
      <c r="FD30" s="600"/>
      <c r="FE30" s="600"/>
      <c r="FF30" s="600"/>
      <c r="FG30" s="600"/>
      <c r="FH30" s="600"/>
      <c r="FI30" s="600"/>
      <c r="FJ30" s="600"/>
      <c r="FK30" s="600"/>
      <c r="FL30" s="600"/>
      <c r="FM30" s="600"/>
      <c r="FN30" s="600"/>
      <c r="FO30" s="600"/>
      <c r="FP30" s="600"/>
      <c r="FQ30" s="600"/>
      <c r="FR30" s="600"/>
      <c r="FS30" s="600"/>
      <c r="FT30" s="600"/>
      <c r="FU30" s="600"/>
      <c r="FV30" s="600"/>
      <c r="FW30" s="600"/>
      <c r="FX30" s="600"/>
      <c r="FY30" s="600"/>
      <c r="FZ30" s="600"/>
      <c r="GA30" s="600"/>
      <c r="GB30" s="600"/>
      <c r="GC30" s="600"/>
      <c r="GD30" s="600"/>
      <c r="GE30" s="600"/>
      <c r="GF30" s="600"/>
      <c r="GG30" s="600"/>
      <c r="GH30" s="600"/>
      <c r="GI30" s="600"/>
      <c r="GJ30" s="600"/>
      <c r="GK30" s="600"/>
      <c r="GL30" s="600"/>
      <c r="GM30" s="600"/>
      <c r="GN30" s="600"/>
      <c r="GO30" s="600"/>
      <c r="GP30" s="600"/>
      <c r="GQ30" s="600"/>
      <c r="GR30" s="600"/>
      <c r="GS30" s="600"/>
      <c r="GT30" s="600"/>
      <c r="GU30" s="600"/>
      <c r="GV30" s="600"/>
      <c r="GW30" s="600"/>
      <c r="GX30" s="600"/>
      <c r="GY30" s="600"/>
      <c r="GZ30" s="600"/>
      <c r="HA30" s="600"/>
      <c r="HB30" s="600"/>
      <c r="HC30" s="600"/>
      <c r="HD30" s="600"/>
      <c r="HE30" s="600"/>
      <c r="HF30" s="600"/>
      <c r="HG30" s="600"/>
      <c r="HH30" s="600"/>
      <c r="HI30" s="600"/>
      <c r="HJ30" s="600"/>
      <c r="HK30" s="600"/>
      <c r="HL30" s="600"/>
      <c r="HM30" s="600"/>
      <c r="HN30" s="600"/>
      <c r="HO30" s="600"/>
      <c r="HP30" s="600"/>
      <c r="HQ30" s="600"/>
      <c r="HR30" s="600"/>
      <c r="HS30" s="600"/>
      <c r="HT30" s="600"/>
      <c r="HU30" s="600"/>
      <c r="HV30" s="600"/>
      <c r="HW30" s="600"/>
      <c r="HX30" s="600"/>
      <c r="HY30" s="600"/>
      <c r="HZ30" s="600"/>
      <c r="IA30" s="600"/>
      <c r="IB30" s="600"/>
      <c r="IC30" s="600"/>
      <c r="ID30" s="600"/>
      <c r="IE30" s="600"/>
      <c r="IF30" s="600"/>
      <c r="IG30" s="600"/>
      <c r="IH30" s="600"/>
      <c r="II30" s="600"/>
      <c r="IJ30" s="600"/>
      <c r="IK30" s="600"/>
      <c r="IL30" s="600"/>
      <c r="IM30" s="600"/>
      <c r="IN30" s="600"/>
      <c r="IO30" s="600"/>
      <c r="IP30" s="600"/>
      <c r="IQ30" s="600"/>
      <c r="IR30" s="600"/>
      <c r="IS30" s="600"/>
    </row>
    <row r="31" spans="1:253" s="601" customFormat="1">
      <c r="A31" s="463" t="s">
        <v>681</v>
      </c>
      <c r="B31" s="460">
        <f>'Sources and Uses Budget'!$C30</f>
        <v>0</v>
      </c>
      <c r="C31" s="460">
        <f>'Sources and Uses Budget'!$C30</f>
        <v>0</v>
      </c>
      <c r="D31" s="464">
        <f t="shared" si="0"/>
        <v>0</v>
      </c>
      <c r="E31" s="462"/>
      <c r="F31" s="461"/>
      <c r="G31" s="605"/>
      <c r="H31" s="600"/>
      <c r="I31" s="600"/>
      <c r="J31" s="600"/>
      <c r="K31" s="600"/>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c r="AR31" s="600"/>
      <c r="AS31" s="600"/>
      <c r="AT31" s="600"/>
      <c r="AU31" s="600"/>
      <c r="AV31" s="600"/>
      <c r="AW31" s="600"/>
      <c r="AX31" s="600"/>
      <c r="AY31" s="600"/>
      <c r="AZ31" s="600"/>
      <c r="BA31" s="600"/>
      <c r="BB31" s="600"/>
      <c r="BC31" s="600"/>
      <c r="BD31" s="600"/>
      <c r="BE31" s="600"/>
      <c r="BF31" s="600"/>
      <c r="BG31" s="600"/>
      <c r="BH31" s="600"/>
      <c r="BI31" s="600"/>
      <c r="BJ31" s="600"/>
      <c r="BK31" s="600"/>
      <c r="BL31" s="600"/>
      <c r="BM31" s="600"/>
      <c r="BN31" s="600"/>
      <c r="BO31" s="600"/>
      <c r="BP31" s="600"/>
      <c r="BQ31" s="600"/>
      <c r="BR31" s="600"/>
      <c r="BS31" s="600"/>
      <c r="BT31" s="600"/>
      <c r="BU31" s="600"/>
      <c r="BV31" s="600"/>
      <c r="BW31" s="600"/>
      <c r="BX31" s="600"/>
      <c r="BY31" s="600"/>
      <c r="BZ31" s="600"/>
      <c r="CA31" s="600"/>
      <c r="CB31" s="600"/>
      <c r="CC31" s="600"/>
      <c r="CD31" s="600"/>
      <c r="CE31" s="600"/>
      <c r="CF31" s="600"/>
      <c r="CG31" s="600"/>
      <c r="CH31" s="600"/>
      <c r="CI31" s="600"/>
      <c r="CJ31" s="600"/>
      <c r="CK31" s="600"/>
      <c r="CL31" s="600"/>
      <c r="CM31" s="600"/>
      <c r="CN31" s="600"/>
      <c r="CO31" s="600"/>
      <c r="CP31" s="600"/>
      <c r="CQ31" s="600"/>
      <c r="CR31" s="600"/>
      <c r="CS31" s="600"/>
      <c r="CT31" s="600"/>
      <c r="CU31" s="600"/>
      <c r="CV31" s="600"/>
      <c r="CW31" s="600"/>
      <c r="CX31" s="600"/>
      <c r="CY31" s="600"/>
      <c r="CZ31" s="600"/>
      <c r="DA31" s="600"/>
      <c r="DB31" s="600"/>
      <c r="DC31" s="600"/>
      <c r="DD31" s="600"/>
      <c r="DE31" s="600"/>
      <c r="DF31" s="600"/>
      <c r="DG31" s="600"/>
      <c r="DH31" s="600"/>
      <c r="DI31" s="600"/>
      <c r="DJ31" s="600"/>
      <c r="DK31" s="600"/>
      <c r="DL31" s="600"/>
      <c r="DM31" s="600"/>
      <c r="DN31" s="600"/>
      <c r="DO31" s="600"/>
      <c r="DP31" s="600"/>
      <c r="DQ31" s="600"/>
      <c r="DR31" s="600"/>
      <c r="DS31" s="600"/>
      <c r="DT31" s="600"/>
      <c r="DU31" s="600"/>
      <c r="DV31" s="600"/>
      <c r="DW31" s="600"/>
      <c r="DX31" s="600"/>
      <c r="DY31" s="600"/>
      <c r="DZ31" s="600"/>
      <c r="EA31" s="600"/>
      <c r="EB31" s="600"/>
      <c r="EC31" s="600"/>
      <c r="ED31" s="600"/>
      <c r="EE31" s="600"/>
      <c r="EF31" s="600"/>
      <c r="EG31" s="600"/>
      <c r="EH31" s="600"/>
      <c r="EI31" s="600"/>
      <c r="EJ31" s="600"/>
      <c r="EK31" s="600"/>
      <c r="EL31" s="600"/>
      <c r="EM31" s="600"/>
      <c r="EN31" s="600"/>
      <c r="EO31" s="600"/>
      <c r="EP31" s="600"/>
      <c r="EQ31" s="600"/>
      <c r="ER31" s="600"/>
      <c r="ES31" s="600"/>
      <c r="ET31" s="600"/>
      <c r="EU31" s="600"/>
      <c r="EV31" s="600"/>
      <c r="EW31" s="600"/>
      <c r="EX31" s="600"/>
      <c r="EY31" s="600"/>
      <c r="EZ31" s="600"/>
      <c r="FA31" s="600"/>
      <c r="FB31" s="600"/>
      <c r="FC31" s="600"/>
      <c r="FD31" s="600"/>
      <c r="FE31" s="600"/>
      <c r="FF31" s="600"/>
      <c r="FG31" s="600"/>
      <c r="FH31" s="600"/>
      <c r="FI31" s="600"/>
      <c r="FJ31" s="600"/>
      <c r="FK31" s="600"/>
      <c r="FL31" s="600"/>
      <c r="FM31" s="600"/>
      <c r="FN31" s="600"/>
      <c r="FO31" s="600"/>
      <c r="FP31" s="600"/>
      <c r="FQ31" s="600"/>
      <c r="FR31" s="600"/>
      <c r="FS31" s="600"/>
      <c r="FT31" s="600"/>
      <c r="FU31" s="600"/>
      <c r="FV31" s="600"/>
      <c r="FW31" s="600"/>
      <c r="FX31" s="600"/>
      <c r="FY31" s="600"/>
      <c r="FZ31" s="600"/>
      <c r="GA31" s="600"/>
      <c r="GB31" s="600"/>
      <c r="GC31" s="600"/>
      <c r="GD31" s="600"/>
      <c r="GE31" s="600"/>
      <c r="GF31" s="600"/>
      <c r="GG31" s="600"/>
      <c r="GH31" s="600"/>
      <c r="GI31" s="600"/>
      <c r="GJ31" s="600"/>
      <c r="GK31" s="600"/>
      <c r="GL31" s="600"/>
      <c r="GM31" s="600"/>
      <c r="GN31" s="600"/>
      <c r="GO31" s="600"/>
      <c r="GP31" s="600"/>
      <c r="GQ31" s="600"/>
      <c r="GR31" s="600"/>
      <c r="GS31" s="600"/>
      <c r="GT31" s="600"/>
      <c r="GU31" s="600"/>
      <c r="GV31" s="600"/>
      <c r="GW31" s="600"/>
      <c r="GX31" s="600"/>
      <c r="GY31" s="600"/>
      <c r="GZ31" s="600"/>
      <c r="HA31" s="600"/>
      <c r="HB31" s="600"/>
      <c r="HC31" s="600"/>
      <c r="HD31" s="600"/>
      <c r="HE31" s="600"/>
      <c r="HF31" s="600"/>
      <c r="HG31" s="600"/>
      <c r="HH31" s="600"/>
      <c r="HI31" s="600"/>
      <c r="HJ31" s="600"/>
      <c r="HK31" s="600"/>
      <c r="HL31" s="600"/>
      <c r="HM31" s="600"/>
      <c r="HN31" s="600"/>
      <c r="HO31" s="600"/>
      <c r="HP31" s="600"/>
      <c r="HQ31" s="600"/>
      <c r="HR31" s="600"/>
      <c r="HS31" s="600"/>
      <c r="HT31" s="600"/>
      <c r="HU31" s="600"/>
      <c r="HV31" s="600"/>
      <c r="HW31" s="600"/>
      <c r="HX31" s="600"/>
      <c r="HY31" s="600"/>
      <c r="HZ31" s="600"/>
      <c r="IA31" s="600"/>
      <c r="IB31" s="600"/>
      <c r="IC31" s="600"/>
      <c r="ID31" s="600"/>
      <c r="IE31" s="600"/>
      <c r="IF31" s="600"/>
      <c r="IG31" s="600"/>
      <c r="IH31" s="600"/>
      <c r="II31" s="600"/>
      <c r="IJ31" s="600"/>
      <c r="IK31" s="600"/>
      <c r="IL31" s="600"/>
      <c r="IM31" s="600"/>
      <c r="IN31" s="600"/>
      <c r="IO31" s="600"/>
      <c r="IP31" s="600"/>
      <c r="IQ31" s="600"/>
      <c r="IR31" s="600"/>
      <c r="IS31" s="600"/>
    </row>
    <row r="32" spans="1:253" s="601" customFormat="1">
      <c r="A32" s="463" t="s">
        <v>148</v>
      </c>
      <c r="B32" s="460">
        <f>'Sources and Uses Budget'!$C31</f>
        <v>0</v>
      </c>
      <c r="C32" s="460">
        <f>'Sources and Uses Budget'!$C31</f>
        <v>0</v>
      </c>
      <c r="D32" s="464">
        <f t="shared" si="0"/>
        <v>0</v>
      </c>
      <c r="E32" s="462"/>
      <c r="F32" s="461"/>
      <c r="G32" s="605"/>
      <c r="H32" s="600"/>
      <c r="I32" s="600"/>
      <c r="J32" s="600"/>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c r="AY32" s="600"/>
      <c r="AZ32" s="600"/>
      <c r="BA32" s="600"/>
      <c r="BB32" s="600"/>
      <c r="BC32" s="600"/>
      <c r="BD32" s="600"/>
      <c r="BE32" s="600"/>
      <c r="BF32" s="600"/>
      <c r="BG32" s="600"/>
      <c r="BH32" s="600"/>
      <c r="BI32" s="600"/>
      <c r="BJ32" s="600"/>
      <c r="BK32" s="600"/>
      <c r="BL32" s="600"/>
      <c r="BM32" s="600"/>
      <c r="BN32" s="600"/>
      <c r="BO32" s="600"/>
      <c r="BP32" s="600"/>
      <c r="BQ32" s="600"/>
      <c r="BR32" s="600"/>
      <c r="BS32" s="600"/>
      <c r="BT32" s="600"/>
      <c r="BU32" s="600"/>
      <c r="BV32" s="600"/>
      <c r="BW32" s="600"/>
      <c r="BX32" s="600"/>
      <c r="BY32" s="600"/>
      <c r="BZ32" s="600"/>
      <c r="CA32" s="600"/>
      <c r="CB32" s="600"/>
      <c r="CC32" s="600"/>
      <c r="CD32" s="600"/>
      <c r="CE32" s="600"/>
      <c r="CF32" s="600"/>
      <c r="CG32" s="600"/>
      <c r="CH32" s="600"/>
      <c r="CI32" s="600"/>
      <c r="CJ32" s="600"/>
      <c r="CK32" s="600"/>
      <c r="CL32" s="600"/>
      <c r="CM32" s="600"/>
      <c r="CN32" s="600"/>
      <c r="CO32" s="600"/>
      <c r="CP32" s="600"/>
      <c r="CQ32" s="600"/>
      <c r="CR32" s="600"/>
      <c r="CS32" s="600"/>
      <c r="CT32" s="600"/>
      <c r="CU32" s="600"/>
      <c r="CV32" s="600"/>
      <c r="CW32" s="600"/>
      <c r="CX32" s="600"/>
      <c r="CY32" s="600"/>
      <c r="CZ32" s="600"/>
      <c r="DA32" s="600"/>
      <c r="DB32" s="600"/>
      <c r="DC32" s="600"/>
      <c r="DD32" s="600"/>
      <c r="DE32" s="600"/>
      <c r="DF32" s="600"/>
      <c r="DG32" s="600"/>
      <c r="DH32" s="600"/>
      <c r="DI32" s="600"/>
      <c r="DJ32" s="600"/>
      <c r="DK32" s="600"/>
      <c r="DL32" s="600"/>
      <c r="DM32" s="600"/>
      <c r="DN32" s="600"/>
      <c r="DO32" s="600"/>
      <c r="DP32" s="600"/>
      <c r="DQ32" s="600"/>
      <c r="DR32" s="600"/>
      <c r="DS32" s="600"/>
      <c r="DT32" s="600"/>
      <c r="DU32" s="600"/>
      <c r="DV32" s="600"/>
      <c r="DW32" s="600"/>
      <c r="DX32" s="600"/>
      <c r="DY32" s="600"/>
      <c r="DZ32" s="600"/>
      <c r="EA32" s="600"/>
      <c r="EB32" s="600"/>
      <c r="EC32" s="600"/>
      <c r="ED32" s="600"/>
      <c r="EE32" s="600"/>
      <c r="EF32" s="600"/>
      <c r="EG32" s="600"/>
      <c r="EH32" s="600"/>
      <c r="EI32" s="600"/>
      <c r="EJ32" s="600"/>
      <c r="EK32" s="600"/>
      <c r="EL32" s="600"/>
      <c r="EM32" s="600"/>
      <c r="EN32" s="600"/>
      <c r="EO32" s="600"/>
      <c r="EP32" s="600"/>
      <c r="EQ32" s="600"/>
      <c r="ER32" s="600"/>
      <c r="ES32" s="600"/>
      <c r="ET32" s="600"/>
      <c r="EU32" s="600"/>
      <c r="EV32" s="600"/>
      <c r="EW32" s="600"/>
      <c r="EX32" s="600"/>
      <c r="EY32" s="600"/>
      <c r="EZ32" s="600"/>
      <c r="FA32" s="600"/>
      <c r="FB32" s="600"/>
      <c r="FC32" s="600"/>
      <c r="FD32" s="600"/>
      <c r="FE32" s="600"/>
      <c r="FF32" s="600"/>
      <c r="FG32" s="600"/>
      <c r="FH32" s="600"/>
      <c r="FI32" s="600"/>
      <c r="FJ32" s="600"/>
      <c r="FK32" s="600"/>
      <c r="FL32" s="600"/>
      <c r="FM32" s="600"/>
      <c r="FN32" s="600"/>
      <c r="FO32" s="600"/>
      <c r="FP32" s="600"/>
      <c r="FQ32" s="600"/>
      <c r="FR32" s="600"/>
      <c r="FS32" s="600"/>
      <c r="FT32" s="600"/>
      <c r="FU32" s="600"/>
      <c r="FV32" s="600"/>
      <c r="FW32" s="600"/>
      <c r="FX32" s="600"/>
      <c r="FY32" s="600"/>
      <c r="FZ32" s="600"/>
      <c r="GA32" s="600"/>
      <c r="GB32" s="600"/>
      <c r="GC32" s="600"/>
      <c r="GD32" s="600"/>
      <c r="GE32" s="600"/>
      <c r="GF32" s="600"/>
      <c r="GG32" s="600"/>
      <c r="GH32" s="600"/>
      <c r="GI32" s="600"/>
      <c r="GJ32" s="600"/>
      <c r="GK32" s="600"/>
      <c r="GL32" s="600"/>
      <c r="GM32" s="600"/>
      <c r="GN32" s="600"/>
      <c r="GO32" s="600"/>
      <c r="GP32" s="600"/>
      <c r="GQ32" s="600"/>
      <c r="GR32" s="600"/>
      <c r="GS32" s="600"/>
      <c r="GT32" s="600"/>
      <c r="GU32" s="600"/>
      <c r="GV32" s="600"/>
      <c r="GW32" s="600"/>
      <c r="GX32" s="600"/>
      <c r="GY32" s="600"/>
      <c r="GZ32" s="600"/>
      <c r="HA32" s="600"/>
      <c r="HB32" s="600"/>
      <c r="HC32" s="600"/>
      <c r="HD32" s="600"/>
      <c r="HE32" s="600"/>
      <c r="HF32" s="600"/>
      <c r="HG32" s="600"/>
      <c r="HH32" s="600"/>
      <c r="HI32" s="600"/>
      <c r="HJ32" s="600"/>
      <c r="HK32" s="600"/>
      <c r="HL32" s="600"/>
      <c r="HM32" s="600"/>
      <c r="HN32" s="600"/>
      <c r="HO32" s="600"/>
      <c r="HP32" s="600"/>
      <c r="HQ32" s="600"/>
      <c r="HR32" s="600"/>
      <c r="HS32" s="600"/>
      <c r="HT32" s="600"/>
      <c r="HU32" s="600"/>
      <c r="HV32" s="600"/>
      <c r="HW32" s="600"/>
      <c r="HX32" s="600"/>
      <c r="HY32" s="600"/>
      <c r="HZ32" s="600"/>
      <c r="IA32" s="600"/>
      <c r="IB32" s="600"/>
      <c r="IC32" s="600"/>
      <c r="ID32" s="600"/>
      <c r="IE32" s="600"/>
      <c r="IF32" s="600"/>
      <c r="IG32" s="600"/>
      <c r="IH32" s="600"/>
      <c r="II32" s="600"/>
      <c r="IJ32" s="600"/>
      <c r="IK32" s="600"/>
      <c r="IL32" s="600"/>
      <c r="IM32" s="600"/>
      <c r="IN32" s="600"/>
      <c r="IO32" s="600"/>
      <c r="IP32" s="600"/>
      <c r="IQ32" s="600"/>
      <c r="IR32" s="600"/>
      <c r="IS32" s="600"/>
    </row>
    <row r="33" spans="1:253" s="601" customFormat="1">
      <c r="A33" s="463" t="s">
        <v>149</v>
      </c>
      <c r="B33" s="460">
        <f>'Sources and Uses Budget'!$C32</f>
        <v>0</v>
      </c>
      <c r="C33" s="460">
        <f>'Sources and Uses Budget'!$C32</f>
        <v>0</v>
      </c>
      <c r="D33" s="464">
        <f t="shared" si="0"/>
        <v>0</v>
      </c>
      <c r="E33" s="462"/>
      <c r="F33" s="461"/>
      <c r="G33" s="605"/>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600"/>
      <c r="BN33" s="600"/>
      <c r="BO33" s="600"/>
      <c r="BP33" s="600"/>
      <c r="BQ33" s="600"/>
      <c r="BR33" s="600"/>
      <c r="BS33" s="600"/>
      <c r="BT33" s="600"/>
      <c r="BU33" s="600"/>
      <c r="BV33" s="600"/>
      <c r="BW33" s="600"/>
      <c r="BX33" s="600"/>
      <c r="BY33" s="600"/>
      <c r="BZ33" s="600"/>
      <c r="CA33" s="600"/>
      <c r="CB33" s="600"/>
      <c r="CC33" s="600"/>
      <c r="CD33" s="600"/>
      <c r="CE33" s="600"/>
      <c r="CF33" s="600"/>
      <c r="CG33" s="600"/>
      <c r="CH33" s="600"/>
      <c r="CI33" s="600"/>
      <c r="CJ33" s="600"/>
      <c r="CK33" s="600"/>
      <c r="CL33" s="600"/>
      <c r="CM33" s="600"/>
      <c r="CN33" s="600"/>
      <c r="CO33" s="600"/>
      <c r="CP33" s="600"/>
      <c r="CQ33" s="600"/>
      <c r="CR33" s="600"/>
      <c r="CS33" s="600"/>
      <c r="CT33" s="600"/>
      <c r="CU33" s="600"/>
      <c r="CV33" s="600"/>
      <c r="CW33" s="600"/>
      <c r="CX33" s="600"/>
      <c r="CY33" s="600"/>
      <c r="CZ33" s="600"/>
      <c r="DA33" s="600"/>
      <c r="DB33" s="600"/>
      <c r="DC33" s="600"/>
      <c r="DD33" s="600"/>
      <c r="DE33" s="600"/>
      <c r="DF33" s="600"/>
      <c r="DG33" s="600"/>
      <c r="DH33" s="600"/>
      <c r="DI33" s="600"/>
      <c r="DJ33" s="600"/>
      <c r="DK33" s="600"/>
      <c r="DL33" s="600"/>
      <c r="DM33" s="600"/>
      <c r="DN33" s="600"/>
      <c r="DO33" s="600"/>
      <c r="DP33" s="600"/>
      <c r="DQ33" s="600"/>
      <c r="DR33" s="600"/>
      <c r="DS33" s="600"/>
      <c r="DT33" s="600"/>
      <c r="DU33" s="600"/>
      <c r="DV33" s="600"/>
      <c r="DW33" s="600"/>
      <c r="DX33" s="600"/>
      <c r="DY33" s="600"/>
      <c r="DZ33" s="600"/>
      <c r="EA33" s="600"/>
      <c r="EB33" s="600"/>
      <c r="EC33" s="600"/>
      <c r="ED33" s="600"/>
      <c r="EE33" s="600"/>
      <c r="EF33" s="600"/>
      <c r="EG33" s="600"/>
      <c r="EH33" s="600"/>
      <c r="EI33" s="600"/>
      <c r="EJ33" s="600"/>
      <c r="EK33" s="600"/>
      <c r="EL33" s="600"/>
      <c r="EM33" s="600"/>
      <c r="EN33" s="600"/>
      <c r="EO33" s="600"/>
      <c r="EP33" s="600"/>
      <c r="EQ33" s="600"/>
      <c r="ER33" s="600"/>
      <c r="ES33" s="600"/>
      <c r="ET33" s="600"/>
      <c r="EU33" s="600"/>
      <c r="EV33" s="600"/>
      <c r="EW33" s="600"/>
      <c r="EX33" s="600"/>
      <c r="EY33" s="600"/>
      <c r="EZ33" s="600"/>
      <c r="FA33" s="600"/>
      <c r="FB33" s="600"/>
      <c r="FC33" s="600"/>
      <c r="FD33" s="600"/>
      <c r="FE33" s="600"/>
      <c r="FF33" s="600"/>
      <c r="FG33" s="600"/>
      <c r="FH33" s="600"/>
      <c r="FI33" s="600"/>
      <c r="FJ33" s="600"/>
      <c r="FK33" s="600"/>
      <c r="FL33" s="600"/>
      <c r="FM33" s="600"/>
      <c r="FN33" s="600"/>
      <c r="FO33" s="600"/>
      <c r="FP33" s="600"/>
      <c r="FQ33" s="600"/>
      <c r="FR33" s="600"/>
      <c r="FS33" s="600"/>
      <c r="FT33" s="600"/>
      <c r="FU33" s="600"/>
      <c r="FV33" s="600"/>
      <c r="FW33" s="600"/>
      <c r="FX33" s="600"/>
      <c r="FY33" s="600"/>
      <c r="FZ33" s="600"/>
      <c r="GA33" s="600"/>
      <c r="GB33" s="600"/>
      <c r="GC33" s="600"/>
      <c r="GD33" s="600"/>
      <c r="GE33" s="600"/>
      <c r="GF33" s="600"/>
      <c r="GG33" s="600"/>
      <c r="GH33" s="600"/>
      <c r="GI33" s="600"/>
      <c r="GJ33" s="600"/>
      <c r="GK33" s="600"/>
      <c r="GL33" s="600"/>
      <c r="GM33" s="600"/>
      <c r="GN33" s="600"/>
      <c r="GO33" s="600"/>
      <c r="GP33" s="600"/>
      <c r="GQ33" s="600"/>
      <c r="GR33" s="600"/>
      <c r="GS33" s="600"/>
      <c r="GT33" s="600"/>
      <c r="GU33" s="600"/>
      <c r="GV33" s="600"/>
      <c r="GW33" s="600"/>
      <c r="GX33" s="600"/>
      <c r="GY33" s="600"/>
      <c r="GZ33" s="600"/>
      <c r="HA33" s="600"/>
      <c r="HB33" s="600"/>
      <c r="HC33" s="600"/>
      <c r="HD33" s="600"/>
      <c r="HE33" s="600"/>
      <c r="HF33" s="600"/>
      <c r="HG33" s="600"/>
      <c r="HH33" s="600"/>
      <c r="HI33" s="600"/>
      <c r="HJ33" s="600"/>
      <c r="HK33" s="600"/>
      <c r="HL33" s="600"/>
      <c r="HM33" s="600"/>
      <c r="HN33" s="600"/>
      <c r="HO33" s="600"/>
      <c r="HP33" s="600"/>
      <c r="HQ33" s="600"/>
      <c r="HR33" s="600"/>
      <c r="HS33" s="600"/>
      <c r="HT33" s="600"/>
      <c r="HU33" s="600"/>
      <c r="HV33" s="600"/>
      <c r="HW33" s="600"/>
      <c r="HX33" s="600"/>
      <c r="HY33" s="600"/>
      <c r="HZ33" s="600"/>
      <c r="IA33" s="600"/>
      <c r="IB33" s="600"/>
      <c r="IC33" s="600"/>
      <c r="ID33" s="600"/>
      <c r="IE33" s="600"/>
      <c r="IF33" s="600"/>
      <c r="IG33" s="600"/>
      <c r="IH33" s="600"/>
      <c r="II33" s="600"/>
      <c r="IJ33" s="600"/>
      <c r="IK33" s="600"/>
      <c r="IL33" s="600"/>
      <c r="IM33" s="600"/>
      <c r="IN33" s="600"/>
      <c r="IO33" s="600"/>
      <c r="IP33" s="600"/>
      <c r="IQ33" s="600"/>
      <c r="IR33" s="600"/>
      <c r="IS33" s="600"/>
    </row>
    <row r="34" spans="1:253" s="601" customFormat="1">
      <c r="A34" s="463" t="s">
        <v>150</v>
      </c>
      <c r="B34" s="460">
        <f>'Sources and Uses Budget'!$C33</f>
        <v>0</v>
      </c>
      <c r="C34" s="460">
        <f>'Sources and Uses Budget'!$C33</f>
        <v>0</v>
      </c>
      <c r="D34" s="464">
        <f t="shared" si="0"/>
        <v>0</v>
      </c>
      <c r="E34" s="462"/>
      <c r="F34" s="461"/>
      <c r="G34" s="605"/>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0"/>
      <c r="BA34" s="600"/>
      <c r="BB34" s="600"/>
      <c r="BC34" s="600"/>
      <c r="BD34" s="600"/>
      <c r="BE34" s="600"/>
      <c r="BF34" s="600"/>
      <c r="BG34" s="600"/>
      <c r="BH34" s="600"/>
      <c r="BI34" s="600"/>
      <c r="BJ34" s="600"/>
      <c r="BK34" s="600"/>
      <c r="BL34" s="600"/>
      <c r="BM34" s="600"/>
      <c r="BN34" s="600"/>
      <c r="BO34" s="600"/>
      <c r="BP34" s="600"/>
      <c r="BQ34" s="600"/>
      <c r="BR34" s="600"/>
      <c r="BS34" s="600"/>
      <c r="BT34" s="600"/>
      <c r="BU34" s="600"/>
      <c r="BV34" s="600"/>
      <c r="BW34" s="600"/>
      <c r="BX34" s="600"/>
      <c r="BY34" s="600"/>
      <c r="BZ34" s="600"/>
      <c r="CA34" s="600"/>
      <c r="CB34" s="600"/>
      <c r="CC34" s="600"/>
      <c r="CD34" s="600"/>
      <c r="CE34" s="600"/>
      <c r="CF34" s="600"/>
      <c r="CG34" s="600"/>
      <c r="CH34" s="600"/>
      <c r="CI34" s="600"/>
      <c r="CJ34" s="600"/>
      <c r="CK34" s="600"/>
      <c r="CL34" s="600"/>
      <c r="CM34" s="600"/>
      <c r="CN34" s="600"/>
      <c r="CO34" s="600"/>
      <c r="CP34" s="600"/>
      <c r="CQ34" s="600"/>
      <c r="CR34" s="600"/>
      <c r="CS34" s="600"/>
      <c r="CT34" s="600"/>
      <c r="CU34" s="600"/>
      <c r="CV34" s="600"/>
      <c r="CW34" s="600"/>
      <c r="CX34" s="600"/>
      <c r="CY34" s="600"/>
      <c r="CZ34" s="600"/>
      <c r="DA34" s="600"/>
      <c r="DB34" s="600"/>
      <c r="DC34" s="600"/>
      <c r="DD34" s="600"/>
      <c r="DE34" s="600"/>
      <c r="DF34" s="600"/>
      <c r="DG34" s="600"/>
      <c r="DH34" s="600"/>
      <c r="DI34" s="600"/>
      <c r="DJ34" s="600"/>
      <c r="DK34" s="600"/>
      <c r="DL34" s="600"/>
      <c r="DM34" s="600"/>
      <c r="DN34" s="600"/>
      <c r="DO34" s="600"/>
      <c r="DP34" s="600"/>
      <c r="DQ34" s="600"/>
      <c r="DR34" s="600"/>
      <c r="DS34" s="600"/>
      <c r="DT34" s="600"/>
      <c r="DU34" s="600"/>
      <c r="DV34" s="600"/>
      <c r="DW34" s="600"/>
      <c r="DX34" s="600"/>
      <c r="DY34" s="600"/>
      <c r="DZ34" s="600"/>
      <c r="EA34" s="600"/>
      <c r="EB34" s="600"/>
      <c r="EC34" s="600"/>
      <c r="ED34" s="600"/>
      <c r="EE34" s="600"/>
      <c r="EF34" s="600"/>
      <c r="EG34" s="600"/>
      <c r="EH34" s="600"/>
      <c r="EI34" s="600"/>
      <c r="EJ34" s="600"/>
      <c r="EK34" s="600"/>
      <c r="EL34" s="600"/>
      <c r="EM34" s="600"/>
      <c r="EN34" s="600"/>
      <c r="EO34" s="600"/>
      <c r="EP34" s="600"/>
      <c r="EQ34" s="600"/>
      <c r="ER34" s="600"/>
      <c r="ES34" s="600"/>
      <c r="ET34" s="600"/>
      <c r="EU34" s="600"/>
      <c r="EV34" s="600"/>
      <c r="EW34" s="600"/>
      <c r="EX34" s="600"/>
      <c r="EY34" s="600"/>
      <c r="EZ34" s="600"/>
      <c r="FA34" s="600"/>
      <c r="FB34" s="600"/>
      <c r="FC34" s="600"/>
      <c r="FD34" s="600"/>
      <c r="FE34" s="600"/>
      <c r="FF34" s="600"/>
      <c r="FG34" s="600"/>
      <c r="FH34" s="600"/>
      <c r="FI34" s="600"/>
      <c r="FJ34" s="600"/>
      <c r="FK34" s="600"/>
      <c r="FL34" s="600"/>
      <c r="FM34" s="600"/>
      <c r="FN34" s="600"/>
      <c r="FO34" s="600"/>
      <c r="FP34" s="600"/>
      <c r="FQ34" s="600"/>
      <c r="FR34" s="600"/>
      <c r="FS34" s="600"/>
      <c r="FT34" s="600"/>
      <c r="FU34" s="600"/>
      <c r="FV34" s="600"/>
      <c r="FW34" s="600"/>
      <c r="FX34" s="600"/>
      <c r="FY34" s="600"/>
      <c r="FZ34" s="600"/>
      <c r="GA34" s="600"/>
      <c r="GB34" s="600"/>
      <c r="GC34" s="600"/>
      <c r="GD34" s="600"/>
      <c r="GE34" s="600"/>
      <c r="GF34" s="600"/>
      <c r="GG34" s="600"/>
      <c r="GH34" s="600"/>
      <c r="GI34" s="600"/>
      <c r="GJ34" s="600"/>
      <c r="GK34" s="600"/>
      <c r="GL34" s="600"/>
      <c r="GM34" s="600"/>
      <c r="GN34" s="600"/>
      <c r="GO34" s="600"/>
      <c r="GP34" s="600"/>
      <c r="GQ34" s="600"/>
      <c r="GR34" s="600"/>
      <c r="GS34" s="600"/>
      <c r="GT34" s="600"/>
      <c r="GU34" s="600"/>
      <c r="GV34" s="600"/>
      <c r="GW34" s="600"/>
      <c r="GX34" s="600"/>
      <c r="GY34" s="600"/>
      <c r="GZ34" s="600"/>
      <c r="HA34" s="600"/>
      <c r="HB34" s="600"/>
      <c r="HC34" s="600"/>
      <c r="HD34" s="600"/>
      <c r="HE34" s="600"/>
      <c r="HF34" s="600"/>
      <c r="HG34" s="600"/>
      <c r="HH34" s="600"/>
      <c r="HI34" s="600"/>
      <c r="HJ34" s="600"/>
      <c r="HK34" s="600"/>
      <c r="HL34" s="600"/>
      <c r="HM34" s="600"/>
      <c r="HN34" s="600"/>
      <c r="HO34" s="600"/>
      <c r="HP34" s="600"/>
      <c r="HQ34" s="600"/>
      <c r="HR34" s="600"/>
      <c r="HS34" s="600"/>
      <c r="HT34" s="600"/>
      <c r="HU34" s="600"/>
      <c r="HV34" s="600"/>
      <c r="HW34" s="600"/>
      <c r="HX34" s="600"/>
      <c r="HY34" s="600"/>
      <c r="HZ34" s="600"/>
      <c r="IA34" s="600"/>
      <c r="IB34" s="600"/>
      <c r="IC34" s="600"/>
      <c r="ID34" s="600"/>
      <c r="IE34" s="600"/>
      <c r="IF34" s="600"/>
      <c r="IG34" s="600"/>
      <c r="IH34" s="600"/>
      <c r="II34" s="600"/>
      <c r="IJ34" s="600"/>
      <c r="IK34" s="600"/>
      <c r="IL34" s="600"/>
      <c r="IM34" s="600"/>
      <c r="IN34" s="600"/>
      <c r="IO34" s="600"/>
      <c r="IP34" s="600"/>
      <c r="IQ34" s="600"/>
      <c r="IR34" s="600"/>
      <c r="IS34" s="600"/>
    </row>
    <row r="35" spans="1:253" s="601" customFormat="1">
      <c r="A35" s="463" t="s">
        <v>151</v>
      </c>
      <c r="B35" s="460">
        <f>'Sources and Uses Budget'!$C34</f>
        <v>0</v>
      </c>
      <c r="C35" s="460">
        <f>'Sources and Uses Budget'!$C34</f>
        <v>0</v>
      </c>
      <c r="D35" s="464">
        <f t="shared" si="0"/>
        <v>0</v>
      </c>
      <c r="E35" s="462"/>
      <c r="F35" s="461"/>
      <c r="G35" s="605"/>
      <c r="H35" s="600"/>
      <c r="I35" s="600"/>
      <c r="J35" s="600"/>
      <c r="K35" s="600"/>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0"/>
      <c r="AY35" s="600"/>
      <c r="AZ35" s="600"/>
      <c r="BA35" s="600"/>
      <c r="BB35" s="600"/>
      <c r="BC35" s="600"/>
      <c r="BD35" s="600"/>
      <c r="BE35" s="600"/>
      <c r="BF35" s="600"/>
      <c r="BG35" s="600"/>
      <c r="BH35" s="600"/>
      <c r="BI35" s="600"/>
      <c r="BJ35" s="600"/>
      <c r="BK35" s="600"/>
      <c r="BL35" s="600"/>
      <c r="BM35" s="600"/>
      <c r="BN35" s="600"/>
      <c r="BO35" s="600"/>
      <c r="BP35" s="600"/>
      <c r="BQ35" s="600"/>
      <c r="BR35" s="600"/>
      <c r="BS35" s="600"/>
      <c r="BT35" s="600"/>
      <c r="BU35" s="600"/>
      <c r="BV35" s="600"/>
      <c r="BW35" s="600"/>
      <c r="BX35" s="600"/>
      <c r="BY35" s="600"/>
      <c r="BZ35" s="600"/>
      <c r="CA35" s="600"/>
      <c r="CB35" s="600"/>
      <c r="CC35" s="600"/>
      <c r="CD35" s="600"/>
      <c r="CE35" s="600"/>
      <c r="CF35" s="600"/>
      <c r="CG35" s="600"/>
      <c r="CH35" s="600"/>
      <c r="CI35" s="600"/>
      <c r="CJ35" s="600"/>
      <c r="CK35" s="600"/>
      <c r="CL35" s="600"/>
      <c r="CM35" s="600"/>
      <c r="CN35" s="600"/>
      <c r="CO35" s="600"/>
      <c r="CP35" s="600"/>
      <c r="CQ35" s="600"/>
      <c r="CR35" s="600"/>
      <c r="CS35" s="600"/>
      <c r="CT35" s="600"/>
      <c r="CU35" s="600"/>
      <c r="CV35" s="600"/>
      <c r="CW35" s="600"/>
      <c r="CX35" s="600"/>
      <c r="CY35" s="600"/>
      <c r="CZ35" s="600"/>
      <c r="DA35" s="600"/>
      <c r="DB35" s="600"/>
      <c r="DC35" s="600"/>
      <c r="DD35" s="600"/>
      <c r="DE35" s="600"/>
      <c r="DF35" s="600"/>
      <c r="DG35" s="600"/>
      <c r="DH35" s="600"/>
      <c r="DI35" s="600"/>
      <c r="DJ35" s="600"/>
      <c r="DK35" s="600"/>
      <c r="DL35" s="600"/>
      <c r="DM35" s="600"/>
      <c r="DN35" s="600"/>
      <c r="DO35" s="600"/>
      <c r="DP35" s="600"/>
      <c r="DQ35" s="600"/>
      <c r="DR35" s="600"/>
      <c r="DS35" s="600"/>
      <c r="DT35" s="600"/>
      <c r="DU35" s="600"/>
      <c r="DV35" s="600"/>
      <c r="DW35" s="600"/>
      <c r="DX35" s="600"/>
      <c r="DY35" s="600"/>
      <c r="DZ35" s="600"/>
      <c r="EA35" s="600"/>
      <c r="EB35" s="600"/>
      <c r="EC35" s="600"/>
      <c r="ED35" s="600"/>
      <c r="EE35" s="600"/>
      <c r="EF35" s="600"/>
      <c r="EG35" s="600"/>
      <c r="EH35" s="600"/>
      <c r="EI35" s="600"/>
      <c r="EJ35" s="600"/>
      <c r="EK35" s="600"/>
      <c r="EL35" s="600"/>
      <c r="EM35" s="600"/>
      <c r="EN35" s="600"/>
      <c r="EO35" s="600"/>
      <c r="EP35" s="600"/>
      <c r="EQ35" s="600"/>
      <c r="ER35" s="600"/>
      <c r="ES35" s="600"/>
      <c r="ET35" s="600"/>
      <c r="EU35" s="600"/>
      <c r="EV35" s="600"/>
      <c r="EW35" s="600"/>
      <c r="EX35" s="600"/>
      <c r="EY35" s="600"/>
      <c r="EZ35" s="600"/>
      <c r="FA35" s="600"/>
      <c r="FB35" s="600"/>
      <c r="FC35" s="600"/>
      <c r="FD35" s="600"/>
      <c r="FE35" s="600"/>
      <c r="FF35" s="600"/>
      <c r="FG35" s="600"/>
      <c r="FH35" s="600"/>
      <c r="FI35" s="600"/>
      <c r="FJ35" s="600"/>
      <c r="FK35" s="600"/>
      <c r="FL35" s="600"/>
      <c r="FM35" s="600"/>
      <c r="FN35" s="600"/>
      <c r="FO35" s="600"/>
      <c r="FP35" s="600"/>
      <c r="FQ35" s="600"/>
      <c r="FR35" s="600"/>
      <c r="FS35" s="600"/>
      <c r="FT35" s="600"/>
      <c r="FU35" s="600"/>
      <c r="FV35" s="600"/>
      <c r="FW35" s="600"/>
      <c r="FX35" s="600"/>
      <c r="FY35" s="600"/>
      <c r="FZ35" s="600"/>
      <c r="GA35" s="600"/>
      <c r="GB35" s="600"/>
      <c r="GC35" s="600"/>
      <c r="GD35" s="600"/>
      <c r="GE35" s="600"/>
      <c r="GF35" s="600"/>
      <c r="GG35" s="600"/>
      <c r="GH35" s="600"/>
      <c r="GI35" s="600"/>
      <c r="GJ35" s="600"/>
      <c r="GK35" s="600"/>
      <c r="GL35" s="600"/>
      <c r="GM35" s="600"/>
      <c r="GN35" s="600"/>
      <c r="GO35" s="600"/>
      <c r="GP35" s="600"/>
      <c r="GQ35" s="600"/>
      <c r="GR35" s="600"/>
      <c r="GS35" s="600"/>
      <c r="GT35" s="600"/>
      <c r="GU35" s="600"/>
      <c r="GV35" s="600"/>
      <c r="GW35" s="600"/>
      <c r="GX35" s="600"/>
      <c r="GY35" s="600"/>
      <c r="GZ35" s="600"/>
      <c r="HA35" s="600"/>
      <c r="HB35" s="600"/>
      <c r="HC35" s="600"/>
      <c r="HD35" s="600"/>
      <c r="HE35" s="600"/>
      <c r="HF35" s="600"/>
      <c r="HG35" s="600"/>
      <c r="HH35" s="600"/>
      <c r="HI35" s="600"/>
      <c r="HJ35" s="600"/>
      <c r="HK35" s="600"/>
      <c r="HL35" s="600"/>
      <c r="HM35" s="600"/>
      <c r="HN35" s="600"/>
      <c r="HO35" s="600"/>
      <c r="HP35" s="600"/>
      <c r="HQ35" s="600"/>
      <c r="HR35" s="600"/>
      <c r="HS35" s="600"/>
      <c r="HT35" s="600"/>
      <c r="HU35" s="600"/>
      <c r="HV35" s="600"/>
      <c r="HW35" s="600"/>
      <c r="HX35" s="600"/>
      <c r="HY35" s="600"/>
      <c r="HZ35" s="600"/>
      <c r="IA35" s="600"/>
      <c r="IB35" s="600"/>
      <c r="IC35" s="600"/>
      <c r="ID35" s="600"/>
      <c r="IE35" s="600"/>
      <c r="IF35" s="600"/>
      <c r="IG35" s="600"/>
      <c r="IH35" s="600"/>
      <c r="II35" s="600"/>
      <c r="IJ35" s="600"/>
      <c r="IK35" s="600"/>
      <c r="IL35" s="600"/>
      <c r="IM35" s="600"/>
      <c r="IN35" s="600"/>
      <c r="IO35" s="600"/>
      <c r="IP35" s="600"/>
      <c r="IQ35" s="600"/>
      <c r="IR35" s="600"/>
      <c r="IS35" s="600"/>
    </row>
    <row r="36" spans="1:253" s="601" customFormat="1">
      <c r="A36" s="466" t="s">
        <v>38</v>
      </c>
      <c r="B36" s="460">
        <f>'Sources and Uses Budget'!$C35</f>
        <v>0</v>
      </c>
      <c r="C36" s="460">
        <f>'Sources and Uses Budget'!$C35</f>
        <v>0</v>
      </c>
      <c r="D36" s="464">
        <f t="shared" si="0"/>
        <v>0</v>
      </c>
      <c r="E36" s="462"/>
      <c r="F36" s="461"/>
      <c r="G36" s="605"/>
      <c r="H36" s="600"/>
      <c r="I36" s="600"/>
      <c r="J36" s="600"/>
      <c r="K36" s="600"/>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0"/>
      <c r="AY36" s="600"/>
      <c r="AZ36" s="600"/>
      <c r="BA36" s="600"/>
      <c r="BB36" s="600"/>
      <c r="BC36" s="600"/>
      <c r="BD36" s="600"/>
      <c r="BE36" s="600"/>
      <c r="BF36" s="600"/>
      <c r="BG36" s="600"/>
      <c r="BH36" s="600"/>
      <c r="BI36" s="600"/>
      <c r="BJ36" s="600"/>
      <c r="BK36" s="600"/>
      <c r="BL36" s="600"/>
      <c r="BM36" s="600"/>
      <c r="BN36" s="600"/>
      <c r="BO36" s="600"/>
      <c r="BP36" s="600"/>
      <c r="BQ36" s="600"/>
      <c r="BR36" s="600"/>
      <c r="BS36" s="600"/>
      <c r="BT36" s="600"/>
      <c r="BU36" s="600"/>
      <c r="BV36" s="600"/>
      <c r="BW36" s="600"/>
      <c r="BX36" s="600"/>
      <c r="BY36" s="600"/>
      <c r="BZ36" s="600"/>
      <c r="CA36" s="600"/>
      <c r="CB36" s="600"/>
      <c r="CC36" s="600"/>
      <c r="CD36" s="600"/>
      <c r="CE36" s="600"/>
      <c r="CF36" s="600"/>
      <c r="CG36" s="600"/>
      <c r="CH36" s="600"/>
      <c r="CI36" s="600"/>
      <c r="CJ36" s="600"/>
      <c r="CK36" s="600"/>
      <c r="CL36" s="600"/>
      <c r="CM36" s="600"/>
      <c r="CN36" s="600"/>
      <c r="CO36" s="600"/>
      <c r="CP36" s="600"/>
      <c r="CQ36" s="600"/>
      <c r="CR36" s="600"/>
      <c r="CS36" s="600"/>
      <c r="CT36" s="600"/>
      <c r="CU36" s="600"/>
      <c r="CV36" s="600"/>
      <c r="CW36" s="600"/>
      <c r="CX36" s="600"/>
      <c r="CY36" s="600"/>
      <c r="CZ36" s="600"/>
      <c r="DA36" s="600"/>
      <c r="DB36" s="600"/>
      <c r="DC36" s="600"/>
      <c r="DD36" s="600"/>
      <c r="DE36" s="600"/>
      <c r="DF36" s="600"/>
      <c r="DG36" s="600"/>
      <c r="DH36" s="600"/>
      <c r="DI36" s="600"/>
      <c r="DJ36" s="600"/>
      <c r="DK36" s="600"/>
      <c r="DL36" s="600"/>
      <c r="DM36" s="600"/>
      <c r="DN36" s="600"/>
      <c r="DO36" s="600"/>
      <c r="DP36" s="600"/>
      <c r="DQ36" s="600"/>
      <c r="DR36" s="600"/>
      <c r="DS36" s="600"/>
      <c r="DT36" s="600"/>
      <c r="DU36" s="600"/>
      <c r="DV36" s="600"/>
      <c r="DW36" s="600"/>
      <c r="DX36" s="600"/>
      <c r="DY36" s="600"/>
      <c r="DZ36" s="600"/>
      <c r="EA36" s="600"/>
      <c r="EB36" s="600"/>
      <c r="EC36" s="600"/>
      <c r="ED36" s="600"/>
      <c r="EE36" s="600"/>
      <c r="EF36" s="600"/>
      <c r="EG36" s="600"/>
      <c r="EH36" s="600"/>
      <c r="EI36" s="600"/>
      <c r="EJ36" s="600"/>
      <c r="EK36" s="600"/>
      <c r="EL36" s="600"/>
      <c r="EM36" s="600"/>
      <c r="EN36" s="600"/>
      <c r="EO36" s="600"/>
      <c r="EP36" s="600"/>
      <c r="EQ36" s="600"/>
      <c r="ER36" s="600"/>
      <c r="ES36" s="600"/>
      <c r="ET36" s="600"/>
      <c r="EU36" s="600"/>
      <c r="EV36" s="600"/>
      <c r="EW36" s="600"/>
      <c r="EX36" s="600"/>
      <c r="EY36" s="600"/>
      <c r="EZ36" s="600"/>
      <c r="FA36" s="600"/>
      <c r="FB36" s="600"/>
      <c r="FC36" s="600"/>
      <c r="FD36" s="600"/>
      <c r="FE36" s="600"/>
      <c r="FF36" s="600"/>
      <c r="FG36" s="600"/>
      <c r="FH36" s="600"/>
      <c r="FI36" s="600"/>
      <c r="FJ36" s="600"/>
      <c r="FK36" s="600"/>
      <c r="FL36" s="600"/>
      <c r="FM36" s="600"/>
      <c r="FN36" s="600"/>
      <c r="FO36" s="600"/>
      <c r="FP36" s="600"/>
      <c r="FQ36" s="600"/>
      <c r="FR36" s="600"/>
      <c r="FS36" s="600"/>
      <c r="FT36" s="600"/>
      <c r="FU36" s="600"/>
      <c r="FV36" s="600"/>
      <c r="FW36" s="600"/>
      <c r="FX36" s="600"/>
      <c r="FY36" s="600"/>
      <c r="FZ36" s="600"/>
      <c r="GA36" s="600"/>
      <c r="GB36" s="600"/>
      <c r="GC36" s="600"/>
      <c r="GD36" s="600"/>
      <c r="GE36" s="600"/>
      <c r="GF36" s="600"/>
      <c r="GG36" s="600"/>
      <c r="GH36" s="600"/>
      <c r="GI36" s="600"/>
      <c r="GJ36" s="600"/>
      <c r="GK36" s="600"/>
      <c r="GL36" s="600"/>
      <c r="GM36" s="600"/>
      <c r="GN36" s="600"/>
      <c r="GO36" s="600"/>
      <c r="GP36" s="600"/>
      <c r="GQ36" s="600"/>
      <c r="GR36" s="600"/>
      <c r="GS36" s="600"/>
      <c r="GT36" s="600"/>
      <c r="GU36" s="600"/>
      <c r="GV36" s="600"/>
      <c r="GW36" s="600"/>
      <c r="GX36" s="600"/>
      <c r="GY36" s="600"/>
      <c r="GZ36" s="600"/>
      <c r="HA36" s="600"/>
      <c r="HB36" s="600"/>
      <c r="HC36" s="600"/>
      <c r="HD36" s="600"/>
      <c r="HE36" s="600"/>
      <c r="HF36" s="600"/>
      <c r="HG36" s="600"/>
      <c r="HH36" s="600"/>
      <c r="HI36" s="600"/>
      <c r="HJ36" s="600"/>
      <c r="HK36" s="600"/>
      <c r="HL36" s="600"/>
      <c r="HM36" s="600"/>
      <c r="HN36" s="600"/>
      <c r="HO36" s="600"/>
      <c r="HP36" s="600"/>
      <c r="HQ36" s="600"/>
      <c r="HR36" s="600"/>
      <c r="HS36" s="600"/>
      <c r="HT36" s="600"/>
      <c r="HU36" s="600"/>
      <c r="HV36" s="600"/>
      <c r="HW36" s="600"/>
      <c r="HX36" s="600"/>
      <c r="HY36" s="600"/>
      <c r="HZ36" s="600"/>
      <c r="IA36" s="600"/>
      <c r="IB36" s="600"/>
      <c r="IC36" s="600"/>
      <c r="ID36" s="600"/>
      <c r="IE36" s="600"/>
      <c r="IF36" s="600"/>
      <c r="IG36" s="600"/>
      <c r="IH36" s="600"/>
      <c r="II36" s="600"/>
      <c r="IJ36" s="600"/>
      <c r="IK36" s="600"/>
      <c r="IL36" s="600"/>
      <c r="IM36" s="600"/>
      <c r="IN36" s="600"/>
      <c r="IO36" s="600"/>
      <c r="IP36" s="600"/>
      <c r="IQ36" s="600"/>
      <c r="IR36" s="600"/>
      <c r="IS36" s="600"/>
    </row>
    <row r="37" spans="1:253" s="601" customFormat="1">
      <c r="A37" s="465" t="s">
        <v>154</v>
      </c>
      <c r="B37" s="464">
        <f>SUM(B29:B36)</f>
        <v>0</v>
      </c>
      <c r="C37" s="464">
        <f>SUM(C29:C36)</f>
        <v>0</v>
      </c>
      <c r="D37" s="464">
        <f t="shared" si="0"/>
        <v>0</v>
      </c>
      <c r="E37" s="462"/>
      <c r="F37" s="461"/>
      <c r="G37" s="605"/>
      <c r="H37" s="600"/>
      <c r="I37" s="600"/>
      <c r="J37" s="600"/>
      <c r="K37" s="600"/>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0"/>
      <c r="AY37" s="600"/>
      <c r="AZ37" s="600"/>
      <c r="BA37" s="600"/>
      <c r="BB37" s="600"/>
      <c r="BC37" s="600"/>
      <c r="BD37" s="600"/>
      <c r="BE37" s="600"/>
      <c r="BF37" s="600"/>
      <c r="BG37" s="600"/>
      <c r="BH37" s="600"/>
      <c r="BI37" s="600"/>
      <c r="BJ37" s="600"/>
      <c r="BK37" s="600"/>
      <c r="BL37" s="600"/>
      <c r="BM37" s="600"/>
      <c r="BN37" s="600"/>
      <c r="BO37" s="600"/>
      <c r="BP37" s="600"/>
      <c r="BQ37" s="600"/>
      <c r="BR37" s="600"/>
      <c r="BS37" s="600"/>
      <c r="BT37" s="600"/>
      <c r="BU37" s="600"/>
      <c r="BV37" s="600"/>
      <c r="BW37" s="600"/>
      <c r="BX37" s="600"/>
      <c r="BY37" s="600"/>
      <c r="BZ37" s="600"/>
      <c r="CA37" s="600"/>
      <c r="CB37" s="600"/>
      <c r="CC37" s="600"/>
      <c r="CD37" s="600"/>
      <c r="CE37" s="600"/>
      <c r="CF37" s="600"/>
      <c r="CG37" s="600"/>
      <c r="CH37" s="600"/>
      <c r="CI37" s="600"/>
      <c r="CJ37" s="600"/>
      <c r="CK37" s="600"/>
      <c r="CL37" s="600"/>
      <c r="CM37" s="600"/>
      <c r="CN37" s="600"/>
      <c r="CO37" s="600"/>
      <c r="CP37" s="600"/>
      <c r="CQ37" s="600"/>
      <c r="CR37" s="600"/>
      <c r="CS37" s="600"/>
      <c r="CT37" s="600"/>
      <c r="CU37" s="600"/>
      <c r="CV37" s="600"/>
      <c r="CW37" s="600"/>
      <c r="CX37" s="600"/>
      <c r="CY37" s="600"/>
      <c r="CZ37" s="600"/>
      <c r="DA37" s="600"/>
      <c r="DB37" s="600"/>
      <c r="DC37" s="600"/>
      <c r="DD37" s="600"/>
      <c r="DE37" s="600"/>
      <c r="DF37" s="600"/>
      <c r="DG37" s="600"/>
      <c r="DH37" s="600"/>
      <c r="DI37" s="600"/>
      <c r="DJ37" s="600"/>
      <c r="DK37" s="600"/>
      <c r="DL37" s="600"/>
      <c r="DM37" s="600"/>
      <c r="DN37" s="600"/>
      <c r="DO37" s="600"/>
      <c r="DP37" s="600"/>
      <c r="DQ37" s="600"/>
      <c r="DR37" s="600"/>
      <c r="DS37" s="600"/>
      <c r="DT37" s="600"/>
      <c r="DU37" s="600"/>
      <c r="DV37" s="600"/>
      <c r="DW37" s="600"/>
      <c r="DX37" s="600"/>
      <c r="DY37" s="600"/>
      <c r="DZ37" s="600"/>
      <c r="EA37" s="600"/>
      <c r="EB37" s="600"/>
      <c r="EC37" s="600"/>
      <c r="ED37" s="600"/>
      <c r="EE37" s="600"/>
      <c r="EF37" s="600"/>
      <c r="EG37" s="600"/>
      <c r="EH37" s="600"/>
      <c r="EI37" s="600"/>
      <c r="EJ37" s="600"/>
      <c r="EK37" s="600"/>
      <c r="EL37" s="600"/>
      <c r="EM37" s="600"/>
      <c r="EN37" s="600"/>
      <c r="EO37" s="600"/>
      <c r="EP37" s="600"/>
      <c r="EQ37" s="600"/>
      <c r="ER37" s="600"/>
      <c r="ES37" s="600"/>
      <c r="ET37" s="600"/>
      <c r="EU37" s="600"/>
      <c r="EV37" s="600"/>
      <c r="EW37" s="600"/>
      <c r="EX37" s="600"/>
      <c r="EY37" s="600"/>
      <c r="EZ37" s="600"/>
      <c r="FA37" s="600"/>
      <c r="FB37" s="600"/>
      <c r="FC37" s="600"/>
      <c r="FD37" s="600"/>
      <c r="FE37" s="600"/>
      <c r="FF37" s="600"/>
      <c r="FG37" s="600"/>
      <c r="FH37" s="600"/>
      <c r="FI37" s="600"/>
      <c r="FJ37" s="600"/>
      <c r="FK37" s="600"/>
      <c r="FL37" s="600"/>
      <c r="FM37" s="600"/>
      <c r="FN37" s="600"/>
      <c r="FO37" s="600"/>
      <c r="FP37" s="600"/>
      <c r="FQ37" s="600"/>
      <c r="FR37" s="600"/>
      <c r="FS37" s="600"/>
      <c r="FT37" s="600"/>
      <c r="FU37" s="600"/>
      <c r="FV37" s="600"/>
      <c r="FW37" s="600"/>
      <c r="FX37" s="600"/>
      <c r="FY37" s="600"/>
      <c r="FZ37" s="600"/>
      <c r="GA37" s="600"/>
      <c r="GB37" s="600"/>
      <c r="GC37" s="600"/>
      <c r="GD37" s="600"/>
      <c r="GE37" s="600"/>
      <c r="GF37" s="600"/>
      <c r="GG37" s="600"/>
      <c r="GH37" s="600"/>
      <c r="GI37" s="600"/>
      <c r="GJ37" s="600"/>
      <c r="GK37" s="600"/>
      <c r="GL37" s="600"/>
      <c r="GM37" s="600"/>
      <c r="GN37" s="600"/>
      <c r="GO37" s="600"/>
      <c r="GP37" s="600"/>
      <c r="GQ37" s="600"/>
      <c r="GR37" s="600"/>
      <c r="GS37" s="600"/>
      <c r="GT37" s="600"/>
      <c r="GU37" s="600"/>
      <c r="GV37" s="600"/>
      <c r="GW37" s="600"/>
      <c r="GX37" s="600"/>
      <c r="GY37" s="600"/>
      <c r="GZ37" s="600"/>
      <c r="HA37" s="600"/>
      <c r="HB37" s="600"/>
      <c r="HC37" s="600"/>
      <c r="HD37" s="600"/>
      <c r="HE37" s="600"/>
      <c r="HF37" s="600"/>
      <c r="HG37" s="600"/>
      <c r="HH37" s="600"/>
      <c r="HI37" s="600"/>
      <c r="HJ37" s="600"/>
      <c r="HK37" s="600"/>
      <c r="HL37" s="600"/>
      <c r="HM37" s="600"/>
      <c r="HN37" s="600"/>
      <c r="HO37" s="600"/>
      <c r="HP37" s="600"/>
      <c r="HQ37" s="600"/>
      <c r="HR37" s="600"/>
      <c r="HS37" s="600"/>
      <c r="HT37" s="600"/>
      <c r="HU37" s="600"/>
      <c r="HV37" s="600"/>
      <c r="HW37" s="600"/>
      <c r="HX37" s="600"/>
      <c r="HY37" s="600"/>
      <c r="HZ37" s="600"/>
      <c r="IA37" s="600"/>
      <c r="IB37" s="600"/>
      <c r="IC37" s="600"/>
      <c r="ID37" s="600"/>
      <c r="IE37" s="600"/>
      <c r="IF37" s="600"/>
      <c r="IG37" s="600"/>
      <c r="IH37" s="600"/>
      <c r="II37" s="600"/>
      <c r="IJ37" s="600"/>
      <c r="IK37" s="600"/>
      <c r="IL37" s="600"/>
      <c r="IM37" s="600"/>
      <c r="IN37" s="600"/>
      <c r="IO37" s="600"/>
      <c r="IP37" s="600"/>
      <c r="IQ37" s="600"/>
      <c r="IR37" s="600"/>
      <c r="IS37" s="600"/>
    </row>
    <row r="38" spans="1:253" s="601" customFormat="1">
      <c r="A38" s="458" t="s">
        <v>155</v>
      </c>
      <c r="B38" s="458"/>
      <c r="C38" s="458"/>
      <c r="D38" s="458"/>
      <c r="E38" s="478"/>
      <c r="F38" s="458"/>
      <c r="G38" s="605"/>
      <c r="H38" s="600"/>
      <c r="I38" s="600"/>
      <c r="J38" s="600"/>
      <c r="K38" s="600"/>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0"/>
      <c r="AY38" s="600"/>
      <c r="AZ38" s="600"/>
      <c r="BA38" s="600"/>
      <c r="BB38" s="600"/>
      <c r="BC38" s="600"/>
      <c r="BD38" s="600"/>
      <c r="BE38" s="600"/>
      <c r="BF38" s="600"/>
      <c r="BG38" s="600"/>
      <c r="BH38" s="600"/>
      <c r="BI38" s="600"/>
      <c r="BJ38" s="600"/>
      <c r="BK38" s="600"/>
      <c r="BL38" s="600"/>
      <c r="BM38" s="600"/>
      <c r="BN38" s="600"/>
      <c r="BO38" s="600"/>
      <c r="BP38" s="600"/>
      <c r="BQ38" s="600"/>
      <c r="BR38" s="600"/>
      <c r="BS38" s="600"/>
      <c r="BT38" s="600"/>
      <c r="BU38" s="600"/>
      <c r="BV38" s="600"/>
      <c r="BW38" s="600"/>
      <c r="BX38" s="600"/>
      <c r="BY38" s="600"/>
      <c r="BZ38" s="600"/>
      <c r="CA38" s="600"/>
      <c r="CB38" s="600"/>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c r="EQ38" s="600"/>
      <c r="ER38" s="600"/>
      <c r="ES38" s="600"/>
      <c r="ET38" s="600"/>
      <c r="EU38" s="600"/>
      <c r="EV38" s="600"/>
      <c r="EW38" s="600"/>
      <c r="EX38" s="600"/>
      <c r="EY38" s="600"/>
      <c r="EZ38" s="600"/>
      <c r="FA38" s="600"/>
      <c r="FB38" s="600"/>
      <c r="FC38" s="600"/>
      <c r="FD38" s="600"/>
      <c r="FE38" s="600"/>
      <c r="FF38" s="600"/>
      <c r="FG38" s="600"/>
      <c r="FH38" s="600"/>
      <c r="FI38" s="600"/>
      <c r="FJ38" s="600"/>
      <c r="FK38" s="600"/>
      <c r="FL38" s="600"/>
      <c r="FM38" s="600"/>
      <c r="FN38" s="600"/>
      <c r="FO38" s="600"/>
      <c r="FP38" s="600"/>
      <c r="FQ38" s="600"/>
      <c r="FR38" s="600"/>
      <c r="FS38" s="600"/>
      <c r="FT38" s="600"/>
      <c r="FU38" s="600"/>
      <c r="FV38" s="600"/>
      <c r="FW38" s="600"/>
      <c r="FX38" s="600"/>
      <c r="FY38" s="600"/>
      <c r="FZ38" s="600"/>
      <c r="GA38" s="600"/>
      <c r="GB38" s="600"/>
      <c r="GC38" s="600"/>
      <c r="GD38" s="600"/>
      <c r="GE38" s="600"/>
      <c r="GF38" s="600"/>
      <c r="GG38" s="600"/>
      <c r="GH38" s="600"/>
      <c r="GI38" s="600"/>
      <c r="GJ38" s="600"/>
      <c r="GK38" s="600"/>
      <c r="GL38" s="600"/>
      <c r="GM38" s="600"/>
      <c r="GN38" s="600"/>
      <c r="GO38" s="600"/>
      <c r="GP38" s="600"/>
      <c r="GQ38" s="600"/>
      <c r="GR38" s="600"/>
      <c r="GS38" s="600"/>
      <c r="GT38" s="600"/>
      <c r="GU38" s="600"/>
      <c r="GV38" s="600"/>
      <c r="GW38" s="600"/>
      <c r="GX38" s="600"/>
      <c r="GY38" s="600"/>
      <c r="GZ38" s="600"/>
      <c r="HA38" s="600"/>
      <c r="HB38" s="600"/>
      <c r="HC38" s="600"/>
      <c r="HD38" s="600"/>
      <c r="HE38" s="600"/>
      <c r="HF38" s="600"/>
      <c r="HG38" s="600"/>
      <c r="HH38" s="600"/>
      <c r="HI38" s="600"/>
      <c r="HJ38" s="600"/>
      <c r="HK38" s="600"/>
      <c r="HL38" s="600"/>
      <c r="HM38" s="600"/>
      <c r="HN38" s="600"/>
      <c r="HO38" s="600"/>
      <c r="HP38" s="600"/>
      <c r="HQ38" s="600"/>
      <c r="HR38" s="600"/>
      <c r="HS38" s="600"/>
      <c r="HT38" s="600"/>
      <c r="HU38" s="600"/>
      <c r="HV38" s="600"/>
      <c r="HW38" s="600"/>
      <c r="HX38" s="600"/>
      <c r="HY38" s="600"/>
      <c r="HZ38" s="600"/>
      <c r="IA38" s="600"/>
      <c r="IB38" s="600"/>
      <c r="IC38" s="600"/>
      <c r="ID38" s="600"/>
      <c r="IE38" s="600"/>
      <c r="IF38" s="600"/>
      <c r="IG38" s="600"/>
      <c r="IH38" s="600"/>
      <c r="II38" s="600"/>
      <c r="IJ38" s="600"/>
      <c r="IK38" s="600"/>
      <c r="IL38" s="600"/>
      <c r="IM38" s="600"/>
      <c r="IN38" s="600"/>
      <c r="IO38" s="600"/>
      <c r="IP38" s="600"/>
      <c r="IQ38" s="600"/>
      <c r="IR38" s="600"/>
      <c r="IS38" s="600"/>
    </row>
    <row r="39" spans="1:253" s="601" customFormat="1">
      <c r="A39" s="463" t="s">
        <v>156</v>
      </c>
      <c r="B39" s="460">
        <f>'Sources and Uses Budget'!$C38</f>
        <v>75000</v>
      </c>
      <c r="C39" s="460">
        <f>'Sources and Uses Budget'!$C38</f>
        <v>75000</v>
      </c>
      <c r="D39" s="464">
        <f t="shared" si="0"/>
        <v>0</v>
      </c>
      <c r="E39" s="462"/>
      <c r="F39" s="461"/>
      <c r="G39" s="605"/>
      <c r="H39" s="600"/>
      <c r="I39" s="600"/>
      <c r="J39" s="600"/>
      <c r="K39" s="600"/>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c r="AR39" s="600"/>
      <c r="AS39" s="600"/>
      <c r="AT39" s="600"/>
      <c r="AU39" s="600"/>
      <c r="AV39" s="600"/>
      <c r="AW39" s="600"/>
      <c r="AX39" s="600"/>
      <c r="AY39" s="600"/>
      <c r="AZ39" s="600"/>
      <c r="BA39" s="600"/>
      <c r="BB39" s="600"/>
      <c r="BC39" s="600"/>
      <c r="BD39" s="600"/>
      <c r="BE39" s="600"/>
      <c r="BF39" s="600"/>
      <c r="BG39" s="600"/>
      <c r="BH39" s="600"/>
      <c r="BI39" s="600"/>
      <c r="BJ39" s="600"/>
      <c r="BK39" s="600"/>
      <c r="BL39" s="600"/>
      <c r="BM39" s="600"/>
      <c r="BN39" s="600"/>
      <c r="BO39" s="600"/>
      <c r="BP39" s="600"/>
      <c r="BQ39" s="600"/>
      <c r="BR39" s="600"/>
      <c r="BS39" s="600"/>
      <c r="BT39" s="600"/>
      <c r="BU39" s="600"/>
      <c r="BV39" s="600"/>
      <c r="BW39" s="600"/>
      <c r="BX39" s="600"/>
      <c r="BY39" s="600"/>
      <c r="BZ39" s="600"/>
      <c r="CA39" s="600"/>
      <c r="CB39" s="600"/>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c r="EQ39" s="600"/>
      <c r="ER39" s="600"/>
      <c r="ES39" s="600"/>
      <c r="ET39" s="600"/>
      <c r="EU39" s="600"/>
      <c r="EV39" s="600"/>
      <c r="EW39" s="600"/>
      <c r="EX39" s="600"/>
      <c r="EY39" s="600"/>
      <c r="EZ39" s="600"/>
      <c r="FA39" s="600"/>
      <c r="FB39" s="600"/>
      <c r="FC39" s="600"/>
      <c r="FD39" s="600"/>
      <c r="FE39" s="600"/>
      <c r="FF39" s="600"/>
      <c r="FG39" s="600"/>
      <c r="FH39" s="600"/>
      <c r="FI39" s="600"/>
      <c r="FJ39" s="600"/>
      <c r="FK39" s="600"/>
      <c r="FL39" s="600"/>
      <c r="FM39" s="600"/>
      <c r="FN39" s="600"/>
      <c r="FO39" s="600"/>
      <c r="FP39" s="600"/>
      <c r="FQ39" s="600"/>
      <c r="FR39" s="600"/>
      <c r="FS39" s="600"/>
      <c r="FT39" s="600"/>
      <c r="FU39" s="600"/>
      <c r="FV39" s="600"/>
      <c r="FW39" s="600"/>
      <c r="FX39" s="600"/>
      <c r="FY39" s="600"/>
      <c r="FZ39" s="600"/>
      <c r="GA39" s="600"/>
      <c r="GB39" s="600"/>
      <c r="GC39" s="600"/>
      <c r="GD39" s="600"/>
      <c r="GE39" s="600"/>
      <c r="GF39" s="600"/>
      <c r="GG39" s="600"/>
      <c r="GH39" s="600"/>
      <c r="GI39" s="600"/>
      <c r="GJ39" s="600"/>
      <c r="GK39" s="600"/>
      <c r="GL39" s="600"/>
      <c r="GM39" s="600"/>
      <c r="GN39" s="600"/>
      <c r="GO39" s="600"/>
      <c r="GP39" s="600"/>
      <c r="GQ39" s="600"/>
      <c r="GR39" s="600"/>
      <c r="GS39" s="600"/>
      <c r="GT39" s="600"/>
      <c r="GU39" s="600"/>
      <c r="GV39" s="600"/>
      <c r="GW39" s="600"/>
      <c r="GX39" s="600"/>
      <c r="GY39" s="600"/>
      <c r="GZ39" s="600"/>
      <c r="HA39" s="600"/>
      <c r="HB39" s="600"/>
      <c r="HC39" s="600"/>
      <c r="HD39" s="600"/>
      <c r="HE39" s="600"/>
      <c r="HF39" s="600"/>
      <c r="HG39" s="600"/>
      <c r="HH39" s="600"/>
      <c r="HI39" s="600"/>
      <c r="HJ39" s="600"/>
      <c r="HK39" s="600"/>
      <c r="HL39" s="600"/>
      <c r="HM39" s="600"/>
      <c r="HN39" s="600"/>
      <c r="HO39" s="600"/>
      <c r="HP39" s="600"/>
      <c r="HQ39" s="600"/>
      <c r="HR39" s="600"/>
      <c r="HS39" s="600"/>
      <c r="HT39" s="600"/>
      <c r="HU39" s="600"/>
      <c r="HV39" s="600"/>
      <c r="HW39" s="600"/>
      <c r="HX39" s="600"/>
      <c r="HY39" s="600"/>
      <c r="HZ39" s="600"/>
      <c r="IA39" s="600"/>
      <c r="IB39" s="600"/>
      <c r="IC39" s="600"/>
      <c r="ID39" s="600"/>
      <c r="IE39" s="600"/>
      <c r="IF39" s="600"/>
      <c r="IG39" s="600"/>
      <c r="IH39" s="600"/>
      <c r="II39" s="600"/>
      <c r="IJ39" s="600"/>
      <c r="IK39" s="600"/>
      <c r="IL39" s="600"/>
      <c r="IM39" s="600"/>
      <c r="IN39" s="600"/>
      <c r="IO39" s="600"/>
      <c r="IP39" s="600"/>
      <c r="IQ39" s="600"/>
      <c r="IR39" s="600"/>
      <c r="IS39" s="600"/>
    </row>
    <row r="40" spans="1:253" s="601" customFormat="1">
      <c r="A40" s="463" t="s">
        <v>157</v>
      </c>
      <c r="B40" s="460">
        <f>'Sources and Uses Budget'!$C39</f>
        <v>25000</v>
      </c>
      <c r="C40" s="460">
        <f>'Sources and Uses Budget'!$C39</f>
        <v>25000</v>
      </c>
      <c r="D40" s="464">
        <f t="shared" si="0"/>
        <v>0</v>
      </c>
      <c r="E40" s="462"/>
      <c r="F40" s="461"/>
      <c r="G40" s="605"/>
      <c r="H40" s="600"/>
      <c r="I40" s="600"/>
      <c r="J40" s="600"/>
      <c r="K40" s="600"/>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c r="AR40" s="600"/>
      <c r="AS40" s="600"/>
      <c r="AT40" s="600"/>
      <c r="AU40" s="600"/>
      <c r="AV40" s="600"/>
      <c r="AW40" s="600"/>
      <c r="AX40" s="600"/>
      <c r="AY40" s="600"/>
      <c r="AZ40" s="600"/>
      <c r="BA40" s="600"/>
      <c r="BB40" s="600"/>
      <c r="BC40" s="600"/>
      <c r="BD40" s="600"/>
      <c r="BE40" s="600"/>
      <c r="BF40" s="600"/>
      <c r="BG40" s="600"/>
      <c r="BH40" s="600"/>
      <c r="BI40" s="600"/>
      <c r="BJ40" s="600"/>
      <c r="BK40" s="600"/>
      <c r="BL40" s="600"/>
      <c r="BM40" s="600"/>
      <c r="BN40" s="600"/>
      <c r="BO40" s="600"/>
      <c r="BP40" s="600"/>
      <c r="BQ40" s="600"/>
      <c r="BR40" s="600"/>
      <c r="BS40" s="600"/>
      <c r="BT40" s="600"/>
      <c r="BU40" s="600"/>
      <c r="BV40" s="600"/>
      <c r="BW40" s="600"/>
      <c r="BX40" s="600"/>
      <c r="BY40" s="600"/>
      <c r="BZ40" s="600"/>
      <c r="CA40" s="600"/>
      <c r="CB40" s="600"/>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c r="EQ40" s="600"/>
      <c r="ER40" s="600"/>
      <c r="ES40" s="600"/>
      <c r="ET40" s="600"/>
      <c r="EU40" s="600"/>
      <c r="EV40" s="600"/>
      <c r="EW40" s="600"/>
      <c r="EX40" s="600"/>
      <c r="EY40" s="600"/>
      <c r="EZ40" s="600"/>
      <c r="FA40" s="600"/>
      <c r="FB40" s="600"/>
      <c r="FC40" s="600"/>
      <c r="FD40" s="600"/>
      <c r="FE40" s="600"/>
      <c r="FF40" s="600"/>
      <c r="FG40" s="600"/>
      <c r="FH40" s="600"/>
      <c r="FI40" s="600"/>
      <c r="FJ40" s="600"/>
      <c r="FK40" s="600"/>
      <c r="FL40" s="600"/>
      <c r="FM40" s="600"/>
      <c r="FN40" s="600"/>
      <c r="FO40" s="600"/>
      <c r="FP40" s="600"/>
      <c r="FQ40" s="600"/>
      <c r="FR40" s="600"/>
      <c r="FS40" s="600"/>
      <c r="FT40" s="600"/>
      <c r="FU40" s="600"/>
      <c r="FV40" s="600"/>
      <c r="FW40" s="600"/>
      <c r="FX40" s="600"/>
      <c r="FY40" s="600"/>
      <c r="FZ40" s="600"/>
      <c r="GA40" s="600"/>
      <c r="GB40" s="600"/>
      <c r="GC40" s="600"/>
      <c r="GD40" s="600"/>
      <c r="GE40" s="600"/>
      <c r="GF40" s="600"/>
      <c r="GG40" s="600"/>
      <c r="GH40" s="600"/>
      <c r="GI40" s="600"/>
      <c r="GJ40" s="600"/>
      <c r="GK40" s="600"/>
      <c r="GL40" s="600"/>
      <c r="GM40" s="600"/>
      <c r="GN40" s="600"/>
      <c r="GO40" s="600"/>
      <c r="GP40" s="600"/>
      <c r="GQ40" s="600"/>
      <c r="GR40" s="600"/>
      <c r="GS40" s="600"/>
      <c r="GT40" s="600"/>
      <c r="GU40" s="600"/>
      <c r="GV40" s="600"/>
      <c r="GW40" s="600"/>
      <c r="GX40" s="600"/>
      <c r="GY40" s="600"/>
      <c r="GZ40" s="600"/>
      <c r="HA40" s="600"/>
      <c r="HB40" s="600"/>
      <c r="HC40" s="600"/>
      <c r="HD40" s="600"/>
      <c r="HE40" s="600"/>
      <c r="HF40" s="600"/>
      <c r="HG40" s="600"/>
      <c r="HH40" s="600"/>
      <c r="HI40" s="600"/>
      <c r="HJ40" s="600"/>
      <c r="HK40" s="600"/>
      <c r="HL40" s="600"/>
      <c r="HM40" s="600"/>
      <c r="HN40" s="600"/>
      <c r="HO40" s="600"/>
      <c r="HP40" s="600"/>
      <c r="HQ40" s="600"/>
      <c r="HR40" s="600"/>
      <c r="HS40" s="600"/>
      <c r="HT40" s="600"/>
      <c r="HU40" s="600"/>
      <c r="HV40" s="600"/>
      <c r="HW40" s="600"/>
      <c r="HX40" s="600"/>
      <c r="HY40" s="600"/>
      <c r="HZ40" s="600"/>
      <c r="IA40" s="600"/>
      <c r="IB40" s="600"/>
      <c r="IC40" s="600"/>
      <c r="ID40" s="600"/>
      <c r="IE40" s="600"/>
      <c r="IF40" s="600"/>
      <c r="IG40" s="600"/>
      <c r="IH40" s="600"/>
      <c r="II40" s="600"/>
      <c r="IJ40" s="600"/>
      <c r="IK40" s="600"/>
      <c r="IL40" s="600"/>
      <c r="IM40" s="600"/>
      <c r="IN40" s="600"/>
      <c r="IO40" s="600"/>
      <c r="IP40" s="600"/>
      <c r="IQ40" s="600"/>
      <c r="IR40" s="600"/>
      <c r="IS40" s="600"/>
    </row>
    <row r="41" spans="1:253" s="601" customFormat="1">
      <c r="A41" s="465" t="s">
        <v>158</v>
      </c>
      <c r="B41" s="464">
        <f>SUM(B39:B40)</f>
        <v>100000</v>
      </c>
      <c r="C41" s="464">
        <f>SUM(C39:C40)</f>
        <v>100000</v>
      </c>
      <c r="D41" s="464">
        <f t="shared" si="0"/>
        <v>0</v>
      </c>
      <c r="E41" s="462"/>
      <c r="F41" s="461"/>
      <c r="G41" s="605"/>
      <c r="H41" s="600"/>
      <c r="I41" s="600"/>
      <c r="J41" s="600"/>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c r="EQ41" s="600"/>
      <c r="ER41" s="600"/>
      <c r="ES41" s="600"/>
      <c r="ET41" s="600"/>
      <c r="EU41" s="600"/>
      <c r="EV41" s="600"/>
      <c r="EW41" s="600"/>
      <c r="EX41" s="600"/>
      <c r="EY41" s="600"/>
      <c r="EZ41" s="600"/>
      <c r="FA41" s="600"/>
      <c r="FB41" s="600"/>
      <c r="FC41" s="600"/>
      <c r="FD41" s="600"/>
      <c r="FE41" s="600"/>
      <c r="FF41" s="600"/>
      <c r="FG41" s="600"/>
      <c r="FH41" s="600"/>
      <c r="FI41" s="600"/>
      <c r="FJ41" s="600"/>
      <c r="FK41" s="600"/>
      <c r="FL41" s="600"/>
      <c r="FM41" s="600"/>
      <c r="FN41" s="600"/>
      <c r="FO41" s="600"/>
      <c r="FP41" s="600"/>
      <c r="FQ41" s="600"/>
      <c r="FR41" s="600"/>
      <c r="FS41" s="600"/>
      <c r="FT41" s="600"/>
      <c r="FU41" s="600"/>
      <c r="FV41" s="600"/>
      <c r="FW41" s="600"/>
      <c r="FX41" s="600"/>
      <c r="FY41" s="600"/>
      <c r="FZ41" s="600"/>
      <c r="GA41" s="600"/>
      <c r="GB41" s="600"/>
      <c r="GC41" s="600"/>
      <c r="GD41" s="600"/>
      <c r="GE41" s="600"/>
      <c r="GF41" s="600"/>
      <c r="GG41" s="600"/>
      <c r="GH41" s="600"/>
      <c r="GI41" s="600"/>
      <c r="GJ41" s="600"/>
      <c r="GK41" s="600"/>
      <c r="GL41" s="600"/>
      <c r="GM41" s="600"/>
      <c r="GN41" s="600"/>
      <c r="GO41" s="600"/>
      <c r="GP41" s="600"/>
      <c r="GQ41" s="600"/>
      <c r="GR41" s="600"/>
      <c r="GS41" s="600"/>
      <c r="GT41" s="600"/>
      <c r="GU41" s="600"/>
      <c r="GV41" s="600"/>
      <c r="GW41" s="600"/>
      <c r="GX41" s="600"/>
      <c r="GY41" s="600"/>
      <c r="GZ41" s="600"/>
      <c r="HA41" s="600"/>
      <c r="HB41" s="600"/>
      <c r="HC41" s="600"/>
      <c r="HD41" s="600"/>
      <c r="HE41" s="600"/>
      <c r="HF41" s="600"/>
      <c r="HG41" s="600"/>
      <c r="HH41" s="600"/>
      <c r="HI41" s="600"/>
      <c r="HJ41" s="600"/>
      <c r="HK41" s="600"/>
      <c r="HL41" s="600"/>
      <c r="HM41" s="600"/>
      <c r="HN41" s="600"/>
      <c r="HO41" s="600"/>
      <c r="HP41" s="600"/>
      <c r="HQ41" s="600"/>
      <c r="HR41" s="600"/>
      <c r="HS41" s="600"/>
      <c r="HT41" s="600"/>
      <c r="HU41" s="600"/>
      <c r="HV41" s="600"/>
      <c r="HW41" s="600"/>
      <c r="HX41" s="600"/>
      <c r="HY41" s="600"/>
      <c r="HZ41" s="600"/>
      <c r="IA41" s="600"/>
      <c r="IB41" s="600"/>
      <c r="IC41" s="600"/>
      <c r="ID41" s="600"/>
      <c r="IE41" s="600"/>
      <c r="IF41" s="600"/>
      <c r="IG41" s="600"/>
      <c r="IH41" s="600"/>
      <c r="II41" s="600"/>
      <c r="IJ41" s="600"/>
      <c r="IK41" s="600"/>
      <c r="IL41" s="600"/>
      <c r="IM41" s="600"/>
      <c r="IN41" s="600"/>
      <c r="IO41" s="600"/>
      <c r="IP41" s="600"/>
      <c r="IQ41" s="600"/>
      <c r="IR41" s="600"/>
      <c r="IS41" s="600"/>
    </row>
    <row r="42" spans="1:253" s="601" customFormat="1">
      <c r="A42" s="465" t="s">
        <v>159</v>
      </c>
      <c r="B42" s="460">
        <f>'Sources and Uses Budget'!$C41</f>
        <v>35000</v>
      </c>
      <c r="C42" s="460">
        <f>'Sources and Uses Budget'!$C41</f>
        <v>35000</v>
      </c>
      <c r="D42" s="464">
        <f t="shared" si="0"/>
        <v>0</v>
      </c>
      <c r="E42" s="462"/>
      <c r="F42" s="461"/>
      <c r="G42" s="605"/>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0"/>
      <c r="AZ42" s="600"/>
      <c r="BA42" s="600"/>
      <c r="BB42" s="600"/>
      <c r="BC42" s="600"/>
      <c r="BD42" s="600"/>
      <c r="BE42" s="600"/>
      <c r="BF42" s="600"/>
      <c r="BG42" s="600"/>
      <c r="BH42" s="600"/>
      <c r="BI42" s="600"/>
      <c r="BJ42" s="600"/>
      <c r="BK42" s="600"/>
      <c r="BL42" s="600"/>
      <c r="BM42" s="600"/>
      <c r="BN42" s="600"/>
      <c r="BO42" s="600"/>
      <c r="BP42" s="600"/>
      <c r="BQ42" s="600"/>
      <c r="BR42" s="600"/>
      <c r="BS42" s="600"/>
      <c r="BT42" s="600"/>
      <c r="BU42" s="600"/>
      <c r="BV42" s="600"/>
      <c r="BW42" s="600"/>
      <c r="BX42" s="600"/>
      <c r="BY42" s="600"/>
      <c r="BZ42" s="600"/>
      <c r="CA42" s="600"/>
      <c r="CB42" s="600"/>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c r="EQ42" s="600"/>
      <c r="ER42" s="600"/>
      <c r="ES42" s="600"/>
      <c r="ET42" s="600"/>
      <c r="EU42" s="600"/>
      <c r="EV42" s="600"/>
      <c r="EW42" s="600"/>
      <c r="EX42" s="600"/>
      <c r="EY42" s="600"/>
      <c r="EZ42" s="600"/>
      <c r="FA42" s="600"/>
      <c r="FB42" s="600"/>
      <c r="FC42" s="600"/>
      <c r="FD42" s="600"/>
      <c r="FE42" s="600"/>
      <c r="FF42" s="600"/>
      <c r="FG42" s="600"/>
      <c r="FH42" s="600"/>
      <c r="FI42" s="600"/>
      <c r="FJ42" s="600"/>
      <c r="FK42" s="600"/>
      <c r="FL42" s="600"/>
      <c r="FM42" s="600"/>
      <c r="FN42" s="600"/>
      <c r="FO42" s="600"/>
      <c r="FP42" s="600"/>
      <c r="FQ42" s="600"/>
      <c r="FR42" s="600"/>
      <c r="FS42" s="600"/>
      <c r="FT42" s="600"/>
      <c r="FU42" s="600"/>
      <c r="FV42" s="600"/>
      <c r="FW42" s="600"/>
      <c r="FX42" s="600"/>
      <c r="FY42" s="600"/>
      <c r="FZ42" s="600"/>
      <c r="GA42" s="600"/>
      <c r="GB42" s="600"/>
      <c r="GC42" s="600"/>
      <c r="GD42" s="600"/>
      <c r="GE42" s="600"/>
      <c r="GF42" s="600"/>
      <c r="GG42" s="600"/>
      <c r="GH42" s="600"/>
      <c r="GI42" s="600"/>
      <c r="GJ42" s="600"/>
      <c r="GK42" s="600"/>
      <c r="GL42" s="600"/>
      <c r="GM42" s="600"/>
      <c r="GN42" s="600"/>
      <c r="GO42" s="600"/>
      <c r="GP42" s="600"/>
      <c r="GQ42" s="600"/>
      <c r="GR42" s="600"/>
      <c r="GS42" s="600"/>
      <c r="GT42" s="600"/>
      <c r="GU42" s="600"/>
      <c r="GV42" s="600"/>
      <c r="GW42" s="600"/>
      <c r="GX42" s="600"/>
      <c r="GY42" s="600"/>
      <c r="GZ42" s="600"/>
      <c r="HA42" s="600"/>
      <c r="HB42" s="600"/>
      <c r="HC42" s="600"/>
      <c r="HD42" s="600"/>
      <c r="HE42" s="600"/>
      <c r="HF42" s="600"/>
      <c r="HG42" s="600"/>
      <c r="HH42" s="600"/>
      <c r="HI42" s="600"/>
      <c r="HJ42" s="600"/>
      <c r="HK42" s="600"/>
      <c r="HL42" s="600"/>
      <c r="HM42" s="600"/>
      <c r="HN42" s="600"/>
      <c r="HO42" s="600"/>
      <c r="HP42" s="600"/>
      <c r="HQ42" s="600"/>
      <c r="HR42" s="600"/>
      <c r="HS42" s="600"/>
      <c r="HT42" s="600"/>
      <c r="HU42" s="600"/>
      <c r="HV42" s="600"/>
      <c r="HW42" s="600"/>
      <c r="HX42" s="600"/>
      <c r="HY42" s="600"/>
      <c r="HZ42" s="600"/>
      <c r="IA42" s="600"/>
      <c r="IB42" s="600"/>
      <c r="IC42" s="600"/>
      <c r="ID42" s="600"/>
      <c r="IE42" s="600"/>
      <c r="IF42" s="600"/>
      <c r="IG42" s="600"/>
      <c r="IH42" s="600"/>
      <c r="II42" s="600"/>
      <c r="IJ42" s="600"/>
      <c r="IK42" s="600"/>
      <c r="IL42" s="600"/>
      <c r="IM42" s="600"/>
      <c r="IN42" s="600"/>
      <c r="IO42" s="600"/>
      <c r="IP42" s="600"/>
      <c r="IQ42" s="600"/>
      <c r="IR42" s="600"/>
      <c r="IS42" s="600"/>
    </row>
    <row r="43" spans="1:253" s="601" customFormat="1" ht="12" customHeight="1">
      <c r="A43" s="458" t="s">
        <v>160</v>
      </c>
      <c r="B43" s="458"/>
      <c r="C43" s="458"/>
      <c r="D43" s="458"/>
      <c r="E43" s="478"/>
      <c r="F43" s="458"/>
      <c r="G43" s="605"/>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c r="EQ43" s="600"/>
      <c r="ER43" s="600"/>
      <c r="ES43" s="600"/>
      <c r="ET43" s="600"/>
      <c r="EU43" s="600"/>
      <c r="EV43" s="600"/>
      <c r="EW43" s="600"/>
      <c r="EX43" s="600"/>
      <c r="EY43" s="600"/>
      <c r="EZ43" s="600"/>
      <c r="FA43" s="600"/>
      <c r="FB43" s="600"/>
      <c r="FC43" s="600"/>
      <c r="FD43" s="600"/>
      <c r="FE43" s="600"/>
      <c r="FF43" s="600"/>
      <c r="FG43" s="600"/>
      <c r="FH43" s="600"/>
      <c r="FI43" s="600"/>
      <c r="FJ43" s="600"/>
      <c r="FK43" s="600"/>
      <c r="FL43" s="600"/>
      <c r="FM43" s="600"/>
      <c r="FN43" s="600"/>
      <c r="FO43" s="600"/>
      <c r="FP43" s="600"/>
      <c r="FQ43" s="600"/>
      <c r="FR43" s="600"/>
      <c r="FS43" s="600"/>
      <c r="FT43" s="600"/>
      <c r="FU43" s="600"/>
      <c r="FV43" s="600"/>
      <c r="FW43" s="600"/>
      <c r="FX43" s="600"/>
      <c r="FY43" s="600"/>
      <c r="FZ43" s="600"/>
      <c r="GA43" s="600"/>
      <c r="GB43" s="600"/>
      <c r="GC43" s="600"/>
      <c r="GD43" s="600"/>
      <c r="GE43" s="600"/>
      <c r="GF43" s="600"/>
      <c r="GG43" s="600"/>
      <c r="GH43" s="600"/>
      <c r="GI43" s="600"/>
      <c r="GJ43" s="600"/>
      <c r="GK43" s="600"/>
      <c r="GL43" s="600"/>
      <c r="GM43" s="600"/>
      <c r="GN43" s="600"/>
      <c r="GO43" s="600"/>
      <c r="GP43" s="600"/>
      <c r="GQ43" s="600"/>
      <c r="GR43" s="600"/>
      <c r="GS43" s="600"/>
      <c r="GT43" s="600"/>
      <c r="GU43" s="600"/>
      <c r="GV43" s="600"/>
      <c r="GW43" s="600"/>
      <c r="GX43" s="600"/>
      <c r="GY43" s="600"/>
      <c r="GZ43" s="600"/>
      <c r="HA43" s="600"/>
      <c r="HB43" s="600"/>
      <c r="HC43" s="600"/>
      <c r="HD43" s="600"/>
      <c r="HE43" s="600"/>
      <c r="HF43" s="600"/>
      <c r="HG43" s="600"/>
      <c r="HH43" s="600"/>
      <c r="HI43" s="600"/>
      <c r="HJ43" s="600"/>
      <c r="HK43" s="600"/>
      <c r="HL43" s="600"/>
      <c r="HM43" s="600"/>
      <c r="HN43" s="600"/>
      <c r="HO43" s="600"/>
      <c r="HP43" s="600"/>
      <c r="HQ43" s="600"/>
      <c r="HR43" s="600"/>
      <c r="HS43" s="600"/>
      <c r="HT43" s="600"/>
      <c r="HU43" s="600"/>
      <c r="HV43" s="600"/>
      <c r="HW43" s="600"/>
      <c r="HX43" s="600"/>
      <c r="HY43" s="600"/>
      <c r="HZ43" s="600"/>
      <c r="IA43" s="600"/>
      <c r="IB43" s="600"/>
      <c r="IC43" s="600"/>
      <c r="ID43" s="600"/>
      <c r="IE43" s="600"/>
      <c r="IF43" s="600"/>
      <c r="IG43" s="600"/>
      <c r="IH43" s="600"/>
      <c r="II43" s="600"/>
      <c r="IJ43" s="600"/>
      <c r="IK43" s="600"/>
      <c r="IL43" s="600"/>
      <c r="IM43" s="600"/>
      <c r="IN43" s="600"/>
      <c r="IO43" s="600"/>
      <c r="IP43" s="600"/>
      <c r="IQ43" s="600"/>
      <c r="IR43" s="600"/>
      <c r="IS43" s="600"/>
    </row>
    <row r="44" spans="1:253" s="601" customFormat="1">
      <c r="A44" s="463" t="s">
        <v>161</v>
      </c>
      <c r="B44" s="460">
        <f>'Sources and Uses Budget'!$C43</f>
        <v>334342</v>
      </c>
      <c r="C44" s="460">
        <f>'Sources and Uses Budget'!$C43</f>
        <v>334342</v>
      </c>
      <c r="D44" s="464">
        <f t="shared" si="0"/>
        <v>0</v>
      </c>
      <c r="E44" s="462"/>
      <c r="F44" s="461"/>
      <c r="G44" s="605"/>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00"/>
      <c r="BA44" s="600"/>
      <c r="BB44" s="600"/>
      <c r="BC44" s="600"/>
      <c r="BD44" s="600"/>
      <c r="BE44" s="600"/>
      <c r="BF44" s="600"/>
      <c r="BG44" s="600"/>
      <c r="BH44" s="600"/>
      <c r="BI44" s="600"/>
      <c r="BJ44" s="600"/>
      <c r="BK44" s="600"/>
      <c r="BL44" s="600"/>
      <c r="BM44" s="600"/>
      <c r="BN44" s="600"/>
      <c r="BO44" s="600"/>
      <c r="BP44" s="600"/>
      <c r="BQ44" s="600"/>
      <c r="BR44" s="600"/>
      <c r="BS44" s="600"/>
      <c r="BT44" s="600"/>
      <c r="BU44" s="600"/>
      <c r="BV44" s="600"/>
      <c r="BW44" s="600"/>
      <c r="BX44" s="600"/>
      <c r="BY44" s="600"/>
      <c r="BZ44" s="600"/>
      <c r="CA44" s="600"/>
      <c r="CB44" s="600"/>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c r="EQ44" s="600"/>
      <c r="ER44" s="600"/>
      <c r="ES44" s="600"/>
      <c r="ET44" s="600"/>
      <c r="EU44" s="600"/>
      <c r="EV44" s="600"/>
      <c r="EW44" s="600"/>
      <c r="EX44" s="600"/>
      <c r="EY44" s="600"/>
      <c r="EZ44" s="600"/>
      <c r="FA44" s="600"/>
      <c r="FB44" s="600"/>
      <c r="FC44" s="600"/>
      <c r="FD44" s="600"/>
      <c r="FE44" s="600"/>
      <c r="FF44" s="600"/>
      <c r="FG44" s="600"/>
      <c r="FH44" s="600"/>
      <c r="FI44" s="600"/>
      <c r="FJ44" s="600"/>
      <c r="FK44" s="600"/>
      <c r="FL44" s="600"/>
      <c r="FM44" s="600"/>
      <c r="FN44" s="600"/>
      <c r="FO44" s="600"/>
      <c r="FP44" s="600"/>
      <c r="FQ44" s="600"/>
      <c r="FR44" s="600"/>
      <c r="FS44" s="600"/>
      <c r="FT44" s="600"/>
      <c r="FU44" s="600"/>
      <c r="FV44" s="600"/>
      <c r="FW44" s="600"/>
      <c r="FX44" s="600"/>
      <c r="FY44" s="600"/>
      <c r="FZ44" s="600"/>
      <c r="GA44" s="600"/>
      <c r="GB44" s="600"/>
      <c r="GC44" s="600"/>
      <c r="GD44" s="600"/>
      <c r="GE44" s="600"/>
      <c r="GF44" s="600"/>
      <c r="GG44" s="600"/>
      <c r="GH44" s="600"/>
      <c r="GI44" s="600"/>
      <c r="GJ44" s="600"/>
      <c r="GK44" s="600"/>
      <c r="GL44" s="600"/>
      <c r="GM44" s="600"/>
      <c r="GN44" s="600"/>
      <c r="GO44" s="600"/>
      <c r="GP44" s="600"/>
      <c r="GQ44" s="600"/>
      <c r="GR44" s="600"/>
      <c r="GS44" s="600"/>
      <c r="GT44" s="600"/>
      <c r="GU44" s="600"/>
      <c r="GV44" s="600"/>
      <c r="GW44" s="600"/>
      <c r="GX44" s="600"/>
      <c r="GY44" s="600"/>
      <c r="GZ44" s="600"/>
      <c r="HA44" s="600"/>
      <c r="HB44" s="600"/>
      <c r="HC44" s="600"/>
      <c r="HD44" s="600"/>
      <c r="HE44" s="600"/>
      <c r="HF44" s="600"/>
      <c r="HG44" s="600"/>
      <c r="HH44" s="600"/>
      <c r="HI44" s="600"/>
      <c r="HJ44" s="600"/>
      <c r="HK44" s="600"/>
      <c r="HL44" s="600"/>
      <c r="HM44" s="600"/>
      <c r="HN44" s="600"/>
      <c r="HO44" s="600"/>
      <c r="HP44" s="600"/>
      <c r="HQ44" s="600"/>
      <c r="HR44" s="600"/>
      <c r="HS44" s="600"/>
      <c r="HT44" s="600"/>
      <c r="HU44" s="600"/>
      <c r="HV44" s="600"/>
      <c r="HW44" s="600"/>
      <c r="HX44" s="600"/>
      <c r="HY44" s="600"/>
      <c r="HZ44" s="600"/>
      <c r="IA44" s="600"/>
      <c r="IB44" s="600"/>
      <c r="IC44" s="600"/>
      <c r="ID44" s="600"/>
      <c r="IE44" s="600"/>
      <c r="IF44" s="600"/>
      <c r="IG44" s="600"/>
      <c r="IH44" s="600"/>
      <c r="II44" s="600"/>
      <c r="IJ44" s="600"/>
      <c r="IK44" s="600"/>
      <c r="IL44" s="600"/>
      <c r="IM44" s="600"/>
      <c r="IN44" s="600"/>
      <c r="IO44" s="600"/>
      <c r="IP44" s="600"/>
      <c r="IQ44" s="600"/>
      <c r="IR44" s="600"/>
      <c r="IS44" s="600"/>
    </row>
    <row r="45" spans="1:253" s="601" customFormat="1">
      <c r="A45" s="463" t="s">
        <v>162</v>
      </c>
      <c r="B45" s="460">
        <f>'Sources and Uses Budget'!$C44</f>
        <v>0</v>
      </c>
      <c r="C45" s="460">
        <f>'Sources and Uses Budget'!$C44</f>
        <v>0</v>
      </c>
      <c r="D45" s="464">
        <f t="shared" si="0"/>
        <v>0</v>
      </c>
      <c r="E45" s="462"/>
      <c r="F45" s="461"/>
      <c r="G45" s="605"/>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00"/>
      <c r="BA45" s="600"/>
      <c r="BB45" s="600"/>
      <c r="BC45" s="600"/>
      <c r="BD45" s="600"/>
      <c r="BE45" s="600"/>
      <c r="BF45" s="600"/>
      <c r="BG45" s="600"/>
      <c r="BH45" s="600"/>
      <c r="BI45" s="600"/>
      <c r="BJ45" s="600"/>
      <c r="BK45" s="600"/>
      <c r="BL45" s="600"/>
      <c r="BM45" s="600"/>
      <c r="BN45" s="600"/>
      <c r="BO45" s="600"/>
      <c r="BP45" s="600"/>
      <c r="BQ45" s="600"/>
      <c r="BR45" s="600"/>
      <c r="BS45" s="600"/>
      <c r="BT45" s="600"/>
      <c r="BU45" s="600"/>
      <c r="BV45" s="600"/>
      <c r="BW45" s="600"/>
      <c r="BX45" s="600"/>
      <c r="BY45" s="600"/>
      <c r="BZ45" s="600"/>
      <c r="CA45" s="600"/>
      <c r="CB45" s="600"/>
      <c r="CC45" s="600"/>
      <c r="CD45" s="600"/>
      <c r="CE45" s="600"/>
      <c r="CF45" s="600"/>
      <c r="CG45" s="600"/>
      <c r="CH45" s="600"/>
      <c r="CI45" s="600"/>
      <c r="CJ45" s="600"/>
      <c r="CK45" s="600"/>
      <c r="CL45" s="600"/>
      <c r="CM45" s="600"/>
      <c r="CN45" s="600"/>
      <c r="CO45" s="600"/>
      <c r="CP45" s="600"/>
      <c r="CQ45" s="600"/>
      <c r="CR45" s="600"/>
      <c r="CS45" s="600"/>
      <c r="CT45" s="600"/>
      <c r="CU45" s="600"/>
      <c r="CV45" s="600"/>
      <c r="CW45" s="600"/>
      <c r="CX45" s="600"/>
      <c r="CY45" s="600"/>
      <c r="CZ45" s="600"/>
      <c r="DA45" s="600"/>
      <c r="DB45" s="600"/>
      <c r="DC45" s="600"/>
      <c r="DD45" s="600"/>
      <c r="DE45" s="600"/>
      <c r="DF45" s="600"/>
      <c r="DG45" s="600"/>
      <c r="DH45" s="600"/>
      <c r="DI45" s="600"/>
      <c r="DJ45" s="600"/>
      <c r="DK45" s="600"/>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c r="EM45" s="600"/>
      <c r="EN45" s="600"/>
      <c r="EO45" s="600"/>
      <c r="EP45" s="600"/>
      <c r="EQ45" s="600"/>
      <c r="ER45" s="600"/>
      <c r="ES45" s="600"/>
      <c r="ET45" s="600"/>
      <c r="EU45" s="600"/>
      <c r="EV45" s="600"/>
      <c r="EW45" s="600"/>
      <c r="EX45" s="600"/>
      <c r="EY45" s="600"/>
      <c r="EZ45" s="600"/>
      <c r="FA45" s="600"/>
      <c r="FB45" s="600"/>
      <c r="FC45" s="600"/>
      <c r="FD45" s="600"/>
      <c r="FE45" s="600"/>
      <c r="FF45" s="600"/>
      <c r="FG45" s="600"/>
      <c r="FH45" s="600"/>
      <c r="FI45" s="600"/>
      <c r="FJ45" s="600"/>
      <c r="FK45" s="600"/>
      <c r="FL45" s="600"/>
      <c r="FM45" s="600"/>
      <c r="FN45" s="600"/>
      <c r="FO45" s="600"/>
      <c r="FP45" s="600"/>
      <c r="FQ45" s="600"/>
      <c r="FR45" s="600"/>
      <c r="FS45" s="600"/>
      <c r="FT45" s="600"/>
      <c r="FU45" s="600"/>
      <c r="FV45" s="600"/>
      <c r="FW45" s="600"/>
      <c r="FX45" s="600"/>
      <c r="FY45" s="600"/>
      <c r="FZ45" s="600"/>
      <c r="GA45" s="600"/>
      <c r="GB45" s="600"/>
      <c r="GC45" s="600"/>
      <c r="GD45" s="600"/>
      <c r="GE45" s="600"/>
      <c r="GF45" s="600"/>
      <c r="GG45" s="600"/>
      <c r="GH45" s="600"/>
      <c r="GI45" s="600"/>
      <c r="GJ45" s="600"/>
      <c r="GK45" s="600"/>
      <c r="GL45" s="600"/>
      <c r="GM45" s="600"/>
      <c r="GN45" s="600"/>
      <c r="GO45" s="600"/>
      <c r="GP45" s="600"/>
      <c r="GQ45" s="600"/>
      <c r="GR45" s="600"/>
      <c r="GS45" s="600"/>
      <c r="GT45" s="600"/>
      <c r="GU45" s="600"/>
      <c r="GV45" s="600"/>
      <c r="GW45" s="600"/>
      <c r="GX45" s="600"/>
      <c r="GY45" s="600"/>
      <c r="GZ45" s="600"/>
      <c r="HA45" s="600"/>
      <c r="HB45" s="600"/>
      <c r="HC45" s="600"/>
      <c r="HD45" s="600"/>
      <c r="HE45" s="600"/>
      <c r="HF45" s="600"/>
      <c r="HG45" s="600"/>
      <c r="HH45" s="600"/>
      <c r="HI45" s="600"/>
      <c r="HJ45" s="600"/>
      <c r="HK45" s="600"/>
      <c r="HL45" s="600"/>
      <c r="HM45" s="600"/>
      <c r="HN45" s="600"/>
      <c r="HO45" s="600"/>
      <c r="HP45" s="600"/>
      <c r="HQ45" s="600"/>
      <c r="HR45" s="600"/>
      <c r="HS45" s="600"/>
      <c r="HT45" s="600"/>
      <c r="HU45" s="600"/>
      <c r="HV45" s="600"/>
      <c r="HW45" s="600"/>
      <c r="HX45" s="600"/>
      <c r="HY45" s="600"/>
      <c r="HZ45" s="600"/>
      <c r="IA45" s="600"/>
      <c r="IB45" s="600"/>
      <c r="IC45" s="600"/>
      <c r="ID45" s="600"/>
      <c r="IE45" s="600"/>
      <c r="IF45" s="600"/>
      <c r="IG45" s="600"/>
      <c r="IH45" s="600"/>
      <c r="II45" s="600"/>
      <c r="IJ45" s="600"/>
      <c r="IK45" s="600"/>
      <c r="IL45" s="600"/>
      <c r="IM45" s="600"/>
      <c r="IN45" s="600"/>
      <c r="IO45" s="600"/>
      <c r="IP45" s="600"/>
      <c r="IQ45" s="600"/>
      <c r="IR45" s="600"/>
      <c r="IS45" s="600"/>
    </row>
    <row r="46" spans="1:253" s="601" customFormat="1" ht="12" customHeight="1">
      <c r="A46" s="463" t="s">
        <v>163</v>
      </c>
      <c r="B46" s="460">
        <f>'Sources and Uses Budget'!$C45</f>
        <v>0</v>
      </c>
      <c r="C46" s="460">
        <f>'Sources and Uses Budget'!$C45</f>
        <v>0</v>
      </c>
      <c r="D46" s="464">
        <f t="shared" si="0"/>
        <v>0</v>
      </c>
      <c r="E46" s="462"/>
      <c r="F46" s="461"/>
      <c r="G46" s="605"/>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c r="AY46" s="600"/>
      <c r="AZ46" s="600"/>
      <c r="BA46" s="600"/>
      <c r="BB46" s="600"/>
      <c r="BC46" s="600"/>
      <c r="BD46" s="600"/>
      <c r="BE46" s="600"/>
      <c r="BF46" s="600"/>
      <c r="BG46" s="600"/>
      <c r="BH46" s="600"/>
      <c r="BI46" s="600"/>
      <c r="BJ46" s="600"/>
      <c r="BK46" s="600"/>
      <c r="BL46" s="600"/>
      <c r="BM46" s="600"/>
      <c r="BN46" s="600"/>
      <c r="BO46" s="600"/>
      <c r="BP46" s="600"/>
      <c r="BQ46" s="600"/>
      <c r="BR46" s="600"/>
      <c r="BS46" s="600"/>
      <c r="BT46" s="600"/>
      <c r="BU46" s="600"/>
      <c r="BV46" s="600"/>
      <c r="BW46" s="600"/>
      <c r="BX46" s="600"/>
      <c r="BY46" s="600"/>
      <c r="BZ46" s="600"/>
      <c r="CA46" s="600"/>
      <c r="CB46" s="600"/>
      <c r="CC46" s="600"/>
      <c r="CD46" s="600"/>
      <c r="CE46" s="600"/>
      <c r="CF46" s="600"/>
      <c r="CG46" s="600"/>
      <c r="CH46" s="600"/>
      <c r="CI46" s="600"/>
      <c r="CJ46" s="600"/>
      <c r="CK46" s="600"/>
      <c r="CL46" s="600"/>
      <c r="CM46" s="600"/>
      <c r="CN46" s="600"/>
      <c r="CO46" s="600"/>
      <c r="CP46" s="600"/>
      <c r="CQ46" s="600"/>
      <c r="CR46" s="600"/>
      <c r="CS46" s="600"/>
      <c r="CT46" s="600"/>
      <c r="CU46" s="600"/>
      <c r="CV46" s="600"/>
      <c r="CW46" s="600"/>
      <c r="CX46" s="600"/>
      <c r="CY46" s="600"/>
      <c r="CZ46" s="600"/>
      <c r="DA46" s="600"/>
      <c r="DB46" s="600"/>
      <c r="DC46" s="600"/>
      <c r="DD46" s="600"/>
      <c r="DE46" s="600"/>
      <c r="DF46" s="600"/>
      <c r="DG46" s="600"/>
      <c r="DH46" s="600"/>
      <c r="DI46" s="600"/>
      <c r="DJ46" s="600"/>
      <c r="DK46" s="600"/>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c r="EM46" s="600"/>
      <c r="EN46" s="600"/>
      <c r="EO46" s="600"/>
      <c r="EP46" s="600"/>
      <c r="EQ46" s="600"/>
      <c r="ER46" s="600"/>
      <c r="ES46" s="600"/>
      <c r="ET46" s="600"/>
      <c r="EU46" s="600"/>
      <c r="EV46" s="600"/>
      <c r="EW46" s="600"/>
      <c r="EX46" s="600"/>
      <c r="EY46" s="600"/>
      <c r="EZ46" s="600"/>
      <c r="FA46" s="600"/>
      <c r="FB46" s="600"/>
      <c r="FC46" s="600"/>
      <c r="FD46" s="600"/>
      <c r="FE46" s="600"/>
      <c r="FF46" s="600"/>
      <c r="FG46" s="600"/>
      <c r="FH46" s="600"/>
      <c r="FI46" s="600"/>
      <c r="FJ46" s="600"/>
      <c r="FK46" s="600"/>
      <c r="FL46" s="600"/>
      <c r="FM46" s="600"/>
      <c r="FN46" s="600"/>
      <c r="FO46" s="600"/>
      <c r="FP46" s="600"/>
      <c r="FQ46" s="600"/>
      <c r="FR46" s="600"/>
      <c r="FS46" s="600"/>
      <c r="FT46" s="600"/>
      <c r="FU46" s="600"/>
      <c r="FV46" s="600"/>
      <c r="FW46" s="600"/>
      <c r="FX46" s="600"/>
      <c r="FY46" s="600"/>
      <c r="FZ46" s="600"/>
      <c r="GA46" s="600"/>
      <c r="GB46" s="600"/>
      <c r="GC46" s="600"/>
      <c r="GD46" s="600"/>
      <c r="GE46" s="600"/>
      <c r="GF46" s="600"/>
      <c r="GG46" s="600"/>
      <c r="GH46" s="600"/>
      <c r="GI46" s="600"/>
      <c r="GJ46" s="600"/>
      <c r="GK46" s="600"/>
      <c r="GL46" s="600"/>
      <c r="GM46" s="600"/>
      <c r="GN46" s="600"/>
      <c r="GO46" s="600"/>
      <c r="GP46" s="600"/>
      <c r="GQ46" s="600"/>
      <c r="GR46" s="600"/>
      <c r="GS46" s="600"/>
      <c r="GT46" s="600"/>
      <c r="GU46" s="600"/>
      <c r="GV46" s="600"/>
      <c r="GW46" s="600"/>
      <c r="GX46" s="600"/>
      <c r="GY46" s="600"/>
      <c r="GZ46" s="600"/>
      <c r="HA46" s="600"/>
      <c r="HB46" s="600"/>
      <c r="HC46" s="600"/>
      <c r="HD46" s="600"/>
      <c r="HE46" s="600"/>
      <c r="HF46" s="600"/>
      <c r="HG46" s="600"/>
      <c r="HH46" s="600"/>
      <c r="HI46" s="600"/>
      <c r="HJ46" s="600"/>
      <c r="HK46" s="600"/>
      <c r="HL46" s="600"/>
      <c r="HM46" s="600"/>
      <c r="HN46" s="600"/>
      <c r="HO46" s="600"/>
      <c r="HP46" s="600"/>
      <c r="HQ46" s="600"/>
      <c r="HR46" s="600"/>
      <c r="HS46" s="600"/>
      <c r="HT46" s="600"/>
      <c r="HU46" s="600"/>
      <c r="HV46" s="600"/>
      <c r="HW46" s="600"/>
      <c r="HX46" s="600"/>
      <c r="HY46" s="600"/>
      <c r="HZ46" s="600"/>
      <c r="IA46" s="600"/>
      <c r="IB46" s="600"/>
      <c r="IC46" s="600"/>
      <c r="ID46" s="600"/>
      <c r="IE46" s="600"/>
      <c r="IF46" s="600"/>
      <c r="IG46" s="600"/>
      <c r="IH46" s="600"/>
      <c r="II46" s="600"/>
      <c r="IJ46" s="600"/>
      <c r="IK46" s="600"/>
      <c r="IL46" s="600"/>
      <c r="IM46" s="600"/>
      <c r="IN46" s="600"/>
      <c r="IO46" s="600"/>
      <c r="IP46" s="600"/>
      <c r="IQ46" s="600"/>
      <c r="IR46" s="600"/>
      <c r="IS46" s="600"/>
    </row>
    <row r="47" spans="1:253" s="601" customFormat="1">
      <c r="A47" s="463" t="s">
        <v>164</v>
      </c>
      <c r="B47" s="460">
        <f>'Sources and Uses Budget'!$C46</f>
        <v>0</v>
      </c>
      <c r="C47" s="460">
        <f>'Sources and Uses Budget'!$C46</f>
        <v>0</v>
      </c>
      <c r="D47" s="464">
        <f t="shared" si="0"/>
        <v>0</v>
      </c>
      <c r="E47" s="462"/>
      <c r="F47" s="461"/>
      <c r="G47" s="605"/>
      <c r="H47" s="600"/>
      <c r="I47" s="600"/>
      <c r="J47" s="600"/>
      <c r="K47" s="600"/>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c r="AY47" s="600"/>
      <c r="AZ47" s="600"/>
      <c r="BA47" s="600"/>
      <c r="BB47" s="600"/>
      <c r="BC47" s="600"/>
      <c r="BD47" s="600"/>
      <c r="BE47" s="600"/>
      <c r="BF47" s="600"/>
      <c r="BG47" s="600"/>
      <c r="BH47" s="600"/>
      <c r="BI47" s="600"/>
      <c r="BJ47" s="600"/>
      <c r="BK47" s="600"/>
      <c r="BL47" s="600"/>
      <c r="BM47" s="600"/>
      <c r="BN47" s="600"/>
      <c r="BO47" s="600"/>
      <c r="BP47" s="600"/>
      <c r="BQ47" s="600"/>
      <c r="BR47" s="600"/>
      <c r="BS47" s="600"/>
      <c r="BT47" s="600"/>
      <c r="BU47" s="600"/>
      <c r="BV47" s="600"/>
      <c r="BW47" s="600"/>
      <c r="BX47" s="600"/>
      <c r="BY47" s="600"/>
      <c r="BZ47" s="600"/>
      <c r="CA47" s="600"/>
      <c r="CB47" s="600"/>
      <c r="CC47" s="600"/>
      <c r="CD47" s="600"/>
      <c r="CE47" s="600"/>
      <c r="CF47" s="600"/>
      <c r="CG47" s="600"/>
      <c r="CH47" s="600"/>
      <c r="CI47" s="600"/>
      <c r="CJ47" s="600"/>
      <c r="CK47" s="600"/>
      <c r="CL47" s="600"/>
      <c r="CM47" s="600"/>
      <c r="CN47" s="600"/>
      <c r="CO47" s="600"/>
      <c r="CP47" s="600"/>
      <c r="CQ47" s="600"/>
      <c r="CR47" s="600"/>
      <c r="CS47" s="600"/>
      <c r="CT47" s="600"/>
      <c r="CU47" s="600"/>
      <c r="CV47" s="600"/>
      <c r="CW47" s="600"/>
      <c r="CX47" s="600"/>
      <c r="CY47" s="600"/>
      <c r="CZ47" s="600"/>
      <c r="DA47" s="600"/>
      <c r="DB47" s="600"/>
      <c r="DC47" s="600"/>
      <c r="DD47" s="600"/>
      <c r="DE47" s="600"/>
      <c r="DF47" s="600"/>
      <c r="DG47" s="600"/>
      <c r="DH47" s="600"/>
      <c r="DI47" s="600"/>
      <c r="DJ47" s="600"/>
      <c r="DK47" s="600"/>
      <c r="DL47" s="600"/>
      <c r="DM47" s="600"/>
      <c r="DN47" s="600"/>
      <c r="DO47" s="600"/>
      <c r="DP47" s="600"/>
      <c r="DQ47" s="600"/>
      <c r="DR47" s="600"/>
      <c r="DS47" s="600"/>
      <c r="DT47" s="600"/>
      <c r="DU47" s="600"/>
      <c r="DV47" s="600"/>
      <c r="DW47" s="600"/>
      <c r="DX47" s="600"/>
      <c r="DY47" s="600"/>
      <c r="DZ47" s="600"/>
      <c r="EA47" s="600"/>
      <c r="EB47" s="600"/>
      <c r="EC47" s="600"/>
      <c r="ED47" s="600"/>
      <c r="EE47" s="600"/>
      <c r="EF47" s="600"/>
      <c r="EG47" s="600"/>
      <c r="EH47" s="600"/>
      <c r="EI47" s="600"/>
      <c r="EJ47" s="600"/>
      <c r="EK47" s="600"/>
      <c r="EL47" s="600"/>
      <c r="EM47" s="600"/>
      <c r="EN47" s="600"/>
      <c r="EO47" s="600"/>
      <c r="EP47" s="600"/>
      <c r="EQ47" s="600"/>
      <c r="ER47" s="600"/>
      <c r="ES47" s="600"/>
      <c r="ET47" s="600"/>
      <c r="EU47" s="600"/>
      <c r="EV47" s="600"/>
      <c r="EW47" s="600"/>
      <c r="EX47" s="600"/>
      <c r="EY47" s="600"/>
      <c r="EZ47" s="600"/>
      <c r="FA47" s="600"/>
      <c r="FB47" s="600"/>
      <c r="FC47" s="600"/>
      <c r="FD47" s="600"/>
      <c r="FE47" s="600"/>
      <c r="FF47" s="600"/>
      <c r="FG47" s="600"/>
      <c r="FH47" s="600"/>
      <c r="FI47" s="600"/>
      <c r="FJ47" s="600"/>
      <c r="FK47" s="600"/>
      <c r="FL47" s="600"/>
      <c r="FM47" s="600"/>
      <c r="FN47" s="600"/>
      <c r="FO47" s="600"/>
      <c r="FP47" s="600"/>
      <c r="FQ47" s="600"/>
      <c r="FR47" s="600"/>
      <c r="FS47" s="600"/>
      <c r="FT47" s="600"/>
      <c r="FU47" s="600"/>
      <c r="FV47" s="600"/>
      <c r="FW47" s="600"/>
      <c r="FX47" s="600"/>
      <c r="FY47" s="600"/>
      <c r="FZ47" s="600"/>
      <c r="GA47" s="600"/>
      <c r="GB47" s="600"/>
      <c r="GC47" s="600"/>
      <c r="GD47" s="600"/>
      <c r="GE47" s="600"/>
      <c r="GF47" s="600"/>
      <c r="GG47" s="600"/>
      <c r="GH47" s="600"/>
      <c r="GI47" s="600"/>
      <c r="GJ47" s="600"/>
      <c r="GK47" s="600"/>
      <c r="GL47" s="600"/>
      <c r="GM47" s="600"/>
      <c r="GN47" s="600"/>
      <c r="GO47" s="600"/>
      <c r="GP47" s="600"/>
      <c r="GQ47" s="600"/>
      <c r="GR47" s="600"/>
      <c r="GS47" s="600"/>
      <c r="GT47" s="600"/>
      <c r="GU47" s="600"/>
      <c r="GV47" s="600"/>
      <c r="GW47" s="600"/>
      <c r="GX47" s="600"/>
      <c r="GY47" s="600"/>
      <c r="GZ47" s="600"/>
      <c r="HA47" s="600"/>
      <c r="HB47" s="600"/>
      <c r="HC47" s="600"/>
      <c r="HD47" s="600"/>
      <c r="HE47" s="600"/>
      <c r="HF47" s="600"/>
      <c r="HG47" s="600"/>
      <c r="HH47" s="600"/>
      <c r="HI47" s="600"/>
      <c r="HJ47" s="600"/>
      <c r="HK47" s="600"/>
      <c r="HL47" s="600"/>
      <c r="HM47" s="600"/>
      <c r="HN47" s="600"/>
      <c r="HO47" s="600"/>
      <c r="HP47" s="600"/>
      <c r="HQ47" s="600"/>
      <c r="HR47" s="600"/>
      <c r="HS47" s="600"/>
      <c r="HT47" s="600"/>
      <c r="HU47" s="600"/>
      <c r="HV47" s="600"/>
      <c r="HW47" s="600"/>
      <c r="HX47" s="600"/>
      <c r="HY47" s="600"/>
      <c r="HZ47" s="600"/>
      <c r="IA47" s="600"/>
      <c r="IB47" s="600"/>
      <c r="IC47" s="600"/>
      <c r="ID47" s="600"/>
      <c r="IE47" s="600"/>
      <c r="IF47" s="600"/>
      <c r="IG47" s="600"/>
      <c r="IH47" s="600"/>
      <c r="II47" s="600"/>
      <c r="IJ47" s="600"/>
      <c r="IK47" s="600"/>
      <c r="IL47" s="600"/>
      <c r="IM47" s="600"/>
      <c r="IN47" s="600"/>
      <c r="IO47" s="600"/>
      <c r="IP47" s="600"/>
      <c r="IQ47" s="600"/>
      <c r="IR47" s="600"/>
      <c r="IS47" s="600"/>
    </row>
    <row r="48" spans="1:253" s="601" customFormat="1">
      <c r="A48" s="463" t="s">
        <v>63</v>
      </c>
      <c r="B48" s="460">
        <f>'Sources and Uses Budget'!$C47</f>
        <v>0</v>
      </c>
      <c r="C48" s="460">
        <f>'Sources and Uses Budget'!$C47</f>
        <v>0</v>
      </c>
      <c r="D48" s="464">
        <f t="shared" si="0"/>
        <v>0</v>
      </c>
      <c r="E48" s="462"/>
      <c r="F48" s="461"/>
      <c r="G48" s="605"/>
      <c r="H48" s="600"/>
      <c r="I48" s="600"/>
      <c r="J48" s="600"/>
      <c r="K48" s="600"/>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c r="AY48" s="600"/>
      <c r="AZ48" s="600"/>
      <c r="BA48" s="600"/>
      <c r="BB48" s="600"/>
      <c r="BC48" s="600"/>
      <c r="BD48" s="600"/>
      <c r="BE48" s="600"/>
      <c r="BF48" s="600"/>
      <c r="BG48" s="600"/>
      <c r="BH48" s="600"/>
      <c r="BI48" s="600"/>
      <c r="BJ48" s="600"/>
      <c r="BK48" s="600"/>
      <c r="BL48" s="600"/>
      <c r="BM48" s="600"/>
      <c r="BN48" s="600"/>
      <c r="BO48" s="600"/>
      <c r="BP48" s="600"/>
      <c r="BQ48" s="600"/>
      <c r="BR48" s="600"/>
      <c r="BS48" s="600"/>
      <c r="BT48" s="600"/>
      <c r="BU48" s="600"/>
      <c r="BV48" s="600"/>
      <c r="BW48" s="600"/>
      <c r="BX48" s="600"/>
      <c r="BY48" s="600"/>
      <c r="BZ48" s="600"/>
      <c r="CA48" s="600"/>
      <c r="CB48" s="600"/>
      <c r="CC48" s="600"/>
      <c r="CD48" s="600"/>
      <c r="CE48" s="600"/>
      <c r="CF48" s="600"/>
      <c r="CG48" s="600"/>
      <c r="CH48" s="600"/>
      <c r="CI48" s="600"/>
      <c r="CJ48" s="600"/>
      <c r="CK48" s="600"/>
      <c r="CL48" s="600"/>
      <c r="CM48" s="600"/>
      <c r="CN48" s="600"/>
      <c r="CO48" s="600"/>
      <c r="CP48" s="600"/>
      <c r="CQ48" s="600"/>
      <c r="CR48" s="600"/>
      <c r="CS48" s="600"/>
      <c r="CT48" s="600"/>
      <c r="CU48" s="600"/>
      <c r="CV48" s="600"/>
      <c r="CW48" s="600"/>
      <c r="CX48" s="600"/>
      <c r="CY48" s="600"/>
      <c r="CZ48" s="600"/>
      <c r="DA48" s="600"/>
      <c r="DB48" s="600"/>
      <c r="DC48" s="600"/>
      <c r="DD48" s="600"/>
      <c r="DE48" s="600"/>
      <c r="DF48" s="600"/>
      <c r="DG48" s="600"/>
      <c r="DH48" s="600"/>
      <c r="DI48" s="600"/>
      <c r="DJ48" s="600"/>
      <c r="DK48" s="600"/>
      <c r="DL48" s="600"/>
      <c r="DM48" s="600"/>
      <c r="DN48" s="600"/>
      <c r="DO48" s="600"/>
      <c r="DP48" s="600"/>
      <c r="DQ48" s="600"/>
      <c r="DR48" s="600"/>
      <c r="DS48" s="600"/>
      <c r="DT48" s="600"/>
      <c r="DU48" s="600"/>
      <c r="DV48" s="600"/>
      <c r="DW48" s="600"/>
      <c r="DX48" s="600"/>
      <c r="DY48" s="600"/>
      <c r="DZ48" s="600"/>
      <c r="EA48" s="600"/>
      <c r="EB48" s="600"/>
      <c r="EC48" s="600"/>
      <c r="ED48" s="600"/>
      <c r="EE48" s="600"/>
      <c r="EF48" s="600"/>
      <c r="EG48" s="600"/>
      <c r="EH48" s="600"/>
      <c r="EI48" s="600"/>
      <c r="EJ48" s="600"/>
      <c r="EK48" s="600"/>
      <c r="EL48" s="600"/>
      <c r="EM48" s="600"/>
      <c r="EN48" s="600"/>
      <c r="EO48" s="600"/>
      <c r="EP48" s="600"/>
      <c r="EQ48" s="600"/>
      <c r="ER48" s="600"/>
      <c r="ES48" s="600"/>
      <c r="ET48" s="600"/>
      <c r="EU48" s="600"/>
      <c r="EV48" s="600"/>
      <c r="EW48" s="600"/>
      <c r="EX48" s="600"/>
      <c r="EY48" s="600"/>
      <c r="EZ48" s="600"/>
      <c r="FA48" s="600"/>
      <c r="FB48" s="600"/>
      <c r="FC48" s="600"/>
      <c r="FD48" s="600"/>
      <c r="FE48" s="600"/>
      <c r="FF48" s="600"/>
      <c r="FG48" s="600"/>
      <c r="FH48" s="600"/>
      <c r="FI48" s="600"/>
      <c r="FJ48" s="600"/>
      <c r="FK48" s="600"/>
      <c r="FL48" s="600"/>
      <c r="FM48" s="600"/>
      <c r="FN48" s="600"/>
      <c r="FO48" s="600"/>
      <c r="FP48" s="600"/>
      <c r="FQ48" s="600"/>
      <c r="FR48" s="600"/>
      <c r="FS48" s="600"/>
      <c r="FT48" s="600"/>
      <c r="FU48" s="600"/>
      <c r="FV48" s="600"/>
      <c r="FW48" s="600"/>
      <c r="FX48" s="600"/>
      <c r="FY48" s="600"/>
      <c r="FZ48" s="600"/>
      <c r="GA48" s="600"/>
      <c r="GB48" s="600"/>
      <c r="GC48" s="600"/>
      <c r="GD48" s="600"/>
      <c r="GE48" s="600"/>
      <c r="GF48" s="600"/>
      <c r="GG48" s="600"/>
      <c r="GH48" s="600"/>
      <c r="GI48" s="600"/>
      <c r="GJ48" s="600"/>
      <c r="GK48" s="600"/>
      <c r="GL48" s="600"/>
      <c r="GM48" s="600"/>
      <c r="GN48" s="600"/>
      <c r="GO48" s="600"/>
      <c r="GP48" s="600"/>
      <c r="GQ48" s="600"/>
      <c r="GR48" s="600"/>
      <c r="GS48" s="600"/>
      <c r="GT48" s="600"/>
      <c r="GU48" s="600"/>
      <c r="GV48" s="600"/>
      <c r="GW48" s="600"/>
      <c r="GX48" s="600"/>
      <c r="GY48" s="600"/>
      <c r="GZ48" s="600"/>
      <c r="HA48" s="600"/>
      <c r="HB48" s="600"/>
      <c r="HC48" s="600"/>
      <c r="HD48" s="600"/>
      <c r="HE48" s="600"/>
      <c r="HF48" s="600"/>
      <c r="HG48" s="600"/>
      <c r="HH48" s="600"/>
      <c r="HI48" s="600"/>
      <c r="HJ48" s="600"/>
      <c r="HK48" s="600"/>
      <c r="HL48" s="600"/>
      <c r="HM48" s="600"/>
      <c r="HN48" s="600"/>
      <c r="HO48" s="600"/>
      <c r="HP48" s="600"/>
      <c r="HQ48" s="600"/>
      <c r="HR48" s="600"/>
      <c r="HS48" s="600"/>
      <c r="HT48" s="600"/>
      <c r="HU48" s="600"/>
      <c r="HV48" s="600"/>
      <c r="HW48" s="600"/>
      <c r="HX48" s="600"/>
      <c r="HY48" s="600"/>
      <c r="HZ48" s="600"/>
      <c r="IA48" s="600"/>
      <c r="IB48" s="600"/>
      <c r="IC48" s="600"/>
      <c r="ID48" s="600"/>
      <c r="IE48" s="600"/>
      <c r="IF48" s="600"/>
      <c r="IG48" s="600"/>
      <c r="IH48" s="600"/>
      <c r="II48" s="600"/>
      <c r="IJ48" s="600"/>
      <c r="IK48" s="600"/>
      <c r="IL48" s="600"/>
      <c r="IM48" s="600"/>
      <c r="IN48" s="600"/>
      <c r="IO48" s="600"/>
      <c r="IP48" s="600"/>
      <c r="IQ48" s="600"/>
      <c r="IR48" s="600"/>
      <c r="IS48" s="600"/>
    </row>
    <row r="49" spans="1:253" s="601" customFormat="1">
      <c r="A49" s="463" t="s">
        <v>167</v>
      </c>
      <c r="B49" s="460">
        <f>'Sources and Uses Budget'!$C48</f>
        <v>75000</v>
      </c>
      <c r="C49" s="460">
        <f>'Sources and Uses Budget'!$C48</f>
        <v>75000</v>
      </c>
      <c r="D49" s="464">
        <f t="shared" si="0"/>
        <v>0</v>
      </c>
      <c r="E49" s="462"/>
      <c r="F49" s="461"/>
      <c r="G49" s="605"/>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c r="AY49" s="600"/>
      <c r="AZ49" s="600"/>
      <c r="BA49" s="600"/>
      <c r="BB49" s="600"/>
      <c r="BC49" s="600"/>
      <c r="BD49" s="600"/>
      <c r="BE49" s="600"/>
      <c r="BF49" s="600"/>
      <c r="BG49" s="600"/>
      <c r="BH49" s="600"/>
      <c r="BI49" s="600"/>
      <c r="BJ49" s="600"/>
      <c r="BK49" s="600"/>
      <c r="BL49" s="600"/>
      <c r="BM49" s="600"/>
      <c r="BN49" s="600"/>
      <c r="BO49" s="600"/>
      <c r="BP49" s="600"/>
      <c r="BQ49" s="600"/>
      <c r="BR49" s="600"/>
      <c r="BS49" s="600"/>
      <c r="BT49" s="600"/>
      <c r="BU49" s="600"/>
      <c r="BV49" s="600"/>
      <c r="BW49" s="600"/>
      <c r="BX49" s="600"/>
      <c r="BY49" s="600"/>
      <c r="BZ49" s="600"/>
      <c r="CA49" s="600"/>
      <c r="CB49" s="600"/>
      <c r="CC49" s="600"/>
      <c r="CD49" s="600"/>
      <c r="CE49" s="600"/>
      <c r="CF49" s="600"/>
      <c r="CG49" s="600"/>
      <c r="CH49" s="600"/>
      <c r="CI49" s="600"/>
      <c r="CJ49" s="600"/>
      <c r="CK49" s="600"/>
      <c r="CL49" s="600"/>
      <c r="CM49" s="600"/>
      <c r="CN49" s="600"/>
      <c r="CO49" s="600"/>
      <c r="CP49" s="600"/>
      <c r="CQ49" s="600"/>
      <c r="CR49" s="600"/>
      <c r="CS49" s="600"/>
      <c r="CT49" s="600"/>
      <c r="CU49" s="600"/>
      <c r="CV49" s="600"/>
      <c r="CW49" s="600"/>
      <c r="CX49" s="600"/>
      <c r="CY49" s="600"/>
      <c r="CZ49" s="600"/>
      <c r="DA49" s="600"/>
      <c r="DB49" s="600"/>
      <c r="DC49" s="600"/>
      <c r="DD49" s="600"/>
      <c r="DE49" s="600"/>
      <c r="DF49" s="600"/>
      <c r="DG49" s="600"/>
      <c r="DH49" s="600"/>
      <c r="DI49" s="600"/>
      <c r="DJ49" s="600"/>
      <c r="DK49" s="600"/>
      <c r="DL49" s="600"/>
      <c r="DM49" s="600"/>
      <c r="DN49" s="600"/>
      <c r="DO49" s="600"/>
      <c r="DP49" s="600"/>
      <c r="DQ49" s="600"/>
      <c r="DR49" s="600"/>
      <c r="DS49" s="600"/>
      <c r="DT49" s="600"/>
      <c r="DU49" s="600"/>
      <c r="DV49" s="600"/>
      <c r="DW49" s="600"/>
      <c r="DX49" s="600"/>
      <c r="DY49" s="600"/>
      <c r="DZ49" s="600"/>
      <c r="EA49" s="600"/>
      <c r="EB49" s="600"/>
      <c r="EC49" s="600"/>
      <c r="ED49" s="600"/>
      <c r="EE49" s="600"/>
      <c r="EF49" s="600"/>
      <c r="EG49" s="600"/>
      <c r="EH49" s="600"/>
      <c r="EI49" s="600"/>
      <c r="EJ49" s="600"/>
      <c r="EK49" s="600"/>
      <c r="EL49" s="600"/>
      <c r="EM49" s="600"/>
      <c r="EN49" s="600"/>
      <c r="EO49" s="600"/>
      <c r="EP49" s="600"/>
      <c r="EQ49" s="600"/>
      <c r="ER49" s="600"/>
      <c r="ES49" s="600"/>
      <c r="ET49" s="600"/>
      <c r="EU49" s="600"/>
      <c r="EV49" s="600"/>
      <c r="EW49" s="600"/>
      <c r="EX49" s="600"/>
      <c r="EY49" s="600"/>
      <c r="EZ49" s="600"/>
      <c r="FA49" s="600"/>
      <c r="FB49" s="600"/>
      <c r="FC49" s="600"/>
      <c r="FD49" s="600"/>
      <c r="FE49" s="600"/>
      <c r="FF49" s="600"/>
      <c r="FG49" s="600"/>
      <c r="FH49" s="600"/>
      <c r="FI49" s="600"/>
      <c r="FJ49" s="600"/>
      <c r="FK49" s="600"/>
      <c r="FL49" s="600"/>
      <c r="FM49" s="600"/>
      <c r="FN49" s="600"/>
      <c r="FO49" s="600"/>
      <c r="FP49" s="600"/>
      <c r="FQ49" s="600"/>
      <c r="FR49" s="600"/>
      <c r="FS49" s="600"/>
      <c r="FT49" s="600"/>
      <c r="FU49" s="600"/>
      <c r="FV49" s="600"/>
      <c r="FW49" s="600"/>
      <c r="FX49" s="600"/>
      <c r="FY49" s="600"/>
      <c r="FZ49" s="600"/>
      <c r="GA49" s="600"/>
      <c r="GB49" s="600"/>
      <c r="GC49" s="600"/>
      <c r="GD49" s="600"/>
      <c r="GE49" s="600"/>
      <c r="GF49" s="600"/>
      <c r="GG49" s="600"/>
      <c r="GH49" s="600"/>
      <c r="GI49" s="600"/>
      <c r="GJ49" s="600"/>
      <c r="GK49" s="600"/>
      <c r="GL49" s="600"/>
      <c r="GM49" s="600"/>
      <c r="GN49" s="600"/>
      <c r="GO49" s="600"/>
      <c r="GP49" s="600"/>
      <c r="GQ49" s="600"/>
      <c r="GR49" s="600"/>
      <c r="GS49" s="600"/>
      <c r="GT49" s="600"/>
      <c r="GU49" s="600"/>
      <c r="GV49" s="600"/>
      <c r="GW49" s="600"/>
      <c r="GX49" s="600"/>
      <c r="GY49" s="600"/>
      <c r="GZ49" s="600"/>
      <c r="HA49" s="600"/>
      <c r="HB49" s="600"/>
      <c r="HC49" s="600"/>
      <c r="HD49" s="600"/>
      <c r="HE49" s="600"/>
      <c r="HF49" s="600"/>
      <c r="HG49" s="600"/>
      <c r="HH49" s="600"/>
      <c r="HI49" s="600"/>
      <c r="HJ49" s="600"/>
      <c r="HK49" s="600"/>
      <c r="HL49" s="600"/>
      <c r="HM49" s="600"/>
      <c r="HN49" s="600"/>
      <c r="HO49" s="600"/>
      <c r="HP49" s="600"/>
      <c r="HQ49" s="600"/>
      <c r="HR49" s="600"/>
      <c r="HS49" s="600"/>
      <c r="HT49" s="600"/>
      <c r="HU49" s="600"/>
      <c r="HV49" s="600"/>
      <c r="HW49" s="600"/>
      <c r="HX49" s="600"/>
      <c r="HY49" s="600"/>
      <c r="HZ49" s="600"/>
      <c r="IA49" s="600"/>
      <c r="IB49" s="600"/>
      <c r="IC49" s="600"/>
      <c r="ID49" s="600"/>
      <c r="IE49" s="600"/>
      <c r="IF49" s="600"/>
      <c r="IG49" s="600"/>
      <c r="IH49" s="600"/>
      <c r="II49" s="600"/>
      <c r="IJ49" s="600"/>
      <c r="IK49" s="600"/>
      <c r="IL49" s="600"/>
      <c r="IM49" s="600"/>
      <c r="IN49" s="600"/>
      <c r="IO49" s="600"/>
      <c r="IP49" s="600"/>
      <c r="IQ49" s="600"/>
      <c r="IR49" s="600"/>
      <c r="IS49" s="600"/>
    </row>
    <row r="50" spans="1:253" s="601" customFormat="1">
      <c r="A50" s="463" t="s">
        <v>165</v>
      </c>
      <c r="B50" s="460">
        <f>'Sources and Uses Budget'!$C49</f>
        <v>0</v>
      </c>
      <c r="C50" s="460">
        <f>'Sources and Uses Budget'!$C49</f>
        <v>0</v>
      </c>
      <c r="D50" s="464">
        <f t="shared" si="0"/>
        <v>0</v>
      </c>
      <c r="E50" s="462"/>
      <c r="F50" s="461"/>
      <c r="G50" s="605"/>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c r="AY50" s="600"/>
      <c r="AZ50" s="600"/>
      <c r="BA50" s="600"/>
      <c r="BB50" s="600"/>
      <c r="BC50" s="600"/>
      <c r="BD50" s="600"/>
      <c r="BE50" s="600"/>
      <c r="BF50" s="600"/>
      <c r="BG50" s="600"/>
      <c r="BH50" s="600"/>
      <c r="BI50" s="600"/>
      <c r="BJ50" s="600"/>
      <c r="BK50" s="600"/>
      <c r="BL50" s="600"/>
      <c r="BM50" s="600"/>
      <c r="BN50" s="600"/>
      <c r="BO50" s="600"/>
      <c r="BP50" s="600"/>
      <c r="BQ50" s="600"/>
      <c r="BR50" s="600"/>
      <c r="BS50" s="600"/>
      <c r="BT50" s="600"/>
      <c r="BU50" s="600"/>
      <c r="BV50" s="600"/>
      <c r="BW50" s="600"/>
      <c r="BX50" s="600"/>
      <c r="BY50" s="600"/>
      <c r="BZ50" s="600"/>
      <c r="CA50" s="600"/>
      <c r="CB50" s="600"/>
      <c r="CC50" s="600"/>
      <c r="CD50" s="600"/>
      <c r="CE50" s="600"/>
      <c r="CF50" s="600"/>
      <c r="CG50" s="600"/>
      <c r="CH50" s="600"/>
      <c r="CI50" s="600"/>
      <c r="CJ50" s="600"/>
      <c r="CK50" s="600"/>
      <c r="CL50" s="600"/>
      <c r="CM50" s="600"/>
      <c r="CN50" s="600"/>
      <c r="CO50" s="600"/>
      <c r="CP50" s="600"/>
      <c r="CQ50" s="600"/>
      <c r="CR50" s="600"/>
      <c r="CS50" s="600"/>
      <c r="CT50" s="600"/>
      <c r="CU50" s="600"/>
      <c r="CV50" s="600"/>
      <c r="CW50" s="600"/>
      <c r="CX50" s="600"/>
      <c r="CY50" s="600"/>
      <c r="CZ50" s="600"/>
      <c r="DA50" s="600"/>
      <c r="DB50" s="600"/>
      <c r="DC50" s="600"/>
      <c r="DD50" s="600"/>
      <c r="DE50" s="600"/>
      <c r="DF50" s="600"/>
      <c r="DG50" s="600"/>
      <c r="DH50" s="600"/>
      <c r="DI50" s="600"/>
      <c r="DJ50" s="600"/>
      <c r="DK50" s="600"/>
      <c r="DL50" s="600"/>
      <c r="DM50" s="600"/>
      <c r="DN50" s="600"/>
      <c r="DO50" s="600"/>
      <c r="DP50" s="600"/>
      <c r="DQ50" s="600"/>
      <c r="DR50" s="600"/>
      <c r="DS50" s="600"/>
      <c r="DT50" s="600"/>
      <c r="DU50" s="600"/>
      <c r="DV50" s="600"/>
      <c r="DW50" s="600"/>
      <c r="DX50" s="600"/>
      <c r="DY50" s="600"/>
      <c r="DZ50" s="600"/>
      <c r="EA50" s="600"/>
      <c r="EB50" s="600"/>
      <c r="EC50" s="600"/>
      <c r="ED50" s="600"/>
      <c r="EE50" s="600"/>
      <c r="EF50" s="600"/>
      <c r="EG50" s="600"/>
      <c r="EH50" s="600"/>
      <c r="EI50" s="600"/>
      <c r="EJ50" s="600"/>
      <c r="EK50" s="600"/>
      <c r="EL50" s="600"/>
      <c r="EM50" s="600"/>
      <c r="EN50" s="600"/>
      <c r="EO50" s="600"/>
      <c r="EP50" s="600"/>
      <c r="EQ50" s="600"/>
      <c r="ER50" s="600"/>
      <c r="ES50" s="600"/>
      <c r="ET50" s="600"/>
      <c r="EU50" s="600"/>
      <c r="EV50" s="600"/>
      <c r="EW50" s="600"/>
      <c r="EX50" s="600"/>
      <c r="EY50" s="600"/>
      <c r="EZ50" s="600"/>
      <c r="FA50" s="600"/>
      <c r="FB50" s="600"/>
      <c r="FC50" s="600"/>
      <c r="FD50" s="600"/>
      <c r="FE50" s="600"/>
      <c r="FF50" s="600"/>
      <c r="FG50" s="600"/>
      <c r="FH50" s="600"/>
      <c r="FI50" s="600"/>
      <c r="FJ50" s="600"/>
      <c r="FK50" s="600"/>
      <c r="FL50" s="600"/>
      <c r="FM50" s="600"/>
      <c r="FN50" s="600"/>
      <c r="FO50" s="600"/>
      <c r="FP50" s="600"/>
      <c r="FQ50" s="600"/>
      <c r="FR50" s="600"/>
      <c r="FS50" s="600"/>
      <c r="FT50" s="600"/>
      <c r="FU50" s="600"/>
      <c r="FV50" s="600"/>
      <c r="FW50" s="600"/>
      <c r="FX50" s="600"/>
      <c r="FY50" s="600"/>
      <c r="FZ50" s="600"/>
      <c r="GA50" s="600"/>
      <c r="GB50" s="600"/>
      <c r="GC50" s="600"/>
      <c r="GD50" s="600"/>
      <c r="GE50" s="600"/>
      <c r="GF50" s="600"/>
      <c r="GG50" s="600"/>
      <c r="GH50" s="600"/>
      <c r="GI50" s="600"/>
      <c r="GJ50" s="600"/>
      <c r="GK50" s="600"/>
      <c r="GL50" s="600"/>
      <c r="GM50" s="600"/>
      <c r="GN50" s="600"/>
      <c r="GO50" s="600"/>
      <c r="GP50" s="600"/>
      <c r="GQ50" s="600"/>
      <c r="GR50" s="600"/>
      <c r="GS50" s="600"/>
      <c r="GT50" s="600"/>
      <c r="GU50" s="600"/>
      <c r="GV50" s="600"/>
      <c r="GW50" s="600"/>
      <c r="GX50" s="600"/>
      <c r="GY50" s="600"/>
      <c r="GZ50" s="600"/>
      <c r="HA50" s="600"/>
      <c r="HB50" s="600"/>
      <c r="HC50" s="600"/>
      <c r="HD50" s="600"/>
      <c r="HE50" s="600"/>
      <c r="HF50" s="600"/>
      <c r="HG50" s="600"/>
      <c r="HH50" s="600"/>
      <c r="HI50" s="600"/>
      <c r="HJ50" s="600"/>
      <c r="HK50" s="600"/>
      <c r="HL50" s="600"/>
      <c r="HM50" s="600"/>
      <c r="HN50" s="600"/>
      <c r="HO50" s="600"/>
      <c r="HP50" s="600"/>
      <c r="HQ50" s="600"/>
      <c r="HR50" s="600"/>
      <c r="HS50" s="600"/>
      <c r="HT50" s="600"/>
      <c r="HU50" s="600"/>
      <c r="HV50" s="600"/>
      <c r="HW50" s="600"/>
      <c r="HX50" s="600"/>
      <c r="HY50" s="600"/>
      <c r="HZ50" s="600"/>
      <c r="IA50" s="600"/>
      <c r="IB50" s="600"/>
      <c r="IC50" s="600"/>
      <c r="ID50" s="600"/>
      <c r="IE50" s="600"/>
      <c r="IF50" s="600"/>
      <c r="IG50" s="600"/>
      <c r="IH50" s="600"/>
      <c r="II50" s="600"/>
      <c r="IJ50" s="600"/>
      <c r="IK50" s="600"/>
      <c r="IL50" s="600"/>
      <c r="IM50" s="600"/>
      <c r="IN50" s="600"/>
      <c r="IO50" s="600"/>
      <c r="IP50" s="600"/>
      <c r="IQ50" s="600"/>
      <c r="IR50" s="600"/>
      <c r="IS50" s="600"/>
    </row>
    <row r="51" spans="1:253" s="601" customFormat="1">
      <c r="A51" s="463" t="s">
        <v>166</v>
      </c>
      <c r="B51" s="460">
        <f>'Sources and Uses Budget'!$C50</f>
        <v>0</v>
      </c>
      <c r="C51" s="460">
        <f>'Sources and Uses Budget'!$C50</f>
        <v>0</v>
      </c>
      <c r="D51" s="464">
        <f t="shared" si="0"/>
        <v>0</v>
      </c>
      <c r="E51" s="462"/>
      <c r="F51" s="461"/>
      <c r="G51" s="605"/>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c r="AY51" s="600"/>
      <c r="AZ51" s="600"/>
      <c r="BA51" s="600"/>
      <c r="BB51" s="600"/>
      <c r="BC51" s="600"/>
      <c r="BD51" s="600"/>
      <c r="BE51" s="600"/>
      <c r="BF51" s="600"/>
      <c r="BG51" s="600"/>
      <c r="BH51" s="600"/>
      <c r="BI51" s="600"/>
      <c r="BJ51" s="600"/>
      <c r="BK51" s="600"/>
      <c r="BL51" s="600"/>
      <c r="BM51" s="600"/>
      <c r="BN51" s="600"/>
      <c r="BO51" s="600"/>
      <c r="BP51" s="600"/>
      <c r="BQ51" s="600"/>
      <c r="BR51" s="600"/>
      <c r="BS51" s="600"/>
      <c r="BT51" s="600"/>
      <c r="BU51" s="600"/>
      <c r="BV51" s="600"/>
      <c r="BW51" s="600"/>
      <c r="BX51" s="600"/>
      <c r="BY51" s="600"/>
      <c r="BZ51" s="600"/>
      <c r="CA51" s="600"/>
      <c r="CB51" s="600"/>
      <c r="CC51" s="600"/>
      <c r="CD51" s="600"/>
      <c r="CE51" s="600"/>
      <c r="CF51" s="600"/>
      <c r="CG51" s="600"/>
      <c r="CH51" s="600"/>
      <c r="CI51" s="600"/>
      <c r="CJ51" s="600"/>
      <c r="CK51" s="600"/>
      <c r="CL51" s="600"/>
      <c r="CM51" s="600"/>
      <c r="CN51" s="600"/>
      <c r="CO51" s="600"/>
      <c r="CP51" s="600"/>
      <c r="CQ51" s="600"/>
      <c r="CR51" s="600"/>
      <c r="CS51" s="600"/>
      <c r="CT51" s="600"/>
      <c r="CU51" s="600"/>
      <c r="CV51" s="600"/>
      <c r="CW51" s="600"/>
      <c r="CX51" s="600"/>
      <c r="CY51" s="600"/>
      <c r="CZ51" s="600"/>
      <c r="DA51" s="600"/>
      <c r="DB51" s="600"/>
      <c r="DC51" s="600"/>
      <c r="DD51" s="600"/>
      <c r="DE51" s="600"/>
      <c r="DF51" s="600"/>
      <c r="DG51" s="600"/>
      <c r="DH51" s="600"/>
      <c r="DI51" s="600"/>
      <c r="DJ51" s="600"/>
      <c r="DK51" s="600"/>
      <c r="DL51" s="600"/>
      <c r="DM51" s="600"/>
      <c r="DN51" s="600"/>
      <c r="DO51" s="600"/>
      <c r="DP51" s="600"/>
      <c r="DQ51" s="600"/>
      <c r="DR51" s="600"/>
      <c r="DS51" s="600"/>
      <c r="DT51" s="600"/>
      <c r="DU51" s="600"/>
      <c r="DV51" s="600"/>
      <c r="DW51" s="600"/>
      <c r="DX51" s="600"/>
      <c r="DY51" s="600"/>
      <c r="DZ51" s="600"/>
      <c r="EA51" s="600"/>
      <c r="EB51" s="600"/>
      <c r="EC51" s="600"/>
      <c r="ED51" s="600"/>
      <c r="EE51" s="600"/>
      <c r="EF51" s="600"/>
      <c r="EG51" s="600"/>
      <c r="EH51" s="600"/>
      <c r="EI51" s="600"/>
      <c r="EJ51" s="600"/>
      <c r="EK51" s="600"/>
      <c r="EL51" s="600"/>
      <c r="EM51" s="600"/>
      <c r="EN51" s="600"/>
      <c r="EO51" s="600"/>
      <c r="EP51" s="600"/>
      <c r="EQ51" s="600"/>
      <c r="ER51" s="600"/>
      <c r="ES51" s="600"/>
      <c r="ET51" s="600"/>
      <c r="EU51" s="600"/>
      <c r="EV51" s="600"/>
      <c r="EW51" s="600"/>
      <c r="EX51" s="600"/>
      <c r="EY51" s="600"/>
      <c r="EZ51" s="600"/>
      <c r="FA51" s="600"/>
      <c r="FB51" s="600"/>
      <c r="FC51" s="600"/>
      <c r="FD51" s="600"/>
      <c r="FE51" s="600"/>
      <c r="FF51" s="600"/>
      <c r="FG51" s="600"/>
      <c r="FH51" s="600"/>
      <c r="FI51" s="600"/>
      <c r="FJ51" s="600"/>
      <c r="FK51" s="600"/>
      <c r="FL51" s="600"/>
      <c r="FM51" s="600"/>
      <c r="FN51" s="600"/>
      <c r="FO51" s="600"/>
      <c r="FP51" s="600"/>
      <c r="FQ51" s="600"/>
      <c r="FR51" s="600"/>
      <c r="FS51" s="600"/>
      <c r="FT51" s="600"/>
      <c r="FU51" s="600"/>
      <c r="FV51" s="600"/>
      <c r="FW51" s="600"/>
      <c r="FX51" s="600"/>
      <c r="FY51" s="600"/>
      <c r="FZ51" s="600"/>
      <c r="GA51" s="600"/>
      <c r="GB51" s="600"/>
      <c r="GC51" s="600"/>
      <c r="GD51" s="600"/>
      <c r="GE51" s="600"/>
      <c r="GF51" s="600"/>
      <c r="GG51" s="600"/>
      <c r="GH51" s="600"/>
      <c r="GI51" s="600"/>
      <c r="GJ51" s="600"/>
      <c r="GK51" s="600"/>
      <c r="GL51" s="600"/>
      <c r="GM51" s="600"/>
      <c r="GN51" s="600"/>
      <c r="GO51" s="600"/>
      <c r="GP51" s="600"/>
      <c r="GQ51" s="600"/>
      <c r="GR51" s="600"/>
      <c r="GS51" s="600"/>
      <c r="GT51" s="600"/>
      <c r="GU51" s="600"/>
      <c r="GV51" s="600"/>
      <c r="GW51" s="600"/>
      <c r="GX51" s="600"/>
      <c r="GY51" s="600"/>
      <c r="GZ51" s="600"/>
      <c r="HA51" s="600"/>
      <c r="HB51" s="600"/>
      <c r="HC51" s="600"/>
      <c r="HD51" s="600"/>
      <c r="HE51" s="600"/>
      <c r="HF51" s="600"/>
      <c r="HG51" s="600"/>
      <c r="HH51" s="600"/>
      <c r="HI51" s="600"/>
      <c r="HJ51" s="600"/>
      <c r="HK51" s="600"/>
      <c r="HL51" s="600"/>
      <c r="HM51" s="600"/>
      <c r="HN51" s="600"/>
      <c r="HO51" s="600"/>
      <c r="HP51" s="600"/>
      <c r="HQ51" s="600"/>
      <c r="HR51" s="600"/>
      <c r="HS51" s="600"/>
      <c r="HT51" s="600"/>
      <c r="HU51" s="600"/>
      <c r="HV51" s="600"/>
      <c r="HW51" s="600"/>
      <c r="HX51" s="600"/>
      <c r="HY51" s="600"/>
      <c r="HZ51" s="600"/>
      <c r="IA51" s="600"/>
      <c r="IB51" s="600"/>
      <c r="IC51" s="600"/>
      <c r="ID51" s="600"/>
      <c r="IE51" s="600"/>
      <c r="IF51" s="600"/>
      <c r="IG51" s="600"/>
      <c r="IH51" s="600"/>
      <c r="II51" s="600"/>
      <c r="IJ51" s="600"/>
      <c r="IK51" s="600"/>
      <c r="IL51" s="600"/>
      <c r="IM51" s="600"/>
      <c r="IN51" s="600"/>
      <c r="IO51" s="600"/>
      <c r="IP51" s="600"/>
      <c r="IQ51" s="600"/>
      <c r="IR51" s="600"/>
      <c r="IS51" s="600"/>
    </row>
    <row r="52" spans="1:253" s="601" customFormat="1">
      <c r="A52" s="466" t="s">
        <v>38</v>
      </c>
      <c r="B52" s="460">
        <f>'Sources and Uses Budget'!$C51</f>
        <v>0</v>
      </c>
      <c r="C52" s="460">
        <f>'Sources and Uses Budget'!$C51</f>
        <v>0</v>
      </c>
      <c r="D52" s="464">
        <f t="shared" si="0"/>
        <v>0</v>
      </c>
      <c r="E52" s="462"/>
      <c r="F52" s="461"/>
      <c r="G52" s="605"/>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c r="AW52" s="600"/>
      <c r="AX52" s="600"/>
      <c r="AY52" s="600"/>
      <c r="AZ52" s="600"/>
      <c r="BA52" s="600"/>
      <c r="BB52" s="600"/>
      <c r="BC52" s="600"/>
      <c r="BD52" s="600"/>
      <c r="BE52" s="600"/>
      <c r="BF52" s="600"/>
      <c r="BG52" s="600"/>
      <c r="BH52" s="600"/>
      <c r="BI52" s="600"/>
      <c r="BJ52" s="600"/>
      <c r="BK52" s="600"/>
      <c r="BL52" s="600"/>
      <c r="BM52" s="600"/>
      <c r="BN52" s="600"/>
      <c r="BO52" s="600"/>
      <c r="BP52" s="600"/>
      <c r="BQ52" s="600"/>
      <c r="BR52" s="600"/>
      <c r="BS52" s="600"/>
      <c r="BT52" s="600"/>
      <c r="BU52" s="600"/>
      <c r="BV52" s="600"/>
      <c r="BW52" s="600"/>
      <c r="BX52" s="600"/>
      <c r="BY52" s="600"/>
      <c r="BZ52" s="600"/>
      <c r="CA52" s="600"/>
      <c r="CB52" s="600"/>
      <c r="CC52" s="600"/>
      <c r="CD52" s="600"/>
      <c r="CE52" s="600"/>
      <c r="CF52" s="600"/>
      <c r="CG52" s="600"/>
      <c r="CH52" s="600"/>
      <c r="CI52" s="600"/>
      <c r="CJ52" s="600"/>
      <c r="CK52" s="600"/>
      <c r="CL52" s="600"/>
      <c r="CM52" s="600"/>
      <c r="CN52" s="600"/>
      <c r="CO52" s="600"/>
      <c r="CP52" s="600"/>
      <c r="CQ52" s="600"/>
      <c r="CR52" s="600"/>
      <c r="CS52" s="600"/>
      <c r="CT52" s="600"/>
      <c r="CU52" s="600"/>
      <c r="CV52" s="600"/>
      <c r="CW52" s="600"/>
      <c r="CX52" s="600"/>
      <c r="CY52" s="600"/>
      <c r="CZ52" s="600"/>
      <c r="DA52" s="600"/>
      <c r="DB52" s="600"/>
      <c r="DC52" s="600"/>
      <c r="DD52" s="600"/>
      <c r="DE52" s="600"/>
      <c r="DF52" s="600"/>
      <c r="DG52" s="600"/>
      <c r="DH52" s="600"/>
      <c r="DI52" s="600"/>
      <c r="DJ52" s="600"/>
      <c r="DK52" s="600"/>
      <c r="DL52" s="600"/>
      <c r="DM52" s="600"/>
      <c r="DN52" s="600"/>
      <c r="DO52" s="600"/>
      <c r="DP52" s="600"/>
      <c r="DQ52" s="600"/>
      <c r="DR52" s="600"/>
      <c r="DS52" s="600"/>
      <c r="DT52" s="600"/>
      <c r="DU52" s="600"/>
      <c r="DV52" s="600"/>
      <c r="DW52" s="600"/>
      <c r="DX52" s="600"/>
      <c r="DY52" s="600"/>
      <c r="DZ52" s="600"/>
      <c r="EA52" s="600"/>
      <c r="EB52" s="600"/>
      <c r="EC52" s="600"/>
      <c r="ED52" s="600"/>
      <c r="EE52" s="600"/>
      <c r="EF52" s="600"/>
      <c r="EG52" s="600"/>
      <c r="EH52" s="600"/>
      <c r="EI52" s="600"/>
      <c r="EJ52" s="600"/>
      <c r="EK52" s="600"/>
      <c r="EL52" s="600"/>
      <c r="EM52" s="600"/>
      <c r="EN52" s="600"/>
      <c r="EO52" s="600"/>
      <c r="EP52" s="600"/>
      <c r="EQ52" s="600"/>
      <c r="ER52" s="600"/>
      <c r="ES52" s="600"/>
      <c r="ET52" s="600"/>
      <c r="EU52" s="600"/>
      <c r="EV52" s="600"/>
      <c r="EW52" s="600"/>
      <c r="EX52" s="600"/>
      <c r="EY52" s="600"/>
      <c r="EZ52" s="600"/>
      <c r="FA52" s="600"/>
      <c r="FB52" s="600"/>
      <c r="FC52" s="600"/>
      <c r="FD52" s="600"/>
      <c r="FE52" s="600"/>
      <c r="FF52" s="600"/>
      <c r="FG52" s="600"/>
      <c r="FH52" s="600"/>
      <c r="FI52" s="600"/>
      <c r="FJ52" s="600"/>
      <c r="FK52" s="600"/>
      <c r="FL52" s="600"/>
      <c r="FM52" s="600"/>
      <c r="FN52" s="600"/>
      <c r="FO52" s="600"/>
      <c r="FP52" s="600"/>
      <c r="FQ52" s="600"/>
      <c r="FR52" s="600"/>
      <c r="FS52" s="600"/>
      <c r="FT52" s="600"/>
      <c r="FU52" s="600"/>
      <c r="FV52" s="600"/>
      <c r="FW52" s="600"/>
      <c r="FX52" s="600"/>
      <c r="FY52" s="600"/>
      <c r="FZ52" s="600"/>
      <c r="GA52" s="600"/>
      <c r="GB52" s="600"/>
      <c r="GC52" s="600"/>
      <c r="GD52" s="600"/>
      <c r="GE52" s="600"/>
      <c r="GF52" s="600"/>
      <c r="GG52" s="600"/>
      <c r="GH52" s="600"/>
      <c r="GI52" s="600"/>
      <c r="GJ52" s="600"/>
      <c r="GK52" s="600"/>
      <c r="GL52" s="600"/>
      <c r="GM52" s="600"/>
      <c r="GN52" s="600"/>
      <c r="GO52" s="600"/>
      <c r="GP52" s="600"/>
      <c r="GQ52" s="600"/>
      <c r="GR52" s="600"/>
      <c r="GS52" s="600"/>
      <c r="GT52" s="600"/>
      <c r="GU52" s="600"/>
      <c r="GV52" s="600"/>
      <c r="GW52" s="600"/>
      <c r="GX52" s="600"/>
      <c r="GY52" s="600"/>
      <c r="GZ52" s="600"/>
      <c r="HA52" s="600"/>
      <c r="HB52" s="600"/>
      <c r="HC52" s="600"/>
      <c r="HD52" s="600"/>
      <c r="HE52" s="600"/>
      <c r="HF52" s="600"/>
      <c r="HG52" s="600"/>
      <c r="HH52" s="600"/>
      <c r="HI52" s="600"/>
      <c r="HJ52" s="600"/>
      <c r="HK52" s="600"/>
      <c r="HL52" s="600"/>
      <c r="HM52" s="600"/>
      <c r="HN52" s="600"/>
      <c r="HO52" s="600"/>
      <c r="HP52" s="600"/>
      <c r="HQ52" s="600"/>
      <c r="HR52" s="600"/>
      <c r="HS52" s="600"/>
      <c r="HT52" s="600"/>
      <c r="HU52" s="600"/>
      <c r="HV52" s="600"/>
      <c r="HW52" s="600"/>
      <c r="HX52" s="600"/>
      <c r="HY52" s="600"/>
      <c r="HZ52" s="600"/>
      <c r="IA52" s="600"/>
      <c r="IB52" s="600"/>
      <c r="IC52" s="600"/>
      <c r="ID52" s="600"/>
      <c r="IE52" s="600"/>
      <c r="IF52" s="600"/>
      <c r="IG52" s="600"/>
      <c r="IH52" s="600"/>
      <c r="II52" s="600"/>
      <c r="IJ52" s="600"/>
      <c r="IK52" s="600"/>
      <c r="IL52" s="600"/>
      <c r="IM52" s="600"/>
      <c r="IN52" s="600"/>
      <c r="IO52" s="600"/>
      <c r="IP52" s="600"/>
      <c r="IQ52" s="600"/>
      <c r="IR52" s="600"/>
      <c r="IS52" s="600"/>
    </row>
    <row r="53" spans="1:253" s="601" customFormat="1">
      <c r="A53" s="466" t="s">
        <v>38</v>
      </c>
      <c r="B53" s="460">
        <f>'Sources and Uses Budget'!$C52</f>
        <v>0</v>
      </c>
      <c r="C53" s="460">
        <f>'Sources and Uses Budget'!$C52</f>
        <v>0</v>
      </c>
      <c r="D53" s="464">
        <f t="shared" si="0"/>
        <v>0</v>
      </c>
      <c r="E53" s="462"/>
      <c r="F53" s="461"/>
      <c r="G53" s="605"/>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c r="AW53" s="600"/>
      <c r="AX53" s="600"/>
      <c r="AY53" s="600"/>
      <c r="AZ53" s="600"/>
      <c r="BA53" s="600"/>
      <c r="BB53" s="600"/>
      <c r="BC53" s="600"/>
      <c r="BD53" s="600"/>
      <c r="BE53" s="600"/>
      <c r="BF53" s="600"/>
      <c r="BG53" s="600"/>
      <c r="BH53" s="600"/>
      <c r="BI53" s="600"/>
      <c r="BJ53" s="600"/>
      <c r="BK53" s="600"/>
      <c r="BL53" s="600"/>
      <c r="BM53" s="600"/>
      <c r="BN53" s="600"/>
      <c r="BO53" s="600"/>
      <c r="BP53" s="600"/>
      <c r="BQ53" s="600"/>
      <c r="BR53" s="600"/>
      <c r="BS53" s="600"/>
      <c r="BT53" s="600"/>
      <c r="BU53" s="600"/>
      <c r="BV53" s="600"/>
      <c r="BW53" s="600"/>
      <c r="BX53" s="600"/>
      <c r="BY53" s="600"/>
      <c r="BZ53" s="600"/>
      <c r="CA53" s="600"/>
      <c r="CB53" s="600"/>
      <c r="CC53" s="600"/>
      <c r="CD53" s="600"/>
      <c r="CE53" s="600"/>
      <c r="CF53" s="600"/>
      <c r="CG53" s="600"/>
      <c r="CH53" s="600"/>
      <c r="CI53" s="600"/>
      <c r="CJ53" s="600"/>
      <c r="CK53" s="600"/>
      <c r="CL53" s="600"/>
      <c r="CM53" s="600"/>
      <c r="CN53" s="600"/>
      <c r="CO53" s="600"/>
      <c r="CP53" s="600"/>
      <c r="CQ53" s="600"/>
      <c r="CR53" s="600"/>
      <c r="CS53" s="600"/>
      <c r="CT53" s="600"/>
      <c r="CU53" s="600"/>
      <c r="CV53" s="600"/>
      <c r="CW53" s="600"/>
      <c r="CX53" s="600"/>
      <c r="CY53" s="600"/>
      <c r="CZ53" s="600"/>
      <c r="DA53" s="600"/>
      <c r="DB53" s="600"/>
      <c r="DC53" s="600"/>
      <c r="DD53" s="600"/>
      <c r="DE53" s="600"/>
      <c r="DF53" s="600"/>
      <c r="DG53" s="600"/>
      <c r="DH53" s="600"/>
      <c r="DI53" s="600"/>
      <c r="DJ53" s="600"/>
      <c r="DK53" s="600"/>
      <c r="DL53" s="600"/>
      <c r="DM53" s="600"/>
      <c r="DN53" s="600"/>
      <c r="DO53" s="600"/>
      <c r="DP53" s="600"/>
      <c r="DQ53" s="600"/>
      <c r="DR53" s="600"/>
      <c r="DS53" s="600"/>
      <c r="DT53" s="600"/>
      <c r="DU53" s="600"/>
      <c r="DV53" s="600"/>
      <c r="DW53" s="600"/>
      <c r="DX53" s="600"/>
      <c r="DY53" s="600"/>
      <c r="DZ53" s="600"/>
      <c r="EA53" s="600"/>
      <c r="EB53" s="600"/>
      <c r="EC53" s="600"/>
      <c r="ED53" s="600"/>
      <c r="EE53" s="600"/>
      <c r="EF53" s="600"/>
      <c r="EG53" s="600"/>
      <c r="EH53" s="600"/>
      <c r="EI53" s="600"/>
      <c r="EJ53" s="600"/>
      <c r="EK53" s="600"/>
      <c r="EL53" s="600"/>
      <c r="EM53" s="600"/>
      <c r="EN53" s="600"/>
      <c r="EO53" s="600"/>
      <c r="EP53" s="600"/>
      <c r="EQ53" s="600"/>
      <c r="ER53" s="600"/>
      <c r="ES53" s="600"/>
      <c r="ET53" s="600"/>
      <c r="EU53" s="600"/>
      <c r="EV53" s="600"/>
      <c r="EW53" s="600"/>
      <c r="EX53" s="600"/>
      <c r="EY53" s="600"/>
      <c r="EZ53" s="600"/>
      <c r="FA53" s="600"/>
      <c r="FB53" s="600"/>
      <c r="FC53" s="600"/>
      <c r="FD53" s="600"/>
      <c r="FE53" s="600"/>
      <c r="FF53" s="600"/>
      <c r="FG53" s="600"/>
      <c r="FH53" s="600"/>
      <c r="FI53" s="600"/>
      <c r="FJ53" s="600"/>
      <c r="FK53" s="600"/>
      <c r="FL53" s="600"/>
      <c r="FM53" s="600"/>
      <c r="FN53" s="600"/>
      <c r="FO53" s="600"/>
      <c r="FP53" s="600"/>
      <c r="FQ53" s="600"/>
      <c r="FR53" s="600"/>
      <c r="FS53" s="600"/>
      <c r="FT53" s="600"/>
      <c r="FU53" s="600"/>
      <c r="FV53" s="600"/>
      <c r="FW53" s="600"/>
      <c r="FX53" s="600"/>
      <c r="FY53" s="600"/>
      <c r="FZ53" s="600"/>
      <c r="GA53" s="600"/>
      <c r="GB53" s="600"/>
      <c r="GC53" s="600"/>
      <c r="GD53" s="600"/>
      <c r="GE53" s="600"/>
      <c r="GF53" s="600"/>
      <c r="GG53" s="600"/>
      <c r="GH53" s="600"/>
      <c r="GI53" s="600"/>
      <c r="GJ53" s="600"/>
      <c r="GK53" s="600"/>
      <c r="GL53" s="600"/>
      <c r="GM53" s="600"/>
      <c r="GN53" s="600"/>
      <c r="GO53" s="600"/>
      <c r="GP53" s="600"/>
      <c r="GQ53" s="600"/>
      <c r="GR53" s="600"/>
      <c r="GS53" s="600"/>
      <c r="GT53" s="600"/>
      <c r="GU53" s="600"/>
      <c r="GV53" s="600"/>
      <c r="GW53" s="600"/>
      <c r="GX53" s="600"/>
      <c r="GY53" s="600"/>
      <c r="GZ53" s="600"/>
      <c r="HA53" s="600"/>
      <c r="HB53" s="600"/>
      <c r="HC53" s="600"/>
      <c r="HD53" s="600"/>
      <c r="HE53" s="600"/>
      <c r="HF53" s="600"/>
      <c r="HG53" s="600"/>
      <c r="HH53" s="600"/>
      <c r="HI53" s="600"/>
      <c r="HJ53" s="600"/>
      <c r="HK53" s="600"/>
      <c r="HL53" s="600"/>
      <c r="HM53" s="600"/>
      <c r="HN53" s="600"/>
      <c r="HO53" s="600"/>
      <c r="HP53" s="600"/>
      <c r="HQ53" s="600"/>
      <c r="HR53" s="600"/>
      <c r="HS53" s="600"/>
      <c r="HT53" s="600"/>
      <c r="HU53" s="600"/>
      <c r="HV53" s="600"/>
      <c r="HW53" s="600"/>
      <c r="HX53" s="600"/>
      <c r="HY53" s="600"/>
      <c r="HZ53" s="600"/>
      <c r="IA53" s="600"/>
      <c r="IB53" s="600"/>
      <c r="IC53" s="600"/>
      <c r="ID53" s="600"/>
      <c r="IE53" s="600"/>
      <c r="IF53" s="600"/>
      <c r="IG53" s="600"/>
      <c r="IH53" s="600"/>
      <c r="II53" s="600"/>
      <c r="IJ53" s="600"/>
      <c r="IK53" s="600"/>
      <c r="IL53" s="600"/>
      <c r="IM53" s="600"/>
      <c r="IN53" s="600"/>
      <c r="IO53" s="600"/>
      <c r="IP53" s="600"/>
      <c r="IQ53" s="600"/>
      <c r="IR53" s="600"/>
      <c r="IS53" s="600"/>
    </row>
    <row r="54" spans="1:253" s="603" customFormat="1">
      <c r="A54" s="465" t="s">
        <v>168</v>
      </c>
      <c r="B54" s="467">
        <f>SUM(B44:B53)</f>
        <v>409342</v>
      </c>
      <c r="C54" s="467">
        <f>SUM(C44:C53)</f>
        <v>409342</v>
      </c>
      <c r="D54" s="464">
        <f t="shared" si="0"/>
        <v>0</v>
      </c>
      <c r="E54" s="462"/>
      <c r="F54" s="461"/>
      <c r="G54" s="606"/>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2"/>
      <c r="AP54" s="602"/>
      <c r="AQ54" s="602"/>
      <c r="AR54" s="602"/>
      <c r="AS54" s="602"/>
      <c r="AT54" s="602"/>
      <c r="AU54" s="602"/>
      <c r="AV54" s="602"/>
      <c r="AW54" s="602"/>
      <c r="AX54" s="602"/>
      <c r="AY54" s="602"/>
      <c r="AZ54" s="602"/>
      <c r="BA54" s="602"/>
      <c r="BB54" s="602"/>
      <c r="BC54" s="602"/>
      <c r="BD54" s="602"/>
      <c r="BE54" s="602"/>
      <c r="BF54" s="602"/>
      <c r="BG54" s="602"/>
      <c r="BH54" s="602"/>
      <c r="BI54" s="602"/>
      <c r="BJ54" s="602"/>
      <c r="BK54" s="602"/>
      <c r="BL54" s="602"/>
      <c r="BM54" s="602"/>
      <c r="BN54" s="602"/>
      <c r="BO54" s="602"/>
      <c r="BP54" s="602"/>
      <c r="BQ54" s="602"/>
      <c r="BR54" s="602"/>
      <c r="BS54" s="602"/>
      <c r="BT54" s="602"/>
      <c r="BU54" s="602"/>
      <c r="BV54" s="602"/>
      <c r="BW54" s="602"/>
      <c r="BX54" s="602"/>
      <c r="BY54" s="602"/>
      <c r="BZ54" s="602"/>
      <c r="CA54" s="602"/>
      <c r="CB54" s="602"/>
      <c r="CC54" s="602"/>
      <c r="CD54" s="602"/>
      <c r="CE54" s="602"/>
      <c r="CF54" s="602"/>
      <c r="CG54" s="602"/>
      <c r="CH54" s="602"/>
      <c r="CI54" s="602"/>
      <c r="CJ54" s="602"/>
      <c r="CK54" s="602"/>
      <c r="CL54" s="602"/>
      <c r="CM54" s="602"/>
      <c r="CN54" s="602"/>
      <c r="CO54" s="602"/>
      <c r="CP54" s="602"/>
      <c r="CQ54" s="602"/>
      <c r="CR54" s="602"/>
      <c r="CS54" s="602"/>
      <c r="CT54" s="602"/>
      <c r="CU54" s="602"/>
      <c r="CV54" s="602"/>
      <c r="CW54" s="602"/>
      <c r="CX54" s="602"/>
      <c r="CY54" s="602"/>
      <c r="CZ54" s="602"/>
      <c r="DA54" s="602"/>
      <c r="DB54" s="602"/>
      <c r="DC54" s="602"/>
      <c r="DD54" s="602"/>
      <c r="DE54" s="602"/>
      <c r="DF54" s="602"/>
      <c r="DG54" s="602"/>
      <c r="DH54" s="602"/>
      <c r="DI54" s="602"/>
      <c r="DJ54" s="602"/>
      <c r="DK54" s="602"/>
      <c r="DL54" s="602"/>
      <c r="DM54" s="602"/>
      <c r="DN54" s="602"/>
      <c r="DO54" s="602"/>
      <c r="DP54" s="602"/>
      <c r="DQ54" s="602"/>
      <c r="DR54" s="602"/>
      <c r="DS54" s="602"/>
      <c r="DT54" s="602"/>
      <c r="DU54" s="602"/>
      <c r="DV54" s="602"/>
      <c r="DW54" s="602"/>
      <c r="DX54" s="602"/>
      <c r="DY54" s="602"/>
      <c r="DZ54" s="602"/>
      <c r="EA54" s="602"/>
      <c r="EB54" s="602"/>
      <c r="EC54" s="602"/>
      <c r="ED54" s="602"/>
      <c r="EE54" s="602"/>
      <c r="EF54" s="602"/>
      <c r="EG54" s="602"/>
      <c r="EH54" s="602"/>
      <c r="EI54" s="602"/>
      <c r="EJ54" s="602"/>
      <c r="EK54" s="602"/>
      <c r="EL54" s="602"/>
      <c r="EM54" s="602"/>
      <c r="EN54" s="602"/>
      <c r="EO54" s="602"/>
      <c r="EP54" s="602"/>
      <c r="EQ54" s="602"/>
      <c r="ER54" s="602"/>
      <c r="ES54" s="602"/>
      <c r="ET54" s="602"/>
      <c r="EU54" s="602"/>
      <c r="EV54" s="602"/>
      <c r="EW54" s="602"/>
      <c r="EX54" s="602"/>
      <c r="EY54" s="602"/>
      <c r="EZ54" s="602"/>
      <c r="FA54" s="602"/>
      <c r="FB54" s="602"/>
      <c r="FC54" s="602"/>
      <c r="FD54" s="602"/>
      <c r="FE54" s="602"/>
      <c r="FF54" s="602"/>
      <c r="FG54" s="602"/>
      <c r="FH54" s="602"/>
      <c r="FI54" s="602"/>
      <c r="FJ54" s="602"/>
      <c r="FK54" s="602"/>
      <c r="FL54" s="602"/>
      <c r="FM54" s="602"/>
      <c r="FN54" s="602"/>
      <c r="FO54" s="602"/>
      <c r="FP54" s="602"/>
      <c r="FQ54" s="602"/>
      <c r="FR54" s="602"/>
      <c r="FS54" s="602"/>
      <c r="FT54" s="602"/>
      <c r="FU54" s="602"/>
      <c r="FV54" s="602"/>
      <c r="FW54" s="602"/>
      <c r="FX54" s="602"/>
      <c r="FY54" s="602"/>
      <c r="FZ54" s="602"/>
      <c r="GA54" s="602"/>
      <c r="GB54" s="602"/>
      <c r="GC54" s="602"/>
      <c r="GD54" s="602"/>
      <c r="GE54" s="602"/>
      <c r="GF54" s="602"/>
      <c r="GG54" s="602"/>
      <c r="GH54" s="602"/>
      <c r="GI54" s="602"/>
      <c r="GJ54" s="602"/>
      <c r="GK54" s="602"/>
      <c r="GL54" s="602"/>
      <c r="GM54" s="602"/>
      <c r="GN54" s="602"/>
      <c r="GO54" s="602"/>
      <c r="GP54" s="602"/>
      <c r="GQ54" s="602"/>
      <c r="GR54" s="602"/>
      <c r="GS54" s="602"/>
      <c r="GT54" s="602"/>
      <c r="GU54" s="602"/>
      <c r="GV54" s="602"/>
      <c r="GW54" s="602"/>
      <c r="GX54" s="602"/>
      <c r="GY54" s="602"/>
      <c r="GZ54" s="602"/>
      <c r="HA54" s="602"/>
      <c r="HB54" s="602"/>
      <c r="HC54" s="602"/>
      <c r="HD54" s="602"/>
      <c r="HE54" s="602"/>
      <c r="HF54" s="602"/>
      <c r="HG54" s="602"/>
      <c r="HH54" s="602"/>
      <c r="HI54" s="602"/>
      <c r="HJ54" s="602"/>
      <c r="HK54" s="602"/>
      <c r="HL54" s="602"/>
      <c r="HM54" s="602"/>
      <c r="HN54" s="602"/>
      <c r="HO54" s="602"/>
      <c r="HP54" s="602"/>
      <c r="HQ54" s="602"/>
      <c r="HR54" s="602"/>
      <c r="HS54" s="602"/>
      <c r="HT54" s="602"/>
      <c r="HU54" s="602"/>
      <c r="HV54" s="602"/>
      <c r="HW54" s="602"/>
      <c r="HX54" s="602"/>
      <c r="HY54" s="602"/>
      <c r="HZ54" s="602"/>
      <c r="IA54" s="602"/>
      <c r="IB54" s="602"/>
      <c r="IC54" s="602"/>
      <c r="ID54" s="602"/>
      <c r="IE54" s="602"/>
      <c r="IF54" s="602"/>
      <c r="IG54" s="602"/>
      <c r="IH54" s="602"/>
      <c r="II54" s="602"/>
      <c r="IJ54" s="602"/>
      <c r="IK54" s="602"/>
      <c r="IL54" s="602"/>
      <c r="IM54" s="602"/>
      <c r="IN54" s="602"/>
      <c r="IO54" s="602"/>
      <c r="IP54" s="602"/>
      <c r="IQ54" s="602"/>
      <c r="IR54" s="602"/>
      <c r="IS54" s="602"/>
    </row>
    <row r="55" spans="1:253" s="601" customFormat="1">
      <c r="A55" s="458" t="s">
        <v>466</v>
      </c>
      <c r="B55" s="458"/>
      <c r="C55" s="458"/>
      <c r="D55" s="458"/>
      <c r="E55" s="478"/>
      <c r="F55" s="458"/>
      <c r="G55" s="605"/>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c r="AR55" s="600"/>
      <c r="AS55" s="600"/>
      <c r="AT55" s="600"/>
      <c r="AU55" s="600"/>
      <c r="AV55" s="600"/>
      <c r="AW55" s="600"/>
      <c r="AX55" s="600"/>
      <c r="AY55" s="600"/>
      <c r="AZ55" s="600"/>
      <c r="BA55" s="600"/>
      <c r="BB55" s="600"/>
      <c r="BC55" s="600"/>
      <c r="BD55" s="600"/>
      <c r="BE55" s="600"/>
      <c r="BF55" s="600"/>
      <c r="BG55" s="600"/>
      <c r="BH55" s="600"/>
      <c r="BI55" s="600"/>
      <c r="BJ55" s="600"/>
      <c r="BK55" s="600"/>
      <c r="BL55" s="600"/>
      <c r="BM55" s="600"/>
      <c r="BN55" s="600"/>
      <c r="BO55" s="600"/>
      <c r="BP55" s="600"/>
      <c r="BQ55" s="600"/>
      <c r="BR55" s="600"/>
      <c r="BS55" s="600"/>
      <c r="BT55" s="600"/>
      <c r="BU55" s="600"/>
      <c r="BV55" s="600"/>
      <c r="BW55" s="600"/>
      <c r="BX55" s="600"/>
      <c r="BY55" s="600"/>
      <c r="BZ55" s="600"/>
      <c r="CA55" s="600"/>
      <c r="CB55" s="600"/>
      <c r="CC55" s="600"/>
      <c r="CD55" s="600"/>
      <c r="CE55" s="600"/>
      <c r="CF55" s="600"/>
      <c r="CG55" s="600"/>
      <c r="CH55" s="600"/>
      <c r="CI55" s="600"/>
      <c r="CJ55" s="600"/>
      <c r="CK55" s="600"/>
      <c r="CL55" s="600"/>
      <c r="CM55" s="600"/>
      <c r="CN55" s="600"/>
      <c r="CO55" s="600"/>
      <c r="CP55" s="600"/>
      <c r="CQ55" s="600"/>
      <c r="CR55" s="600"/>
      <c r="CS55" s="600"/>
      <c r="CT55" s="600"/>
      <c r="CU55" s="600"/>
      <c r="CV55" s="600"/>
      <c r="CW55" s="600"/>
      <c r="CX55" s="600"/>
      <c r="CY55" s="600"/>
      <c r="CZ55" s="600"/>
      <c r="DA55" s="600"/>
      <c r="DB55" s="600"/>
      <c r="DC55" s="600"/>
      <c r="DD55" s="600"/>
      <c r="DE55" s="600"/>
      <c r="DF55" s="600"/>
      <c r="DG55" s="600"/>
      <c r="DH55" s="600"/>
      <c r="DI55" s="600"/>
      <c r="DJ55" s="600"/>
      <c r="DK55" s="600"/>
      <c r="DL55" s="600"/>
      <c r="DM55" s="600"/>
      <c r="DN55" s="600"/>
      <c r="DO55" s="600"/>
      <c r="DP55" s="600"/>
      <c r="DQ55" s="600"/>
      <c r="DR55" s="600"/>
      <c r="DS55" s="600"/>
      <c r="DT55" s="600"/>
      <c r="DU55" s="600"/>
      <c r="DV55" s="600"/>
      <c r="DW55" s="600"/>
      <c r="DX55" s="600"/>
      <c r="DY55" s="600"/>
      <c r="DZ55" s="600"/>
      <c r="EA55" s="600"/>
      <c r="EB55" s="600"/>
      <c r="EC55" s="600"/>
      <c r="ED55" s="600"/>
      <c r="EE55" s="600"/>
      <c r="EF55" s="600"/>
      <c r="EG55" s="600"/>
      <c r="EH55" s="600"/>
      <c r="EI55" s="600"/>
      <c r="EJ55" s="600"/>
      <c r="EK55" s="600"/>
      <c r="EL55" s="600"/>
      <c r="EM55" s="600"/>
      <c r="EN55" s="600"/>
      <c r="EO55" s="600"/>
      <c r="EP55" s="600"/>
      <c r="EQ55" s="600"/>
      <c r="ER55" s="600"/>
      <c r="ES55" s="600"/>
      <c r="ET55" s="600"/>
      <c r="EU55" s="600"/>
      <c r="EV55" s="600"/>
      <c r="EW55" s="600"/>
      <c r="EX55" s="600"/>
      <c r="EY55" s="600"/>
      <c r="EZ55" s="600"/>
      <c r="FA55" s="600"/>
      <c r="FB55" s="600"/>
      <c r="FC55" s="600"/>
      <c r="FD55" s="600"/>
      <c r="FE55" s="600"/>
      <c r="FF55" s="600"/>
      <c r="FG55" s="600"/>
      <c r="FH55" s="600"/>
      <c r="FI55" s="600"/>
      <c r="FJ55" s="600"/>
      <c r="FK55" s="600"/>
      <c r="FL55" s="600"/>
      <c r="FM55" s="600"/>
      <c r="FN55" s="600"/>
      <c r="FO55" s="600"/>
      <c r="FP55" s="600"/>
      <c r="FQ55" s="600"/>
      <c r="FR55" s="600"/>
      <c r="FS55" s="600"/>
      <c r="FT55" s="600"/>
      <c r="FU55" s="600"/>
      <c r="FV55" s="600"/>
      <c r="FW55" s="600"/>
      <c r="FX55" s="600"/>
      <c r="FY55" s="600"/>
      <c r="FZ55" s="600"/>
      <c r="GA55" s="600"/>
      <c r="GB55" s="600"/>
      <c r="GC55" s="600"/>
      <c r="GD55" s="600"/>
      <c r="GE55" s="600"/>
      <c r="GF55" s="600"/>
      <c r="GG55" s="600"/>
      <c r="GH55" s="600"/>
      <c r="GI55" s="600"/>
      <c r="GJ55" s="600"/>
      <c r="GK55" s="600"/>
      <c r="GL55" s="600"/>
      <c r="GM55" s="600"/>
      <c r="GN55" s="600"/>
      <c r="GO55" s="600"/>
      <c r="GP55" s="600"/>
      <c r="GQ55" s="600"/>
      <c r="GR55" s="600"/>
      <c r="GS55" s="600"/>
      <c r="GT55" s="600"/>
      <c r="GU55" s="600"/>
      <c r="GV55" s="600"/>
      <c r="GW55" s="600"/>
      <c r="GX55" s="600"/>
      <c r="GY55" s="600"/>
      <c r="GZ55" s="600"/>
      <c r="HA55" s="600"/>
      <c r="HB55" s="600"/>
      <c r="HC55" s="600"/>
      <c r="HD55" s="600"/>
      <c r="HE55" s="600"/>
      <c r="HF55" s="600"/>
      <c r="HG55" s="600"/>
      <c r="HH55" s="600"/>
      <c r="HI55" s="600"/>
      <c r="HJ55" s="600"/>
      <c r="HK55" s="600"/>
      <c r="HL55" s="600"/>
      <c r="HM55" s="600"/>
      <c r="HN55" s="600"/>
      <c r="HO55" s="600"/>
      <c r="HP55" s="600"/>
      <c r="HQ55" s="600"/>
      <c r="HR55" s="600"/>
      <c r="HS55" s="600"/>
      <c r="HT55" s="600"/>
      <c r="HU55" s="600"/>
      <c r="HV55" s="600"/>
      <c r="HW55" s="600"/>
      <c r="HX55" s="600"/>
      <c r="HY55" s="600"/>
      <c r="HZ55" s="600"/>
      <c r="IA55" s="600"/>
      <c r="IB55" s="600"/>
      <c r="IC55" s="600"/>
      <c r="ID55" s="600"/>
      <c r="IE55" s="600"/>
      <c r="IF55" s="600"/>
      <c r="IG55" s="600"/>
      <c r="IH55" s="600"/>
      <c r="II55" s="600"/>
      <c r="IJ55" s="600"/>
      <c r="IK55" s="600"/>
      <c r="IL55" s="600"/>
      <c r="IM55" s="600"/>
      <c r="IN55" s="600"/>
      <c r="IO55" s="600"/>
      <c r="IP55" s="600"/>
      <c r="IQ55" s="600"/>
      <c r="IR55" s="600"/>
      <c r="IS55" s="600"/>
    </row>
    <row r="56" spans="1:253" s="601" customFormat="1">
      <c r="A56" s="463" t="s">
        <v>169</v>
      </c>
      <c r="B56" s="460">
        <f>'Sources and Uses Budget'!$C55</f>
        <v>170000</v>
      </c>
      <c r="C56" s="460">
        <f>'Sources and Uses Budget'!$C55</f>
        <v>170000</v>
      </c>
      <c r="D56" s="464">
        <f t="shared" si="0"/>
        <v>0</v>
      </c>
      <c r="E56" s="462"/>
      <c r="F56" s="461"/>
      <c r="G56" s="605"/>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c r="AW56" s="600"/>
      <c r="AX56" s="600"/>
      <c r="AY56" s="600"/>
      <c r="AZ56" s="600"/>
      <c r="BA56" s="600"/>
      <c r="BB56" s="600"/>
      <c r="BC56" s="600"/>
      <c r="BD56" s="600"/>
      <c r="BE56" s="600"/>
      <c r="BF56" s="600"/>
      <c r="BG56" s="600"/>
      <c r="BH56" s="600"/>
      <c r="BI56" s="600"/>
      <c r="BJ56" s="600"/>
      <c r="BK56" s="600"/>
      <c r="BL56" s="600"/>
      <c r="BM56" s="600"/>
      <c r="BN56" s="600"/>
      <c r="BO56" s="600"/>
      <c r="BP56" s="600"/>
      <c r="BQ56" s="600"/>
      <c r="BR56" s="600"/>
      <c r="BS56" s="600"/>
      <c r="BT56" s="600"/>
      <c r="BU56" s="600"/>
      <c r="BV56" s="600"/>
      <c r="BW56" s="600"/>
      <c r="BX56" s="600"/>
      <c r="BY56" s="600"/>
      <c r="BZ56" s="600"/>
      <c r="CA56" s="600"/>
      <c r="CB56" s="600"/>
      <c r="CC56" s="600"/>
      <c r="CD56" s="600"/>
      <c r="CE56" s="600"/>
      <c r="CF56" s="600"/>
      <c r="CG56" s="600"/>
      <c r="CH56" s="600"/>
      <c r="CI56" s="600"/>
      <c r="CJ56" s="600"/>
      <c r="CK56" s="600"/>
      <c r="CL56" s="600"/>
      <c r="CM56" s="600"/>
      <c r="CN56" s="600"/>
      <c r="CO56" s="600"/>
      <c r="CP56" s="600"/>
      <c r="CQ56" s="600"/>
      <c r="CR56" s="600"/>
      <c r="CS56" s="600"/>
      <c r="CT56" s="600"/>
      <c r="CU56" s="600"/>
      <c r="CV56" s="600"/>
      <c r="CW56" s="600"/>
      <c r="CX56" s="600"/>
      <c r="CY56" s="600"/>
      <c r="CZ56" s="600"/>
      <c r="DA56" s="600"/>
      <c r="DB56" s="600"/>
      <c r="DC56" s="600"/>
      <c r="DD56" s="600"/>
      <c r="DE56" s="600"/>
      <c r="DF56" s="600"/>
      <c r="DG56" s="600"/>
      <c r="DH56" s="600"/>
      <c r="DI56" s="600"/>
      <c r="DJ56" s="600"/>
      <c r="DK56" s="600"/>
      <c r="DL56" s="600"/>
      <c r="DM56" s="600"/>
      <c r="DN56" s="600"/>
      <c r="DO56" s="600"/>
      <c r="DP56" s="600"/>
      <c r="DQ56" s="600"/>
      <c r="DR56" s="600"/>
      <c r="DS56" s="600"/>
      <c r="DT56" s="600"/>
      <c r="DU56" s="600"/>
      <c r="DV56" s="600"/>
      <c r="DW56" s="600"/>
      <c r="DX56" s="600"/>
      <c r="DY56" s="600"/>
      <c r="DZ56" s="600"/>
      <c r="EA56" s="600"/>
      <c r="EB56" s="600"/>
      <c r="EC56" s="600"/>
      <c r="ED56" s="600"/>
      <c r="EE56" s="600"/>
      <c r="EF56" s="600"/>
      <c r="EG56" s="600"/>
      <c r="EH56" s="600"/>
      <c r="EI56" s="600"/>
      <c r="EJ56" s="600"/>
      <c r="EK56" s="600"/>
      <c r="EL56" s="600"/>
      <c r="EM56" s="600"/>
      <c r="EN56" s="600"/>
      <c r="EO56" s="600"/>
      <c r="EP56" s="600"/>
      <c r="EQ56" s="600"/>
      <c r="ER56" s="600"/>
      <c r="ES56" s="600"/>
      <c r="ET56" s="600"/>
      <c r="EU56" s="600"/>
      <c r="EV56" s="600"/>
      <c r="EW56" s="600"/>
      <c r="EX56" s="600"/>
      <c r="EY56" s="600"/>
      <c r="EZ56" s="600"/>
      <c r="FA56" s="600"/>
      <c r="FB56" s="600"/>
      <c r="FC56" s="600"/>
      <c r="FD56" s="600"/>
      <c r="FE56" s="600"/>
      <c r="FF56" s="600"/>
      <c r="FG56" s="600"/>
      <c r="FH56" s="600"/>
      <c r="FI56" s="600"/>
      <c r="FJ56" s="600"/>
      <c r="FK56" s="600"/>
      <c r="FL56" s="600"/>
      <c r="FM56" s="600"/>
      <c r="FN56" s="600"/>
      <c r="FO56" s="600"/>
      <c r="FP56" s="600"/>
      <c r="FQ56" s="600"/>
      <c r="FR56" s="600"/>
      <c r="FS56" s="600"/>
      <c r="FT56" s="600"/>
      <c r="FU56" s="600"/>
      <c r="FV56" s="600"/>
      <c r="FW56" s="600"/>
      <c r="FX56" s="600"/>
      <c r="FY56" s="600"/>
      <c r="FZ56" s="600"/>
      <c r="GA56" s="600"/>
      <c r="GB56" s="600"/>
      <c r="GC56" s="600"/>
      <c r="GD56" s="600"/>
      <c r="GE56" s="600"/>
      <c r="GF56" s="600"/>
      <c r="GG56" s="600"/>
      <c r="GH56" s="600"/>
      <c r="GI56" s="600"/>
      <c r="GJ56" s="600"/>
      <c r="GK56" s="600"/>
      <c r="GL56" s="600"/>
      <c r="GM56" s="600"/>
      <c r="GN56" s="600"/>
      <c r="GO56" s="600"/>
      <c r="GP56" s="600"/>
      <c r="GQ56" s="600"/>
      <c r="GR56" s="600"/>
      <c r="GS56" s="600"/>
      <c r="GT56" s="600"/>
      <c r="GU56" s="600"/>
      <c r="GV56" s="600"/>
      <c r="GW56" s="600"/>
      <c r="GX56" s="600"/>
      <c r="GY56" s="600"/>
      <c r="GZ56" s="600"/>
      <c r="HA56" s="600"/>
      <c r="HB56" s="600"/>
      <c r="HC56" s="600"/>
      <c r="HD56" s="600"/>
      <c r="HE56" s="600"/>
      <c r="HF56" s="600"/>
      <c r="HG56" s="600"/>
      <c r="HH56" s="600"/>
      <c r="HI56" s="600"/>
      <c r="HJ56" s="600"/>
      <c r="HK56" s="600"/>
      <c r="HL56" s="600"/>
      <c r="HM56" s="600"/>
      <c r="HN56" s="600"/>
      <c r="HO56" s="600"/>
      <c r="HP56" s="600"/>
      <c r="HQ56" s="600"/>
      <c r="HR56" s="600"/>
      <c r="HS56" s="600"/>
      <c r="HT56" s="600"/>
      <c r="HU56" s="600"/>
      <c r="HV56" s="600"/>
      <c r="HW56" s="600"/>
      <c r="HX56" s="600"/>
      <c r="HY56" s="600"/>
      <c r="HZ56" s="600"/>
      <c r="IA56" s="600"/>
      <c r="IB56" s="600"/>
      <c r="IC56" s="600"/>
      <c r="ID56" s="600"/>
      <c r="IE56" s="600"/>
      <c r="IF56" s="600"/>
      <c r="IG56" s="600"/>
      <c r="IH56" s="600"/>
      <c r="II56" s="600"/>
      <c r="IJ56" s="600"/>
      <c r="IK56" s="600"/>
      <c r="IL56" s="600"/>
      <c r="IM56" s="600"/>
      <c r="IN56" s="600"/>
      <c r="IO56" s="600"/>
      <c r="IP56" s="600"/>
      <c r="IQ56" s="600"/>
      <c r="IR56" s="600"/>
      <c r="IS56" s="600"/>
    </row>
    <row r="57" spans="1:253" s="601" customFormat="1" ht="12" customHeight="1">
      <c r="A57" s="463" t="s">
        <v>163</v>
      </c>
      <c r="B57" s="460">
        <f>'Sources and Uses Budget'!$C56</f>
        <v>0</v>
      </c>
      <c r="C57" s="460">
        <f>'Sources and Uses Budget'!$C56</f>
        <v>0</v>
      </c>
      <c r="D57" s="464">
        <f t="shared" si="0"/>
        <v>0</v>
      </c>
      <c r="E57" s="462"/>
      <c r="F57" s="461"/>
      <c r="G57" s="605"/>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c r="AR57" s="600"/>
      <c r="AS57" s="600"/>
      <c r="AT57" s="600"/>
      <c r="AU57" s="600"/>
      <c r="AV57" s="600"/>
      <c r="AW57" s="600"/>
      <c r="AX57" s="600"/>
      <c r="AY57" s="600"/>
      <c r="AZ57" s="600"/>
      <c r="BA57" s="600"/>
      <c r="BB57" s="600"/>
      <c r="BC57" s="600"/>
      <c r="BD57" s="600"/>
      <c r="BE57" s="600"/>
      <c r="BF57" s="600"/>
      <c r="BG57" s="600"/>
      <c r="BH57" s="600"/>
      <c r="BI57" s="600"/>
      <c r="BJ57" s="600"/>
      <c r="BK57" s="600"/>
      <c r="BL57" s="600"/>
      <c r="BM57" s="600"/>
      <c r="BN57" s="600"/>
      <c r="BO57" s="600"/>
      <c r="BP57" s="600"/>
      <c r="BQ57" s="600"/>
      <c r="BR57" s="600"/>
      <c r="BS57" s="600"/>
      <c r="BT57" s="600"/>
      <c r="BU57" s="600"/>
      <c r="BV57" s="600"/>
      <c r="BW57" s="600"/>
      <c r="BX57" s="600"/>
      <c r="BY57" s="600"/>
      <c r="BZ57" s="600"/>
      <c r="CA57" s="600"/>
      <c r="CB57" s="600"/>
      <c r="CC57" s="600"/>
      <c r="CD57" s="600"/>
      <c r="CE57" s="600"/>
      <c r="CF57" s="600"/>
      <c r="CG57" s="600"/>
      <c r="CH57" s="600"/>
      <c r="CI57" s="600"/>
      <c r="CJ57" s="600"/>
      <c r="CK57" s="600"/>
      <c r="CL57" s="600"/>
      <c r="CM57" s="600"/>
      <c r="CN57" s="600"/>
      <c r="CO57" s="600"/>
      <c r="CP57" s="600"/>
      <c r="CQ57" s="600"/>
      <c r="CR57" s="600"/>
      <c r="CS57" s="600"/>
      <c r="CT57" s="600"/>
      <c r="CU57" s="600"/>
      <c r="CV57" s="600"/>
      <c r="CW57" s="600"/>
      <c r="CX57" s="600"/>
      <c r="CY57" s="600"/>
      <c r="CZ57" s="600"/>
      <c r="DA57" s="600"/>
      <c r="DB57" s="600"/>
      <c r="DC57" s="600"/>
      <c r="DD57" s="600"/>
      <c r="DE57" s="600"/>
      <c r="DF57" s="600"/>
      <c r="DG57" s="600"/>
      <c r="DH57" s="600"/>
      <c r="DI57" s="600"/>
      <c r="DJ57" s="600"/>
      <c r="DK57" s="600"/>
      <c r="DL57" s="600"/>
      <c r="DM57" s="600"/>
      <c r="DN57" s="600"/>
      <c r="DO57" s="600"/>
      <c r="DP57" s="600"/>
      <c r="DQ57" s="600"/>
      <c r="DR57" s="600"/>
      <c r="DS57" s="600"/>
      <c r="DT57" s="600"/>
      <c r="DU57" s="600"/>
      <c r="DV57" s="600"/>
      <c r="DW57" s="600"/>
      <c r="DX57" s="600"/>
      <c r="DY57" s="600"/>
      <c r="DZ57" s="600"/>
      <c r="EA57" s="600"/>
      <c r="EB57" s="600"/>
      <c r="EC57" s="600"/>
      <c r="ED57" s="600"/>
      <c r="EE57" s="600"/>
      <c r="EF57" s="600"/>
      <c r="EG57" s="600"/>
      <c r="EH57" s="600"/>
      <c r="EI57" s="600"/>
      <c r="EJ57" s="600"/>
      <c r="EK57" s="600"/>
      <c r="EL57" s="600"/>
      <c r="EM57" s="600"/>
      <c r="EN57" s="600"/>
      <c r="EO57" s="600"/>
      <c r="EP57" s="600"/>
      <c r="EQ57" s="600"/>
      <c r="ER57" s="600"/>
      <c r="ES57" s="600"/>
      <c r="ET57" s="600"/>
      <c r="EU57" s="600"/>
      <c r="EV57" s="600"/>
      <c r="EW57" s="600"/>
      <c r="EX57" s="600"/>
      <c r="EY57" s="600"/>
      <c r="EZ57" s="600"/>
      <c r="FA57" s="600"/>
      <c r="FB57" s="600"/>
      <c r="FC57" s="600"/>
      <c r="FD57" s="600"/>
      <c r="FE57" s="600"/>
      <c r="FF57" s="600"/>
      <c r="FG57" s="600"/>
      <c r="FH57" s="600"/>
      <c r="FI57" s="600"/>
      <c r="FJ57" s="600"/>
      <c r="FK57" s="600"/>
      <c r="FL57" s="600"/>
      <c r="FM57" s="600"/>
      <c r="FN57" s="600"/>
      <c r="FO57" s="600"/>
      <c r="FP57" s="600"/>
      <c r="FQ57" s="600"/>
      <c r="FR57" s="600"/>
      <c r="FS57" s="600"/>
      <c r="FT57" s="600"/>
      <c r="FU57" s="600"/>
      <c r="FV57" s="600"/>
      <c r="FW57" s="600"/>
      <c r="FX57" s="600"/>
      <c r="FY57" s="600"/>
      <c r="FZ57" s="600"/>
      <c r="GA57" s="600"/>
      <c r="GB57" s="600"/>
      <c r="GC57" s="600"/>
      <c r="GD57" s="600"/>
      <c r="GE57" s="600"/>
      <c r="GF57" s="600"/>
      <c r="GG57" s="600"/>
      <c r="GH57" s="600"/>
      <c r="GI57" s="600"/>
      <c r="GJ57" s="600"/>
      <c r="GK57" s="600"/>
      <c r="GL57" s="600"/>
      <c r="GM57" s="600"/>
      <c r="GN57" s="600"/>
      <c r="GO57" s="600"/>
      <c r="GP57" s="600"/>
      <c r="GQ57" s="600"/>
      <c r="GR57" s="600"/>
      <c r="GS57" s="600"/>
      <c r="GT57" s="600"/>
      <c r="GU57" s="600"/>
      <c r="GV57" s="600"/>
      <c r="GW57" s="600"/>
      <c r="GX57" s="600"/>
      <c r="GY57" s="600"/>
      <c r="GZ57" s="600"/>
      <c r="HA57" s="600"/>
      <c r="HB57" s="600"/>
      <c r="HC57" s="600"/>
      <c r="HD57" s="600"/>
      <c r="HE57" s="600"/>
      <c r="HF57" s="600"/>
      <c r="HG57" s="600"/>
      <c r="HH57" s="600"/>
      <c r="HI57" s="600"/>
      <c r="HJ57" s="600"/>
      <c r="HK57" s="600"/>
      <c r="HL57" s="600"/>
      <c r="HM57" s="600"/>
      <c r="HN57" s="600"/>
      <c r="HO57" s="600"/>
      <c r="HP57" s="600"/>
      <c r="HQ57" s="600"/>
      <c r="HR57" s="600"/>
      <c r="HS57" s="600"/>
      <c r="HT57" s="600"/>
      <c r="HU57" s="600"/>
      <c r="HV57" s="600"/>
      <c r="HW57" s="600"/>
      <c r="HX57" s="600"/>
      <c r="HY57" s="600"/>
      <c r="HZ57" s="600"/>
      <c r="IA57" s="600"/>
      <c r="IB57" s="600"/>
      <c r="IC57" s="600"/>
      <c r="ID57" s="600"/>
      <c r="IE57" s="600"/>
      <c r="IF57" s="600"/>
      <c r="IG57" s="600"/>
      <c r="IH57" s="600"/>
      <c r="II57" s="600"/>
      <c r="IJ57" s="600"/>
      <c r="IK57" s="600"/>
      <c r="IL57" s="600"/>
      <c r="IM57" s="600"/>
      <c r="IN57" s="600"/>
      <c r="IO57" s="600"/>
      <c r="IP57" s="600"/>
      <c r="IQ57" s="600"/>
      <c r="IR57" s="600"/>
      <c r="IS57" s="600"/>
    </row>
    <row r="58" spans="1:253" s="601" customFormat="1">
      <c r="A58" s="463" t="s">
        <v>167</v>
      </c>
      <c r="B58" s="460">
        <f>'Sources and Uses Budget'!$C57</f>
        <v>0</v>
      </c>
      <c r="C58" s="460">
        <f>'Sources and Uses Budget'!$C57</f>
        <v>0</v>
      </c>
      <c r="D58" s="464">
        <f t="shared" si="0"/>
        <v>0</v>
      </c>
      <c r="E58" s="462"/>
      <c r="F58" s="461"/>
      <c r="G58" s="605"/>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0"/>
      <c r="AY58" s="600"/>
      <c r="AZ58" s="600"/>
      <c r="BA58" s="600"/>
      <c r="BB58" s="600"/>
      <c r="BC58" s="600"/>
      <c r="BD58" s="600"/>
      <c r="BE58" s="600"/>
      <c r="BF58" s="600"/>
      <c r="BG58" s="600"/>
      <c r="BH58" s="600"/>
      <c r="BI58" s="600"/>
      <c r="BJ58" s="600"/>
      <c r="BK58" s="600"/>
      <c r="BL58" s="600"/>
      <c r="BM58" s="600"/>
      <c r="BN58" s="600"/>
      <c r="BO58" s="600"/>
      <c r="BP58" s="600"/>
      <c r="BQ58" s="600"/>
      <c r="BR58" s="600"/>
      <c r="BS58" s="600"/>
      <c r="BT58" s="600"/>
      <c r="BU58" s="600"/>
      <c r="BV58" s="600"/>
      <c r="BW58" s="600"/>
      <c r="BX58" s="600"/>
      <c r="BY58" s="600"/>
      <c r="BZ58" s="600"/>
      <c r="CA58" s="600"/>
      <c r="CB58" s="600"/>
      <c r="CC58" s="600"/>
      <c r="CD58" s="600"/>
      <c r="CE58" s="600"/>
      <c r="CF58" s="600"/>
      <c r="CG58" s="600"/>
      <c r="CH58" s="600"/>
      <c r="CI58" s="600"/>
      <c r="CJ58" s="600"/>
      <c r="CK58" s="600"/>
      <c r="CL58" s="600"/>
      <c r="CM58" s="600"/>
      <c r="CN58" s="600"/>
      <c r="CO58" s="600"/>
      <c r="CP58" s="600"/>
      <c r="CQ58" s="600"/>
      <c r="CR58" s="600"/>
      <c r="CS58" s="600"/>
      <c r="CT58" s="600"/>
      <c r="CU58" s="600"/>
      <c r="CV58" s="600"/>
      <c r="CW58" s="600"/>
      <c r="CX58" s="600"/>
      <c r="CY58" s="600"/>
      <c r="CZ58" s="600"/>
      <c r="DA58" s="600"/>
      <c r="DB58" s="600"/>
      <c r="DC58" s="600"/>
      <c r="DD58" s="600"/>
      <c r="DE58" s="600"/>
      <c r="DF58" s="600"/>
      <c r="DG58" s="600"/>
      <c r="DH58" s="600"/>
      <c r="DI58" s="600"/>
      <c r="DJ58" s="600"/>
      <c r="DK58" s="600"/>
      <c r="DL58" s="600"/>
      <c r="DM58" s="600"/>
      <c r="DN58" s="600"/>
      <c r="DO58" s="600"/>
      <c r="DP58" s="600"/>
      <c r="DQ58" s="600"/>
      <c r="DR58" s="600"/>
      <c r="DS58" s="600"/>
      <c r="DT58" s="600"/>
      <c r="DU58" s="600"/>
      <c r="DV58" s="600"/>
      <c r="DW58" s="600"/>
      <c r="DX58" s="600"/>
      <c r="DY58" s="600"/>
      <c r="DZ58" s="600"/>
      <c r="EA58" s="600"/>
      <c r="EB58" s="600"/>
      <c r="EC58" s="600"/>
      <c r="ED58" s="600"/>
      <c r="EE58" s="600"/>
      <c r="EF58" s="600"/>
      <c r="EG58" s="600"/>
      <c r="EH58" s="600"/>
      <c r="EI58" s="600"/>
      <c r="EJ58" s="600"/>
      <c r="EK58" s="600"/>
      <c r="EL58" s="600"/>
      <c r="EM58" s="600"/>
      <c r="EN58" s="600"/>
      <c r="EO58" s="600"/>
      <c r="EP58" s="600"/>
      <c r="EQ58" s="600"/>
      <c r="ER58" s="600"/>
      <c r="ES58" s="600"/>
      <c r="ET58" s="600"/>
      <c r="EU58" s="600"/>
      <c r="EV58" s="600"/>
      <c r="EW58" s="600"/>
      <c r="EX58" s="600"/>
      <c r="EY58" s="600"/>
      <c r="EZ58" s="600"/>
      <c r="FA58" s="600"/>
      <c r="FB58" s="600"/>
      <c r="FC58" s="600"/>
      <c r="FD58" s="600"/>
      <c r="FE58" s="600"/>
      <c r="FF58" s="600"/>
      <c r="FG58" s="600"/>
      <c r="FH58" s="600"/>
      <c r="FI58" s="600"/>
      <c r="FJ58" s="600"/>
      <c r="FK58" s="600"/>
      <c r="FL58" s="600"/>
      <c r="FM58" s="600"/>
      <c r="FN58" s="600"/>
      <c r="FO58" s="600"/>
      <c r="FP58" s="600"/>
      <c r="FQ58" s="600"/>
      <c r="FR58" s="600"/>
      <c r="FS58" s="600"/>
      <c r="FT58" s="600"/>
      <c r="FU58" s="600"/>
      <c r="FV58" s="600"/>
      <c r="FW58" s="600"/>
      <c r="FX58" s="600"/>
      <c r="FY58" s="600"/>
      <c r="FZ58" s="600"/>
      <c r="GA58" s="600"/>
      <c r="GB58" s="600"/>
      <c r="GC58" s="600"/>
      <c r="GD58" s="600"/>
      <c r="GE58" s="600"/>
      <c r="GF58" s="600"/>
      <c r="GG58" s="600"/>
      <c r="GH58" s="600"/>
      <c r="GI58" s="600"/>
      <c r="GJ58" s="600"/>
      <c r="GK58" s="600"/>
      <c r="GL58" s="600"/>
      <c r="GM58" s="600"/>
      <c r="GN58" s="600"/>
      <c r="GO58" s="600"/>
      <c r="GP58" s="600"/>
      <c r="GQ58" s="600"/>
      <c r="GR58" s="600"/>
      <c r="GS58" s="600"/>
      <c r="GT58" s="600"/>
      <c r="GU58" s="600"/>
      <c r="GV58" s="600"/>
      <c r="GW58" s="600"/>
      <c r="GX58" s="600"/>
      <c r="GY58" s="600"/>
      <c r="GZ58" s="600"/>
      <c r="HA58" s="600"/>
      <c r="HB58" s="600"/>
      <c r="HC58" s="600"/>
      <c r="HD58" s="600"/>
      <c r="HE58" s="600"/>
      <c r="HF58" s="600"/>
      <c r="HG58" s="600"/>
      <c r="HH58" s="600"/>
      <c r="HI58" s="600"/>
      <c r="HJ58" s="600"/>
      <c r="HK58" s="600"/>
      <c r="HL58" s="600"/>
      <c r="HM58" s="600"/>
      <c r="HN58" s="600"/>
      <c r="HO58" s="600"/>
      <c r="HP58" s="600"/>
      <c r="HQ58" s="600"/>
      <c r="HR58" s="600"/>
      <c r="HS58" s="600"/>
      <c r="HT58" s="600"/>
      <c r="HU58" s="600"/>
      <c r="HV58" s="600"/>
      <c r="HW58" s="600"/>
      <c r="HX58" s="600"/>
      <c r="HY58" s="600"/>
      <c r="HZ58" s="600"/>
      <c r="IA58" s="600"/>
      <c r="IB58" s="600"/>
      <c r="IC58" s="600"/>
      <c r="ID58" s="600"/>
      <c r="IE58" s="600"/>
      <c r="IF58" s="600"/>
      <c r="IG58" s="600"/>
      <c r="IH58" s="600"/>
      <c r="II58" s="600"/>
      <c r="IJ58" s="600"/>
      <c r="IK58" s="600"/>
      <c r="IL58" s="600"/>
      <c r="IM58" s="600"/>
      <c r="IN58" s="600"/>
      <c r="IO58" s="600"/>
      <c r="IP58" s="600"/>
      <c r="IQ58" s="600"/>
      <c r="IR58" s="600"/>
      <c r="IS58" s="600"/>
    </row>
    <row r="59" spans="1:253" s="601" customFormat="1">
      <c r="A59" s="463" t="s">
        <v>165</v>
      </c>
      <c r="B59" s="460">
        <f>'Sources and Uses Budget'!$C58</f>
        <v>0</v>
      </c>
      <c r="C59" s="460">
        <f>'Sources and Uses Budget'!$C58</f>
        <v>0</v>
      </c>
      <c r="D59" s="464">
        <f t="shared" si="0"/>
        <v>0</v>
      </c>
      <c r="E59" s="462"/>
      <c r="F59" s="461"/>
      <c r="G59" s="605"/>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c r="AR59" s="600"/>
      <c r="AS59" s="600"/>
      <c r="AT59" s="600"/>
      <c r="AU59" s="600"/>
      <c r="AV59" s="600"/>
      <c r="AW59" s="600"/>
      <c r="AX59" s="600"/>
      <c r="AY59" s="600"/>
      <c r="AZ59" s="600"/>
      <c r="BA59" s="600"/>
      <c r="BB59" s="600"/>
      <c r="BC59" s="600"/>
      <c r="BD59" s="600"/>
      <c r="BE59" s="600"/>
      <c r="BF59" s="600"/>
      <c r="BG59" s="600"/>
      <c r="BH59" s="600"/>
      <c r="BI59" s="600"/>
      <c r="BJ59" s="600"/>
      <c r="BK59" s="600"/>
      <c r="BL59" s="600"/>
      <c r="BM59" s="600"/>
      <c r="BN59" s="600"/>
      <c r="BO59" s="600"/>
      <c r="BP59" s="600"/>
      <c r="BQ59" s="600"/>
      <c r="BR59" s="600"/>
      <c r="BS59" s="600"/>
      <c r="BT59" s="600"/>
      <c r="BU59" s="600"/>
      <c r="BV59" s="600"/>
      <c r="BW59" s="600"/>
      <c r="BX59" s="600"/>
      <c r="BY59" s="600"/>
      <c r="BZ59" s="600"/>
      <c r="CA59" s="600"/>
      <c r="CB59" s="600"/>
      <c r="CC59" s="600"/>
      <c r="CD59" s="600"/>
      <c r="CE59" s="600"/>
      <c r="CF59" s="600"/>
      <c r="CG59" s="600"/>
      <c r="CH59" s="600"/>
      <c r="CI59" s="600"/>
      <c r="CJ59" s="600"/>
      <c r="CK59" s="600"/>
      <c r="CL59" s="600"/>
      <c r="CM59" s="600"/>
      <c r="CN59" s="600"/>
      <c r="CO59" s="600"/>
      <c r="CP59" s="600"/>
      <c r="CQ59" s="600"/>
      <c r="CR59" s="600"/>
      <c r="CS59" s="600"/>
      <c r="CT59" s="600"/>
      <c r="CU59" s="600"/>
      <c r="CV59" s="600"/>
      <c r="CW59" s="600"/>
      <c r="CX59" s="600"/>
      <c r="CY59" s="600"/>
      <c r="CZ59" s="600"/>
      <c r="DA59" s="600"/>
      <c r="DB59" s="600"/>
      <c r="DC59" s="600"/>
      <c r="DD59" s="600"/>
      <c r="DE59" s="600"/>
      <c r="DF59" s="600"/>
      <c r="DG59" s="600"/>
      <c r="DH59" s="600"/>
      <c r="DI59" s="600"/>
      <c r="DJ59" s="600"/>
      <c r="DK59" s="600"/>
      <c r="DL59" s="600"/>
      <c r="DM59" s="600"/>
      <c r="DN59" s="600"/>
      <c r="DO59" s="600"/>
      <c r="DP59" s="600"/>
      <c r="DQ59" s="600"/>
      <c r="DR59" s="600"/>
      <c r="DS59" s="600"/>
      <c r="DT59" s="600"/>
      <c r="DU59" s="600"/>
      <c r="DV59" s="600"/>
      <c r="DW59" s="600"/>
      <c r="DX59" s="600"/>
      <c r="DY59" s="600"/>
      <c r="DZ59" s="600"/>
      <c r="EA59" s="600"/>
      <c r="EB59" s="600"/>
      <c r="EC59" s="600"/>
      <c r="ED59" s="600"/>
      <c r="EE59" s="600"/>
      <c r="EF59" s="600"/>
      <c r="EG59" s="600"/>
      <c r="EH59" s="600"/>
      <c r="EI59" s="600"/>
      <c r="EJ59" s="600"/>
      <c r="EK59" s="600"/>
      <c r="EL59" s="600"/>
      <c r="EM59" s="600"/>
      <c r="EN59" s="600"/>
      <c r="EO59" s="600"/>
      <c r="EP59" s="600"/>
      <c r="EQ59" s="600"/>
      <c r="ER59" s="600"/>
      <c r="ES59" s="600"/>
      <c r="ET59" s="600"/>
      <c r="EU59" s="600"/>
      <c r="EV59" s="600"/>
      <c r="EW59" s="600"/>
      <c r="EX59" s="600"/>
      <c r="EY59" s="600"/>
      <c r="EZ59" s="600"/>
      <c r="FA59" s="600"/>
      <c r="FB59" s="600"/>
      <c r="FC59" s="600"/>
      <c r="FD59" s="600"/>
      <c r="FE59" s="600"/>
      <c r="FF59" s="600"/>
      <c r="FG59" s="600"/>
      <c r="FH59" s="600"/>
      <c r="FI59" s="600"/>
      <c r="FJ59" s="600"/>
      <c r="FK59" s="600"/>
      <c r="FL59" s="600"/>
      <c r="FM59" s="600"/>
      <c r="FN59" s="600"/>
      <c r="FO59" s="600"/>
      <c r="FP59" s="600"/>
      <c r="FQ59" s="600"/>
      <c r="FR59" s="600"/>
      <c r="FS59" s="600"/>
      <c r="FT59" s="600"/>
      <c r="FU59" s="600"/>
      <c r="FV59" s="600"/>
      <c r="FW59" s="600"/>
      <c r="FX59" s="600"/>
      <c r="FY59" s="600"/>
      <c r="FZ59" s="600"/>
      <c r="GA59" s="600"/>
      <c r="GB59" s="600"/>
      <c r="GC59" s="600"/>
      <c r="GD59" s="600"/>
      <c r="GE59" s="600"/>
      <c r="GF59" s="600"/>
      <c r="GG59" s="600"/>
      <c r="GH59" s="600"/>
      <c r="GI59" s="600"/>
      <c r="GJ59" s="600"/>
      <c r="GK59" s="600"/>
      <c r="GL59" s="600"/>
      <c r="GM59" s="600"/>
      <c r="GN59" s="600"/>
      <c r="GO59" s="600"/>
      <c r="GP59" s="600"/>
      <c r="GQ59" s="600"/>
      <c r="GR59" s="600"/>
      <c r="GS59" s="600"/>
      <c r="GT59" s="600"/>
      <c r="GU59" s="600"/>
      <c r="GV59" s="600"/>
      <c r="GW59" s="600"/>
      <c r="GX59" s="600"/>
      <c r="GY59" s="600"/>
      <c r="GZ59" s="600"/>
      <c r="HA59" s="600"/>
      <c r="HB59" s="600"/>
      <c r="HC59" s="600"/>
      <c r="HD59" s="600"/>
      <c r="HE59" s="600"/>
      <c r="HF59" s="600"/>
      <c r="HG59" s="600"/>
      <c r="HH59" s="600"/>
      <c r="HI59" s="600"/>
      <c r="HJ59" s="600"/>
      <c r="HK59" s="600"/>
      <c r="HL59" s="600"/>
      <c r="HM59" s="600"/>
      <c r="HN59" s="600"/>
      <c r="HO59" s="600"/>
      <c r="HP59" s="600"/>
      <c r="HQ59" s="600"/>
      <c r="HR59" s="600"/>
      <c r="HS59" s="600"/>
      <c r="HT59" s="600"/>
      <c r="HU59" s="600"/>
      <c r="HV59" s="600"/>
      <c r="HW59" s="600"/>
      <c r="HX59" s="600"/>
      <c r="HY59" s="600"/>
      <c r="HZ59" s="600"/>
      <c r="IA59" s="600"/>
      <c r="IB59" s="600"/>
      <c r="IC59" s="600"/>
      <c r="ID59" s="600"/>
      <c r="IE59" s="600"/>
      <c r="IF59" s="600"/>
      <c r="IG59" s="600"/>
      <c r="IH59" s="600"/>
      <c r="II59" s="600"/>
      <c r="IJ59" s="600"/>
      <c r="IK59" s="600"/>
      <c r="IL59" s="600"/>
      <c r="IM59" s="600"/>
      <c r="IN59" s="600"/>
      <c r="IO59" s="600"/>
      <c r="IP59" s="600"/>
      <c r="IQ59" s="600"/>
      <c r="IR59" s="600"/>
      <c r="IS59" s="600"/>
    </row>
    <row r="60" spans="1:253" s="601" customFormat="1">
      <c r="A60" s="463" t="s">
        <v>166</v>
      </c>
      <c r="B60" s="460">
        <f>'Sources and Uses Budget'!$C59</f>
        <v>0</v>
      </c>
      <c r="C60" s="460">
        <f>'Sources and Uses Budget'!$C59</f>
        <v>0</v>
      </c>
      <c r="D60" s="464">
        <f t="shared" si="0"/>
        <v>0</v>
      </c>
      <c r="E60" s="462"/>
      <c r="F60" s="461"/>
      <c r="G60" s="605"/>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00"/>
      <c r="AU60" s="600"/>
      <c r="AV60" s="600"/>
      <c r="AW60" s="600"/>
      <c r="AX60" s="600"/>
      <c r="AY60" s="600"/>
      <c r="AZ60" s="600"/>
      <c r="BA60" s="600"/>
      <c r="BB60" s="600"/>
      <c r="BC60" s="600"/>
      <c r="BD60" s="600"/>
      <c r="BE60" s="600"/>
      <c r="BF60" s="600"/>
      <c r="BG60" s="600"/>
      <c r="BH60" s="600"/>
      <c r="BI60" s="600"/>
      <c r="BJ60" s="600"/>
      <c r="BK60" s="600"/>
      <c r="BL60" s="600"/>
      <c r="BM60" s="600"/>
      <c r="BN60" s="600"/>
      <c r="BO60" s="600"/>
      <c r="BP60" s="600"/>
      <c r="BQ60" s="600"/>
      <c r="BR60" s="600"/>
      <c r="BS60" s="600"/>
      <c r="BT60" s="600"/>
      <c r="BU60" s="600"/>
      <c r="BV60" s="600"/>
      <c r="BW60" s="600"/>
      <c r="BX60" s="600"/>
      <c r="BY60" s="600"/>
      <c r="BZ60" s="600"/>
      <c r="CA60" s="600"/>
      <c r="CB60" s="600"/>
      <c r="CC60" s="600"/>
      <c r="CD60" s="600"/>
      <c r="CE60" s="600"/>
      <c r="CF60" s="600"/>
      <c r="CG60" s="600"/>
      <c r="CH60" s="600"/>
      <c r="CI60" s="600"/>
      <c r="CJ60" s="600"/>
      <c r="CK60" s="600"/>
      <c r="CL60" s="600"/>
      <c r="CM60" s="600"/>
      <c r="CN60" s="600"/>
      <c r="CO60" s="600"/>
      <c r="CP60" s="600"/>
      <c r="CQ60" s="600"/>
      <c r="CR60" s="600"/>
      <c r="CS60" s="600"/>
      <c r="CT60" s="600"/>
      <c r="CU60" s="600"/>
      <c r="CV60" s="600"/>
      <c r="CW60" s="600"/>
      <c r="CX60" s="600"/>
      <c r="CY60" s="600"/>
      <c r="CZ60" s="600"/>
      <c r="DA60" s="600"/>
      <c r="DB60" s="600"/>
      <c r="DC60" s="600"/>
      <c r="DD60" s="600"/>
      <c r="DE60" s="600"/>
      <c r="DF60" s="600"/>
      <c r="DG60" s="600"/>
      <c r="DH60" s="600"/>
      <c r="DI60" s="600"/>
      <c r="DJ60" s="600"/>
      <c r="DK60" s="600"/>
      <c r="DL60" s="600"/>
      <c r="DM60" s="600"/>
      <c r="DN60" s="600"/>
      <c r="DO60" s="600"/>
      <c r="DP60" s="600"/>
      <c r="DQ60" s="600"/>
      <c r="DR60" s="600"/>
      <c r="DS60" s="600"/>
      <c r="DT60" s="600"/>
      <c r="DU60" s="600"/>
      <c r="DV60" s="600"/>
      <c r="DW60" s="600"/>
      <c r="DX60" s="600"/>
      <c r="DY60" s="600"/>
      <c r="DZ60" s="600"/>
      <c r="EA60" s="600"/>
      <c r="EB60" s="600"/>
      <c r="EC60" s="600"/>
      <c r="ED60" s="600"/>
      <c r="EE60" s="600"/>
      <c r="EF60" s="600"/>
      <c r="EG60" s="600"/>
      <c r="EH60" s="600"/>
      <c r="EI60" s="600"/>
      <c r="EJ60" s="600"/>
      <c r="EK60" s="600"/>
      <c r="EL60" s="600"/>
      <c r="EM60" s="600"/>
      <c r="EN60" s="600"/>
      <c r="EO60" s="600"/>
      <c r="EP60" s="600"/>
      <c r="EQ60" s="600"/>
      <c r="ER60" s="600"/>
      <c r="ES60" s="600"/>
      <c r="ET60" s="600"/>
      <c r="EU60" s="600"/>
      <c r="EV60" s="600"/>
      <c r="EW60" s="600"/>
      <c r="EX60" s="600"/>
      <c r="EY60" s="600"/>
      <c r="EZ60" s="600"/>
      <c r="FA60" s="600"/>
      <c r="FB60" s="600"/>
      <c r="FC60" s="600"/>
      <c r="FD60" s="600"/>
      <c r="FE60" s="600"/>
      <c r="FF60" s="600"/>
      <c r="FG60" s="600"/>
      <c r="FH60" s="600"/>
      <c r="FI60" s="600"/>
      <c r="FJ60" s="600"/>
      <c r="FK60" s="600"/>
      <c r="FL60" s="600"/>
      <c r="FM60" s="600"/>
      <c r="FN60" s="600"/>
      <c r="FO60" s="600"/>
      <c r="FP60" s="600"/>
      <c r="FQ60" s="600"/>
      <c r="FR60" s="600"/>
      <c r="FS60" s="600"/>
      <c r="FT60" s="600"/>
      <c r="FU60" s="600"/>
      <c r="FV60" s="600"/>
      <c r="FW60" s="600"/>
      <c r="FX60" s="600"/>
      <c r="FY60" s="600"/>
      <c r="FZ60" s="600"/>
      <c r="GA60" s="600"/>
      <c r="GB60" s="600"/>
      <c r="GC60" s="600"/>
      <c r="GD60" s="600"/>
      <c r="GE60" s="600"/>
      <c r="GF60" s="600"/>
      <c r="GG60" s="600"/>
      <c r="GH60" s="600"/>
      <c r="GI60" s="600"/>
      <c r="GJ60" s="600"/>
      <c r="GK60" s="600"/>
      <c r="GL60" s="600"/>
      <c r="GM60" s="600"/>
      <c r="GN60" s="600"/>
      <c r="GO60" s="600"/>
      <c r="GP60" s="600"/>
      <c r="GQ60" s="600"/>
      <c r="GR60" s="600"/>
      <c r="GS60" s="600"/>
      <c r="GT60" s="600"/>
      <c r="GU60" s="600"/>
      <c r="GV60" s="600"/>
      <c r="GW60" s="600"/>
      <c r="GX60" s="600"/>
      <c r="GY60" s="600"/>
      <c r="GZ60" s="600"/>
      <c r="HA60" s="600"/>
      <c r="HB60" s="600"/>
      <c r="HC60" s="600"/>
      <c r="HD60" s="600"/>
      <c r="HE60" s="600"/>
      <c r="HF60" s="600"/>
      <c r="HG60" s="600"/>
      <c r="HH60" s="600"/>
      <c r="HI60" s="600"/>
      <c r="HJ60" s="600"/>
      <c r="HK60" s="600"/>
      <c r="HL60" s="600"/>
      <c r="HM60" s="600"/>
      <c r="HN60" s="600"/>
      <c r="HO60" s="600"/>
      <c r="HP60" s="600"/>
      <c r="HQ60" s="600"/>
      <c r="HR60" s="600"/>
      <c r="HS60" s="600"/>
      <c r="HT60" s="600"/>
      <c r="HU60" s="600"/>
      <c r="HV60" s="600"/>
      <c r="HW60" s="600"/>
      <c r="HX60" s="600"/>
      <c r="HY60" s="600"/>
      <c r="HZ60" s="600"/>
      <c r="IA60" s="600"/>
      <c r="IB60" s="600"/>
      <c r="IC60" s="600"/>
      <c r="ID60" s="600"/>
      <c r="IE60" s="600"/>
      <c r="IF60" s="600"/>
      <c r="IG60" s="600"/>
      <c r="IH60" s="600"/>
      <c r="II60" s="600"/>
      <c r="IJ60" s="600"/>
      <c r="IK60" s="600"/>
      <c r="IL60" s="600"/>
      <c r="IM60" s="600"/>
      <c r="IN60" s="600"/>
      <c r="IO60" s="600"/>
      <c r="IP60" s="600"/>
      <c r="IQ60" s="600"/>
      <c r="IR60" s="600"/>
      <c r="IS60" s="600"/>
    </row>
    <row r="61" spans="1:253" s="601" customFormat="1">
      <c r="A61" s="466" t="s">
        <v>38</v>
      </c>
      <c r="B61" s="460">
        <f>'Sources and Uses Budget'!$C60</f>
        <v>255000</v>
      </c>
      <c r="C61" s="460">
        <f>'Sources and Uses Budget'!$C60</f>
        <v>255000</v>
      </c>
      <c r="D61" s="464">
        <f t="shared" si="0"/>
        <v>0</v>
      </c>
      <c r="E61" s="462"/>
      <c r="F61" s="461"/>
      <c r="G61" s="605"/>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c r="AW61" s="600"/>
      <c r="AX61" s="600"/>
      <c r="AY61" s="600"/>
      <c r="AZ61" s="600"/>
      <c r="BA61" s="600"/>
      <c r="BB61" s="600"/>
      <c r="BC61" s="600"/>
      <c r="BD61" s="600"/>
      <c r="BE61" s="600"/>
      <c r="BF61" s="600"/>
      <c r="BG61" s="600"/>
      <c r="BH61" s="600"/>
      <c r="BI61" s="600"/>
      <c r="BJ61" s="600"/>
      <c r="BK61" s="600"/>
      <c r="BL61" s="600"/>
      <c r="BM61" s="600"/>
      <c r="BN61" s="600"/>
      <c r="BO61" s="600"/>
      <c r="BP61" s="600"/>
      <c r="BQ61" s="600"/>
      <c r="BR61" s="600"/>
      <c r="BS61" s="600"/>
      <c r="BT61" s="600"/>
      <c r="BU61" s="600"/>
      <c r="BV61" s="600"/>
      <c r="BW61" s="600"/>
      <c r="BX61" s="600"/>
      <c r="BY61" s="600"/>
      <c r="BZ61" s="600"/>
      <c r="CA61" s="600"/>
      <c r="CB61" s="600"/>
      <c r="CC61" s="600"/>
      <c r="CD61" s="600"/>
      <c r="CE61" s="600"/>
      <c r="CF61" s="600"/>
      <c r="CG61" s="600"/>
      <c r="CH61" s="600"/>
      <c r="CI61" s="600"/>
      <c r="CJ61" s="600"/>
      <c r="CK61" s="600"/>
      <c r="CL61" s="600"/>
      <c r="CM61" s="600"/>
      <c r="CN61" s="600"/>
      <c r="CO61" s="600"/>
      <c r="CP61" s="600"/>
      <c r="CQ61" s="600"/>
      <c r="CR61" s="600"/>
      <c r="CS61" s="600"/>
      <c r="CT61" s="600"/>
      <c r="CU61" s="600"/>
      <c r="CV61" s="600"/>
      <c r="CW61" s="600"/>
      <c r="CX61" s="600"/>
      <c r="CY61" s="600"/>
      <c r="CZ61" s="600"/>
      <c r="DA61" s="600"/>
      <c r="DB61" s="600"/>
      <c r="DC61" s="600"/>
      <c r="DD61" s="600"/>
      <c r="DE61" s="600"/>
      <c r="DF61" s="600"/>
      <c r="DG61" s="600"/>
      <c r="DH61" s="600"/>
      <c r="DI61" s="600"/>
      <c r="DJ61" s="600"/>
      <c r="DK61" s="600"/>
      <c r="DL61" s="600"/>
      <c r="DM61" s="600"/>
      <c r="DN61" s="600"/>
      <c r="DO61" s="600"/>
      <c r="DP61" s="600"/>
      <c r="DQ61" s="600"/>
      <c r="DR61" s="600"/>
      <c r="DS61" s="600"/>
      <c r="DT61" s="600"/>
      <c r="DU61" s="600"/>
      <c r="DV61" s="600"/>
      <c r="DW61" s="600"/>
      <c r="DX61" s="600"/>
      <c r="DY61" s="600"/>
      <c r="DZ61" s="600"/>
      <c r="EA61" s="600"/>
      <c r="EB61" s="600"/>
      <c r="EC61" s="600"/>
      <c r="ED61" s="600"/>
      <c r="EE61" s="600"/>
      <c r="EF61" s="600"/>
      <c r="EG61" s="600"/>
      <c r="EH61" s="600"/>
      <c r="EI61" s="600"/>
      <c r="EJ61" s="600"/>
      <c r="EK61" s="600"/>
      <c r="EL61" s="600"/>
      <c r="EM61" s="600"/>
      <c r="EN61" s="600"/>
      <c r="EO61" s="600"/>
      <c r="EP61" s="600"/>
      <c r="EQ61" s="600"/>
      <c r="ER61" s="600"/>
      <c r="ES61" s="600"/>
      <c r="ET61" s="600"/>
      <c r="EU61" s="600"/>
      <c r="EV61" s="600"/>
      <c r="EW61" s="600"/>
      <c r="EX61" s="600"/>
      <c r="EY61" s="600"/>
      <c r="EZ61" s="600"/>
      <c r="FA61" s="600"/>
      <c r="FB61" s="600"/>
      <c r="FC61" s="600"/>
      <c r="FD61" s="600"/>
      <c r="FE61" s="600"/>
      <c r="FF61" s="600"/>
      <c r="FG61" s="600"/>
      <c r="FH61" s="600"/>
      <c r="FI61" s="600"/>
      <c r="FJ61" s="600"/>
      <c r="FK61" s="600"/>
      <c r="FL61" s="600"/>
      <c r="FM61" s="600"/>
      <c r="FN61" s="600"/>
      <c r="FO61" s="600"/>
      <c r="FP61" s="600"/>
      <c r="FQ61" s="600"/>
      <c r="FR61" s="600"/>
      <c r="FS61" s="600"/>
      <c r="FT61" s="600"/>
      <c r="FU61" s="600"/>
      <c r="FV61" s="600"/>
      <c r="FW61" s="600"/>
      <c r="FX61" s="600"/>
      <c r="FY61" s="600"/>
      <c r="FZ61" s="600"/>
      <c r="GA61" s="600"/>
      <c r="GB61" s="600"/>
      <c r="GC61" s="600"/>
      <c r="GD61" s="600"/>
      <c r="GE61" s="600"/>
      <c r="GF61" s="600"/>
      <c r="GG61" s="600"/>
      <c r="GH61" s="600"/>
      <c r="GI61" s="600"/>
      <c r="GJ61" s="600"/>
      <c r="GK61" s="600"/>
      <c r="GL61" s="600"/>
      <c r="GM61" s="600"/>
      <c r="GN61" s="600"/>
      <c r="GO61" s="600"/>
      <c r="GP61" s="600"/>
      <c r="GQ61" s="600"/>
      <c r="GR61" s="600"/>
      <c r="GS61" s="600"/>
      <c r="GT61" s="600"/>
      <c r="GU61" s="600"/>
      <c r="GV61" s="600"/>
      <c r="GW61" s="600"/>
      <c r="GX61" s="600"/>
      <c r="GY61" s="600"/>
      <c r="GZ61" s="600"/>
      <c r="HA61" s="600"/>
      <c r="HB61" s="600"/>
      <c r="HC61" s="600"/>
      <c r="HD61" s="600"/>
      <c r="HE61" s="600"/>
      <c r="HF61" s="600"/>
      <c r="HG61" s="600"/>
      <c r="HH61" s="600"/>
      <c r="HI61" s="600"/>
      <c r="HJ61" s="600"/>
      <c r="HK61" s="600"/>
      <c r="HL61" s="600"/>
      <c r="HM61" s="600"/>
      <c r="HN61" s="600"/>
      <c r="HO61" s="600"/>
      <c r="HP61" s="600"/>
      <c r="HQ61" s="600"/>
      <c r="HR61" s="600"/>
      <c r="HS61" s="600"/>
      <c r="HT61" s="600"/>
      <c r="HU61" s="600"/>
      <c r="HV61" s="600"/>
      <c r="HW61" s="600"/>
      <c r="HX61" s="600"/>
      <c r="HY61" s="600"/>
      <c r="HZ61" s="600"/>
      <c r="IA61" s="600"/>
      <c r="IB61" s="600"/>
      <c r="IC61" s="600"/>
      <c r="ID61" s="600"/>
      <c r="IE61" s="600"/>
      <c r="IF61" s="600"/>
      <c r="IG61" s="600"/>
      <c r="IH61" s="600"/>
      <c r="II61" s="600"/>
      <c r="IJ61" s="600"/>
      <c r="IK61" s="600"/>
      <c r="IL61" s="600"/>
      <c r="IM61" s="600"/>
      <c r="IN61" s="600"/>
      <c r="IO61" s="600"/>
      <c r="IP61" s="600"/>
      <c r="IQ61" s="600"/>
      <c r="IR61" s="600"/>
      <c r="IS61" s="600"/>
    </row>
    <row r="62" spans="1:253" s="601" customFormat="1">
      <c r="A62" s="466" t="s">
        <v>38</v>
      </c>
      <c r="B62" s="460">
        <f>'Sources and Uses Budget'!$C61</f>
        <v>0</v>
      </c>
      <c r="C62" s="460">
        <f>'Sources and Uses Budget'!$C61</f>
        <v>0</v>
      </c>
      <c r="D62" s="464">
        <f t="shared" si="0"/>
        <v>0</v>
      </c>
      <c r="E62" s="462"/>
      <c r="F62" s="461"/>
      <c r="G62" s="605"/>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c r="AW62" s="600"/>
      <c r="AX62" s="600"/>
      <c r="AY62" s="600"/>
      <c r="AZ62" s="600"/>
      <c r="BA62" s="600"/>
      <c r="BB62" s="600"/>
      <c r="BC62" s="600"/>
      <c r="BD62" s="600"/>
      <c r="BE62" s="600"/>
      <c r="BF62" s="600"/>
      <c r="BG62" s="600"/>
      <c r="BH62" s="600"/>
      <c r="BI62" s="600"/>
      <c r="BJ62" s="600"/>
      <c r="BK62" s="600"/>
      <c r="BL62" s="600"/>
      <c r="BM62" s="600"/>
      <c r="BN62" s="600"/>
      <c r="BO62" s="600"/>
      <c r="BP62" s="600"/>
      <c r="BQ62" s="600"/>
      <c r="BR62" s="600"/>
      <c r="BS62" s="600"/>
      <c r="BT62" s="600"/>
      <c r="BU62" s="600"/>
      <c r="BV62" s="600"/>
      <c r="BW62" s="600"/>
      <c r="BX62" s="600"/>
      <c r="BY62" s="600"/>
      <c r="BZ62" s="600"/>
      <c r="CA62" s="600"/>
      <c r="CB62" s="600"/>
      <c r="CC62" s="600"/>
      <c r="CD62" s="600"/>
      <c r="CE62" s="600"/>
      <c r="CF62" s="600"/>
      <c r="CG62" s="600"/>
      <c r="CH62" s="600"/>
      <c r="CI62" s="600"/>
      <c r="CJ62" s="600"/>
      <c r="CK62" s="600"/>
      <c r="CL62" s="600"/>
      <c r="CM62" s="600"/>
      <c r="CN62" s="600"/>
      <c r="CO62" s="600"/>
      <c r="CP62" s="600"/>
      <c r="CQ62" s="600"/>
      <c r="CR62" s="600"/>
      <c r="CS62" s="600"/>
      <c r="CT62" s="600"/>
      <c r="CU62" s="600"/>
      <c r="CV62" s="600"/>
      <c r="CW62" s="600"/>
      <c r="CX62" s="600"/>
      <c r="CY62" s="600"/>
      <c r="CZ62" s="600"/>
      <c r="DA62" s="600"/>
      <c r="DB62" s="600"/>
      <c r="DC62" s="600"/>
      <c r="DD62" s="600"/>
      <c r="DE62" s="600"/>
      <c r="DF62" s="600"/>
      <c r="DG62" s="600"/>
      <c r="DH62" s="600"/>
      <c r="DI62" s="600"/>
      <c r="DJ62" s="600"/>
      <c r="DK62" s="600"/>
      <c r="DL62" s="600"/>
      <c r="DM62" s="600"/>
      <c r="DN62" s="600"/>
      <c r="DO62" s="600"/>
      <c r="DP62" s="600"/>
      <c r="DQ62" s="600"/>
      <c r="DR62" s="600"/>
      <c r="DS62" s="600"/>
      <c r="DT62" s="600"/>
      <c r="DU62" s="600"/>
      <c r="DV62" s="600"/>
      <c r="DW62" s="600"/>
      <c r="DX62" s="600"/>
      <c r="DY62" s="600"/>
      <c r="DZ62" s="600"/>
      <c r="EA62" s="600"/>
      <c r="EB62" s="600"/>
      <c r="EC62" s="600"/>
      <c r="ED62" s="600"/>
      <c r="EE62" s="600"/>
      <c r="EF62" s="600"/>
      <c r="EG62" s="600"/>
      <c r="EH62" s="600"/>
      <c r="EI62" s="600"/>
      <c r="EJ62" s="600"/>
      <c r="EK62" s="600"/>
      <c r="EL62" s="600"/>
      <c r="EM62" s="600"/>
      <c r="EN62" s="600"/>
      <c r="EO62" s="600"/>
      <c r="EP62" s="600"/>
      <c r="EQ62" s="600"/>
      <c r="ER62" s="600"/>
      <c r="ES62" s="600"/>
      <c r="ET62" s="600"/>
      <c r="EU62" s="600"/>
      <c r="EV62" s="600"/>
      <c r="EW62" s="600"/>
      <c r="EX62" s="600"/>
      <c r="EY62" s="600"/>
      <c r="EZ62" s="600"/>
      <c r="FA62" s="600"/>
      <c r="FB62" s="600"/>
      <c r="FC62" s="600"/>
      <c r="FD62" s="600"/>
      <c r="FE62" s="600"/>
      <c r="FF62" s="600"/>
      <c r="FG62" s="600"/>
      <c r="FH62" s="600"/>
      <c r="FI62" s="600"/>
      <c r="FJ62" s="600"/>
      <c r="FK62" s="600"/>
      <c r="FL62" s="600"/>
      <c r="FM62" s="600"/>
      <c r="FN62" s="600"/>
      <c r="FO62" s="600"/>
      <c r="FP62" s="600"/>
      <c r="FQ62" s="600"/>
      <c r="FR62" s="600"/>
      <c r="FS62" s="600"/>
      <c r="FT62" s="600"/>
      <c r="FU62" s="600"/>
      <c r="FV62" s="600"/>
      <c r="FW62" s="600"/>
      <c r="FX62" s="600"/>
      <c r="FY62" s="600"/>
      <c r="FZ62" s="600"/>
      <c r="GA62" s="600"/>
      <c r="GB62" s="600"/>
      <c r="GC62" s="600"/>
      <c r="GD62" s="600"/>
      <c r="GE62" s="600"/>
      <c r="GF62" s="600"/>
      <c r="GG62" s="600"/>
      <c r="GH62" s="600"/>
      <c r="GI62" s="600"/>
      <c r="GJ62" s="600"/>
      <c r="GK62" s="600"/>
      <c r="GL62" s="600"/>
      <c r="GM62" s="600"/>
      <c r="GN62" s="600"/>
      <c r="GO62" s="600"/>
      <c r="GP62" s="600"/>
      <c r="GQ62" s="600"/>
      <c r="GR62" s="600"/>
      <c r="GS62" s="600"/>
      <c r="GT62" s="600"/>
      <c r="GU62" s="600"/>
      <c r="GV62" s="600"/>
      <c r="GW62" s="600"/>
      <c r="GX62" s="600"/>
      <c r="GY62" s="600"/>
      <c r="GZ62" s="600"/>
      <c r="HA62" s="600"/>
      <c r="HB62" s="600"/>
      <c r="HC62" s="600"/>
      <c r="HD62" s="600"/>
      <c r="HE62" s="600"/>
      <c r="HF62" s="600"/>
      <c r="HG62" s="600"/>
      <c r="HH62" s="600"/>
      <c r="HI62" s="600"/>
      <c r="HJ62" s="600"/>
      <c r="HK62" s="600"/>
      <c r="HL62" s="600"/>
      <c r="HM62" s="600"/>
      <c r="HN62" s="600"/>
      <c r="HO62" s="600"/>
      <c r="HP62" s="600"/>
      <c r="HQ62" s="600"/>
      <c r="HR62" s="600"/>
      <c r="HS62" s="600"/>
      <c r="HT62" s="600"/>
      <c r="HU62" s="600"/>
      <c r="HV62" s="600"/>
      <c r="HW62" s="600"/>
      <c r="HX62" s="600"/>
      <c r="HY62" s="600"/>
      <c r="HZ62" s="600"/>
      <c r="IA62" s="600"/>
      <c r="IB62" s="600"/>
      <c r="IC62" s="600"/>
      <c r="ID62" s="600"/>
      <c r="IE62" s="600"/>
      <c r="IF62" s="600"/>
      <c r="IG62" s="600"/>
      <c r="IH62" s="600"/>
      <c r="II62" s="600"/>
      <c r="IJ62" s="600"/>
      <c r="IK62" s="600"/>
      <c r="IL62" s="600"/>
      <c r="IM62" s="600"/>
      <c r="IN62" s="600"/>
      <c r="IO62" s="600"/>
      <c r="IP62" s="600"/>
      <c r="IQ62" s="600"/>
      <c r="IR62" s="600"/>
      <c r="IS62" s="600"/>
    </row>
    <row r="63" spans="1:253" s="601" customFormat="1" ht="13.7" customHeight="1">
      <c r="A63" s="465" t="s">
        <v>324</v>
      </c>
      <c r="B63" s="464">
        <f>SUM(B56:B62)</f>
        <v>425000</v>
      </c>
      <c r="C63" s="464">
        <f>SUM(C56:C62)</f>
        <v>425000</v>
      </c>
      <c r="D63" s="464">
        <f t="shared" si="0"/>
        <v>0</v>
      </c>
      <c r="E63" s="462"/>
      <c r="F63" s="461"/>
      <c r="G63" s="605"/>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0"/>
      <c r="CJ63" s="600"/>
      <c r="CK63" s="600"/>
      <c r="CL63" s="600"/>
      <c r="CM63" s="600"/>
      <c r="CN63" s="600"/>
      <c r="CO63" s="600"/>
      <c r="CP63" s="600"/>
      <c r="CQ63" s="600"/>
      <c r="CR63" s="600"/>
      <c r="CS63" s="600"/>
      <c r="CT63" s="600"/>
      <c r="CU63" s="600"/>
      <c r="CV63" s="600"/>
      <c r="CW63" s="600"/>
      <c r="CX63" s="600"/>
      <c r="CY63" s="600"/>
      <c r="CZ63" s="600"/>
      <c r="DA63" s="600"/>
      <c r="DB63" s="600"/>
      <c r="DC63" s="600"/>
      <c r="DD63" s="600"/>
      <c r="DE63" s="600"/>
      <c r="DF63" s="600"/>
      <c r="DG63" s="600"/>
      <c r="DH63" s="600"/>
      <c r="DI63" s="600"/>
      <c r="DJ63" s="600"/>
      <c r="DK63" s="600"/>
      <c r="DL63" s="600"/>
      <c r="DM63" s="600"/>
      <c r="DN63" s="600"/>
      <c r="DO63" s="600"/>
      <c r="DP63" s="600"/>
      <c r="DQ63" s="600"/>
      <c r="DR63" s="600"/>
      <c r="DS63" s="600"/>
      <c r="DT63" s="600"/>
      <c r="DU63" s="600"/>
      <c r="DV63" s="600"/>
      <c r="DW63" s="600"/>
      <c r="DX63" s="600"/>
      <c r="DY63" s="600"/>
      <c r="DZ63" s="600"/>
      <c r="EA63" s="600"/>
      <c r="EB63" s="600"/>
      <c r="EC63" s="600"/>
      <c r="ED63" s="600"/>
      <c r="EE63" s="600"/>
      <c r="EF63" s="600"/>
      <c r="EG63" s="600"/>
      <c r="EH63" s="600"/>
      <c r="EI63" s="600"/>
      <c r="EJ63" s="600"/>
      <c r="EK63" s="600"/>
      <c r="EL63" s="600"/>
      <c r="EM63" s="600"/>
      <c r="EN63" s="600"/>
      <c r="EO63" s="600"/>
      <c r="EP63" s="600"/>
      <c r="EQ63" s="600"/>
      <c r="ER63" s="600"/>
      <c r="ES63" s="600"/>
      <c r="ET63" s="600"/>
      <c r="EU63" s="600"/>
      <c r="EV63" s="600"/>
      <c r="EW63" s="600"/>
      <c r="EX63" s="600"/>
      <c r="EY63" s="600"/>
      <c r="EZ63" s="600"/>
      <c r="FA63" s="600"/>
      <c r="FB63" s="600"/>
      <c r="FC63" s="600"/>
      <c r="FD63" s="600"/>
      <c r="FE63" s="600"/>
      <c r="FF63" s="600"/>
      <c r="FG63" s="600"/>
      <c r="FH63" s="600"/>
      <c r="FI63" s="600"/>
      <c r="FJ63" s="600"/>
      <c r="FK63" s="600"/>
      <c r="FL63" s="600"/>
      <c r="FM63" s="600"/>
      <c r="FN63" s="600"/>
      <c r="FO63" s="600"/>
      <c r="FP63" s="600"/>
      <c r="FQ63" s="600"/>
      <c r="FR63" s="600"/>
      <c r="FS63" s="600"/>
      <c r="FT63" s="600"/>
      <c r="FU63" s="600"/>
      <c r="FV63" s="600"/>
      <c r="FW63" s="600"/>
      <c r="FX63" s="600"/>
      <c r="FY63" s="600"/>
      <c r="FZ63" s="600"/>
      <c r="GA63" s="600"/>
      <c r="GB63" s="600"/>
      <c r="GC63" s="600"/>
      <c r="GD63" s="600"/>
      <c r="GE63" s="600"/>
      <c r="GF63" s="600"/>
      <c r="GG63" s="600"/>
      <c r="GH63" s="600"/>
      <c r="GI63" s="600"/>
      <c r="GJ63" s="600"/>
      <c r="GK63" s="600"/>
      <c r="GL63" s="600"/>
      <c r="GM63" s="600"/>
      <c r="GN63" s="600"/>
      <c r="GO63" s="600"/>
      <c r="GP63" s="600"/>
      <c r="GQ63" s="600"/>
      <c r="GR63" s="600"/>
      <c r="GS63" s="600"/>
      <c r="GT63" s="600"/>
      <c r="GU63" s="600"/>
      <c r="GV63" s="600"/>
      <c r="GW63" s="600"/>
      <c r="GX63" s="600"/>
      <c r="GY63" s="600"/>
      <c r="GZ63" s="600"/>
      <c r="HA63" s="600"/>
      <c r="HB63" s="600"/>
      <c r="HC63" s="600"/>
      <c r="HD63" s="600"/>
      <c r="HE63" s="600"/>
      <c r="HF63" s="600"/>
      <c r="HG63" s="600"/>
      <c r="HH63" s="600"/>
      <c r="HI63" s="600"/>
      <c r="HJ63" s="600"/>
      <c r="HK63" s="600"/>
      <c r="HL63" s="600"/>
      <c r="HM63" s="600"/>
      <c r="HN63" s="600"/>
      <c r="HO63" s="600"/>
      <c r="HP63" s="600"/>
      <c r="HQ63" s="600"/>
      <c r="HR63" s="600"/>
      <c r="HS63" s="600"/>
      <c r="HT63" s="600"/>
      <c r="HU63" s="600"/>
      <c r="HV63" s="600"/>
      <c r="HW63" s="600"/>
      <c r="HX63" s="600"/>
      <c r="HY63" s="600"/>
      <c r="HZ63" s="600"/>
      <c r="IA63" s="600"/>
      <c r="IB63" s="600"/>
      <c r="IC63" s="600"/>
      <c r="ID63" s="600"/>
      <c r="IE63" s="600"/>
      <c r="IF63" s="600"/>
      <c r="IG63" s="600"/>
      <c r="IH63" s="600"/>
      <c r="II63" s="600"/>
      <c r="IJ63" s="600"/>
      <c r="IK63" s="600"/>
      <c r="IL63" s="600"/>
      <c r="IM63" s="600"/>
      <c r="IN63" s="600"/>
      <c r="IO63" s="600"/>
      <c r="IP63" s="600"/>
      <c r="IQ63" s="600"/>
      <c r="IR63" s="600"/>
      <c r="IS63" s="600"/>
    </row>
    <row r="64" spans="1:253" s="601" customFormat="1">
      <c r="A64" s="468" t="s">
        <v>325</v>
      </c>
      <c r="B64" s="464">
        <f>SUM(B9+B12+B14+B15+B17+B26+B27+B37+B41+B42+B54+B63)</f>
        <v>12855783.547717843</v>
      </c>
      <c r="C64" s="464">
        <f>SUM(C9+C12+C14+C15+C17+C26+C27+C37+C41+C42+C54+C63)</f>
        <v>12855783.547717843</v>
      </c>
      <c r="D64" s="464">
        <f t="shared" si="0"/>
        <v>0</v>
      </c>
      <c r="E64" s="462"/>
      <c r="F64" s="461"/>
      <c r="G64" s="605"/>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c r="AR64" s="600"/>
      <c r="AS64" s="600"/>
      <c r="AT64" s="600"/>
      <c r="AU64" s="600"/>
      <c r="AV64" s="600"/>
      <c r="AW64" s="600"/>
      <c r="AX64" s="600"/>
      <c r="AY64" s="600"/>
      <c r="AZ64" s="600"/>
      <c r="BA64" s="600"/>
      <c r="BB64" s="600"/>
      <c r="BC64" s="600"/>
      <c r="BD64" s="600"/>
      <c r="BE64" s="600"/>
      <c r="BF64" s="600"/>
      <c r="BG64" s="600"/>
      <c r="BH64" s="600"/>
      <c r="BI64" s="600"/>
      <c r="BJ64" s="600"/>
      <c r="BK64" s="600"/>
      <c r="BL64" s="600"/>
      <c r="BM64" s="600"/>
      <c r="BN64" s="600"/>
      <c r="BO64" s="600"/>
      <c r="BP64" s="600"/>
      <c r="BQ64" s="600"/>
      <c r="BR64" s="600"/>
      <c r="BS64" s="600"/>
      <c r="BT64" s="600"/>
      <c r="BU64" s="600"/>
      <c r="BV64" s="600"/>
      <c r="BW64" s="600"/>
      <c r="BX64" s="600"/>
      <c r="BY64" s="600"/>
      <c r="BZ64" s="600"/>
      <c r="CA64" s="600"/>
      <c r="CB64" s="600"/>
      <c r="CC64" s="600"/>
      <c r="CD64" s="600"/>
      <c r="CE64" s="600"/>
      <c r="CF64" s="600"/>
      <c r="CG64" s="600"/>
      <c r="CH64" s="600"/>
      <c r="CI64" s="600"/>
      <c r="CJ64" s="600"/>
      <c r="CK64" s="600"/>
      <c r="CL64" s="600"/>
      <c r="CM64" s="600"/>
      <c r="CN64" s="600"/>
      <c r="CO64" s="600"/>
      <c r="CP64" s="600"/>
      <c r="CQ64" s="600"/>
      <c r="CR64" s="600"/>
      <c r="CS64" s="600"/>
      <c r="CT64" s="600"/>
      <c r="CU64" s="600"/>
      <c r="CV64" s="600"/>
      <c r="CW64" s="600"/>
      <c r="CX64" s="600"/>
      <c r="CY64" s="600"/>
      <c r="CZ64" s="600"/>
      <c r="DA64" s="600"/>
      <c r="DB64" s="600"/>
      <c r="DC64" s="600"/>
      <c r="DD64" s="600"/>
      <c r="DE64" s="600"/>
      <c r="DF64" s="600"/>
      <c r="DG64" s="600"/>
      <c r="DH64" s="600"/>
      <c r="DI64" s="600"/>
      <c r="DJ64" s="600"/>
      <c r="DK64" s="600"/>
      <c r="DL64" s="600"/>
      <c r="DM64" s="600"/>
      <c r="DN64" s="600"/>
      <c r="DO64" s="600"/>
      <c r="DP64" s="600"/>
      <c r="DQ64" s="600"/>
      <c r="DR64" s="600"/>
      <c r="DS64" s="600"/>
      <c r="DT64" s="600"/>
      <c r="DU64" s="600"/>
      <c r="DV64" s="600"/>
      <c r="DW64" s="600"/>
      <c r="DX64" s="600"/>
      <c r="DY64" s="600"/>
      <c r="DZ64" s="600"/>
      <c r="EA64" s="600"/>
      <c r="EB64" s="600"/>
      <c r="EC64" s="600"/>
      <c r="ED64" s="600"/>
      <c r="EE64" s="600"/>
      <c r="EF64" s="600"/>
      <c r="EG64" s="600"/>
      <c r="EH64" s="600"/>
      <c r="EI64" s="600"/>
      <c r="EJ64" s="600"/>
      <c r="EK64" s="600"/>
      <c r="EL64" s="600"/>
      <c r="EM64" s="600"/>
      <c r="EN64" s="600"/>
      <c r="EO64" s="600"/>
      <c r="EP64" s="600"/>
      <c r="EQ64" s="600"/>
      <c r="ER64" s="600"/>
      <c r="ES64" s="600"/>
      <c r="ET64" s="600"/>
      <c r="EU64" s="600"/>
      <c r="EV64" s="600"/>
      <c r="EW64" s="600"/>
      <c r="EX64" s="600"/>
      <c r="EY64" s="600"/>
      <c r="EZ64" s="600"/>
      <c r="FA64" s="600"/>
      <c r="FB64" s="600"/>
      <c r="FC64" s="600"/>
      <c r="FD64" s="600"/>
      <c r="FE64" s="600"/>
      <c r="FF64" s="600"/>
      <c r="FG64" s="600"/>
      <c r="FH64" s="600"/>
      <c r="FI64" s="600"/>
      <c r="FJ64" s="600"/>
      <c r="FK64" s="600"/>
      <c r="FL64" s="600"/>
      <c r="FM64" s="600"/>
      <c r="FN64" s="600"/>
      <c r="FO64" s="600"/>
      <c r="FP64" s="600"/>
      <c r="FQ64" s="600"/>
      <c r="FR64" s="600"/>
      <c r="FS64" s="600"/>
      <c r="FT64" s="600"/>
      <c r="FU64" s="600"/>
      <c r="FV64" s="600"/>
      <c r="FW64" s="600"/>
      <c r="FX64" s="600"/>
      <c r="FY64" s="600"/>
      <c r="FZ64" s="600"/>
      <c r="GA64" s="600"/>
      <c r="GB64" s="600"/>
      <c r="GC64" s="600"/>
      <c r="GD64" s="600"/>
      <c r="GE64" s="600"/>
      <c r="GF64" s="600"/>
      <c r="GG64" s="600"/>
      <c r="GH64" s="600"/>
      <c r="GI64" s="600"/>
      <c r="GJ64" s="600"/>
      <c r="GK64" s="600"/>
      <c r="GL64" s="600"/>
      <c r="GM64" s="600"/>
      <c r="GN64" s="600"/>
      <c r="GO64" s="600"/>
      <c r="GP64" s="600"/>
      <c r="GQ64" s="600"/>
      <c r="GR64" s="600"/>
      <c r="GS64" s="600"/>
      <c r="GT64" s="600"/>
      <c r="GU64" s="600"/>
      <c r="GV64" s="600"/>
      <c r="GW64" s="600"/>
      <c r="GX64" s="600"/>
      <c r="GY64" s="600"/>
      <c r="GZ64" s="600"/>
      <c r="HA64" s="600"/>
      <c r="HB64" s="600"/>
      <c r="HC64" s="600"/>
      <c r="HD64" s="600"/>
      <c r="HE64" s="600"/>
      <c r="HF64" s="600"/>
      <c r="HG64" s="600"/>
      <c r="HH64" s="600"/>
      <c r="HI64" s="600"/>
      <c r="HJ64" s="600"/>
      <c r="HK64" s="600"/>
      <c r="HL64" s="600"/>
      <c r="HM64" s="600"/>
      <c r="HN64" s="600"/>
      <c r="HO64" s="600"/>
      <c r="HP64" s="600"/>
      <c r="HQ64" s="600"/>
      <c r="HR64" s="600"/>
      <c r="HS64" s="600"/>
      <c r="HT64" s="600"/>
      <c r="HU64" s="600"/>
      <c r="HV64" s="600"/>
      <c r="HW64" s="600"/>
      <c r="HX64" s="600"/>
      <c r="HY64" s="600"/>
      <c r="HZ64" s="600"/>
      <c r="IA64" s="600"/>
      <c r="IB64" s="600"/>
      <c r="IC64" s="600"/>
      <c r="ID64" s="600"/>
      <c r="IE64" s="600"/>
      <c r="IF64" s="600"/>
      <c r="IG64" s="600"/>
      <c r="IH64" s="600"/>
      <c r="II64" s="600"/>
      <c r="IJ64" s="600"/>
      <c r="IK64" s="600"/>
      <c r="IL64" s="600"/>
      <c r="IM64" s="600"/>
      <c r="IN64" s="600"/>
      <c r="IO64" s="600"/>
      <c r="IP64" s="600"/>
      <c r="IQ64" s="600"/>
      <c r="IR64" s="600"/>
      <c r="IS64" s="600"/>
    </row>
    <row r="65" spans="1:253" s="601" customFormat="1">
      <c r="A65" s="458" t="s">
        <v>182</v>
      </c>
      <c r="B65" s="458"/>
      <c r="C65" s="458"/>
      <c r="D65" s="458"/>
      <c r="E65" s="478"/>
      <c r="F65" s="458"/>
      <c r="G65" s="605"/>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c r="AR65" s="600"/>
      <c r="AS65" s="600"/>
      <c r="AT65" s="600"/>
      <c r="AU65" s="600"/>
      <c r="AV65" s="600"/>
      <c r="AW65" s="600"/>
      <c r="AX65" s="600"/>
      <c r="AY65" s="600"/>
      <c r="AZ65" s="600"/>
      <c r="BA65" s="600"/>
      <c r="BB65" s="600"/>
      <c r="BC65" s="600"/>
      <c r="BD65" s="600"/>
      <c r="BE65" s="600"/>
      <c r="BF65" s="600"/>
      <c r="BG65" s="600"/>
      <c r="BH65" s="600"/>
      <c r="BI65" s="600"/>
      <c r="BJ65" s="600"/>
      <c r="BK65" s="600"/>
      <c r="BL65" s="600"/>
      <c r="BM65" s="600"/>
      <c r="BN65" s="600"/>
      <c r="BO65" s="600"/>
      <c r="BP65" s="600"/>
      <c r="BQ65" s="600"/>
      <c r="BR65" s="600"/>
      <c r="BS65" s="600"/>
      <c r="BT65" s="600"/>
      <c r="BU65" s="600"/>
      <c r="BV65" s="600"/>
      <c r="BW65" s="600"/>
      <c r="BX65" s="600"/>
      <c r="BY65" s="600"/>
      <c r="BZ65" s="600"/>
      <c r="CA65" s="600"/>
      <c r="CB65" s="600"/>
      <c r="CC65" s="600"/>
      <c r="CD65" s="600"/>
      <c r="CE65" s="600"/>
      <c r="CF65" s="600"/>
      <c r="CG65" s="600"/>
      <c r="CH65" s="600"/>
      <c r="CI65" s="600"/>
      <c r="CJ65" s="600"/>
      <c r="CK65" s="600"/>
      <c r="CL65" s="600"/>
      <c r="CM65" s="600"/>
      <c r="CN65" s="600"/>
      <c r="CO65" s="600"/>
      <c r="CP65" s="600"/>
      <c r="CQ65" s="600"/>
      <c r="CR65" s="600"/>
      <c r="CS65" s="600"/>
      <c r="CT65" s="600"/>
      <c r="CU65" s="600"/>
      <c r="CV65" s="600"/>
      <c r="CW65" s="600"/>
      <c r="CX65" s="600"/>
      <c r="CY65" s="600"/>
      <c r="CZ65" s="600"/>
      <c r="DA65" s="600"/>
      <c r="DB65" s="600"/>
      <c r="DC65" s="600"/>
      <c r="DD65" s="600"/>
      <c r="DE65" s="600"/>
      <c r="DF65" s="600"/>
      <c r="DG65" s="600"/>
      <c r="DH65" s="600"/>
      <c r="DI65" s="600"/>
      <c r="DJ65" s="600"/>
      <c r="DK65" s="600"/>
      <c r="DL65" s="600"/>
      <c r="DM65" s="600"/>
      <c r="DN65" s="600"/>
      <c r="DO65" s="600"/>
      <c r="DP65" s="600"/>
      <c r="DQ65" s="600"/>
      <c r="DR65" s="600"/>
      <c r="DS65" s="600"/>
      <c r="DT65" s="600"/>
      <c r="DU65" s="600"/>
      <c r="DV65" s="600"/>
      <c r="DW65" s="600"/>
      <c r="DX65" s="600"/>
      <c r="DY65" s="600"/>
      <c r="DZ65" s="600"/>
      <c r="EA65" s="600"/>
      <c r="EB65" s="600"/>
      <c r="EC65" s="600"/>
      <c r="ED65" s="600"/>
      <c r="EE65" s="600"/>
      <c r="EF65" s="600"/>
      <c r="EG65" s="600"/>
      <c r="EH65" s="600"/>
      <c r="EI65" s="600"/>
      <c r="EJ65" s="600"/>
      <c r="EK65" s="600"/>
      <c r="EL65" s="600"/>
      <c r="EM65" s="600"/>
      <c r="EN65" s="600"/>
      <c r="EO65" s="600"/>
      <c r="EP65" s="600"/>
      <c r="EQ65" s="600"/>
      <c r="ER65" s="600"/>
      <c r="ES65" s="600"/>
      <c r="ET65" s="600"/>
      <c r="EU65" s="600"/>
      <c r="EV65" s="600"/>
      <c r="EW65" s="600"/>
      <c r="EX65" s="600"/>
      <c r="EY65" s="600"/>
      <c r="EZ65" s="600"/>
      <c r="FA65" s="600"/>
      <c r="FB65" s="600"/>
      <c r="FC65" s="600"/>
      <c r="FD65" s="600"/>
      <c r="FE65" s="600"/>
      <c r="FF65" s="600"/>
      <c r="FG65" s="600"/>
      <c r="FH65" s="600"/>
      <c r="FI65" s="600"/>
      <c r="FJ65" s="600"/>
      <c r="FK65" s="600"/>
      <c r="FL65" s="600"/>
      <c r="FM65" s="600"/>
      <c r="FN65" s="600"/>
      <c r="FO65" s="600"/>
      <c r="FP65" s="600"/>
      <c r="FQ65" s="600"/>
      <c r="FR65" s="600"/>
      <c r="FS65" s="600"/>
      <c r="FT65" s="600"/>
      <c r="FU65" s="600"/>
      <c r="FV65" s="600"/>
      <c r="FW65" s="600"/>
      <c r="FX65" s="600"/>
      <c r="FY65" s="600"/>
      <c r="FZ65" s="600"/>
      <c r="GA65" s="600"/>
      <c r="GB65" s="600"/>
      <c r="GC65" s="600"/>
      <c r="GD65" s="600"/>
      <c r="GE65" s="600"/>
      <c r="GF65" s="600"/>
      <c r="GG65" s="600"/>
      <c r="GH65" s="600"/>
      <c r="GI65" s="600"/>
      <c r="GJ65" s="600"/>
      <c r="GK65" s="600"/>
      <c r="GL65" s="600"/>
      <c r="GM65" s="600"/>
      <c r="GN65" s="600"/>
      <c r="GO65" s="600"/>
      <c r="GP65" s="600"/>
      <c r="GQ65" s="600"/>
      <c r="GR65" s="600"/>
      <c r="GS65" s="600"/>
      <c r="GT65" s="600"/>
      <c r="GU65" s="600"/>
      <c r="GV65" s="600"/>
      <c r="GW65" s="600"/>
      <c r="GX65" s="600"/>
      <c r="GY65" s="600"/>
      <c r="GZ65" s="600"/>
      <c r="HA65" s="600"/>
      <c r="HB65" s="600"/>
      <c r="HC65" s="600"/>
      <c r="HD65" s="600"/>
      <c r="HE65" s="600"/>
      <c r="HF65" s="600"/>
      <c r="HG65" s="600"/>
      <c r="HH65" s="600"/>
      <c r="HI65" s="600"/>
      <c r="HJ65" s="600"/>
      <c r="HK65" s="600"/>
      <c r="HL65" s="600"/>
      <c r="HM65" s="600"/>
      <c r="HN65" s="600"/>
      <c r="HO65" s="600"/>
      <c r="HP65" s="600"/>
      <c r="HQ65" s="600"/>
      <c r="HR65" s="600"/>
      <c r="HS65" s="600"/>
      <c r="HT65" s="600"/>
      <c r="HU65" s="600"/>
      <c r="HV65" s="600"/>
      <c r="HW65" s="600"/>
      <c r="HX65" s="600"/>
      <c r="HY65" s="600"/>
      <c r="HZ65" s="600"/>
      <c r="IA65" s="600"/>
      <c r="IB65" s="600"/>
      <c r="IC65" s="600"/>
      <c r="ID65" s="600"/>
      <c r="IE65" s="600"/>
      <c r="IF65" s="600"/>
      <c r="IG65" s="600"/>
      <c r="IH65" s="600"/>
      <c r="II65" s="600"/>
      <c r="IJ65" s="600"/>
      <c r="IK65" s="600"/>
      <c r="IL65" s="600"/>
      <c r="IM65" s="600"/>
      <c r="IN65" s="600"/>
      <c r="IO65" s="600"/>
      <c r="IP65" s="600"/>
      <c r="IQ65" s="600"/>
      <c r="IR65" s="600"/>
      <c r="IS65" s="600"/>
    </row>
    <row r="66" spans="1:253" s="601" customFormat="1">
      <c r="A66" s="463" t="s">
        <v>183</v>
      </c>
      <c r="B66" s="460">
        <f>'Sources and Uses Budget'!$C65</f>
        <v>75000</v>
      </c>
      <c r="C66" s="460">
        <f>'Sources and Uses Budget'!$C65</f>
        <v>75000</v>
      </c>
      <c r="D66" s="464">
        <f t="shared" si="0"/>
        <v>0</v>
      </c>
      <c r="E66" s="462"/>
      <c r="F66" s="461"/>
      <c r="G66" s="605"/>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600"/>
      <c r="AZ66" s="600"/>
      <c r="BA66" s="600"/>
      <c r="BB66" s="600"/>
      <c r="BC66" s="600"/>
      <c r="BD66" s="600"/>
      <c r="BE66" s="600"/>
      <c r="BF66" s="600"/>
      <c r="BG66" s="600"/>
      <c r="BH66" s="600"/>
      <c r="BI66" s="600"/>
      <c r="BJ66" s="600"/>
      <c r="BK66" s="600"/>
      <c r="BL66" s="600"/>
      <c r="BM66" s="600"/>
      <c r="BN66" s="600"/>
      <c r="BO66" s="600"/>
      <c r="BP66" s="600"/>
      <c r="BQ66" s="600"/>
      <c r="BR66" s="600"/>
      <c r="BS66" s="600"/>
      <c r="BT66" s="600"/>
      <c r="BU66" s="600"/>
      <c r="BV66" s="600"/>
      <c r="BW66" s="600"/>
      <c r="BX66" s="600"/>
      <c r="BY66" s="600"/>
      <c r="BZ66" s="600"/>
      <c r="CA66" s="600"/>
      <c r="CB66" s="600"/>
      <c r="CC66" s="600"/>
      <c r="CD66" s="600"/>
      <c r="CE66" s="600"/>
      <c r="CF66" s="600"/>
      <c r="CG66" s="600"/>
      <c r="CH66" s="600"/>
      <c r="CI66" s="600"/>
      <c r="CJ66" s="600"/>
      <c r="CK66" s="600"/>
      <c r="CL66" s="600"/>
      <c r="CM66" s="600"/>
      <c r="CN66" s="600"/>
      <c r="CO66" s="600"/>
      <c r="CP66" s="600"/>
      <c r="CQ66" s="600"/>
      <c r="CR66" s="600"/>
      <c r="CS66" s="600"/>
      <c r="CT66" s="600"/>
      <c r="CU66" s="600"/>
      <c r="CV66" s="600"/>
      <c r="CW66" s="600"/>
      <c r="CX66" s="600"/>
      <c r="CY66" s="600"/>
      <c r="CZ66" s="600"/>
      <c r="DA66" s="600"/>
      <c r="DB66" s="600"/>
      <c r="DC66" s="600"/>
      <c r="DD66" s="600"/>
      <c r="DE66" s="600"/>
      <c r="DF66" s="600"/>
      <c r="DG66" s="600"/>
      <c r="DH66" s="600"/>
      <c r="DI66" s="600"/>
      <c r="DJ66" s="600"/>
      <c r="DK66" s="600"/>
      <c r="DL66" s="600"/>
      <c r="DM66" s="600"/>
      <c r="DN66" s="600"/>
      <c r="DO66" s="600"/>
      <c r="DP66" s="600"/>
      <c r="DQ66" s="600"/>
      <c r="DR66" s="600"/>
      <c r="DS66" s="600"/>
      <c r="DT66" s="600"/>
      <c r="DU66" s="600"/>
      <c r="DV66" s="600"/>
      <c r="DW66" s="600"/>
      <c r="DX66" s="600"/>
      <c r="DY66" s="600"/>
      <c r="DZ66" s="600"/>
      <c r="EA66" s="600"/>
      <c r="EB66" s="600"/>
      <c r="EC66" s="600"/>
      <c r="ED66" s="600"/>
      <c r="EE66" s="600"/>
      <c r="EF66" s="600"/>
      <c r="EG66" s="600"/>
      <c r="EH66" s="600"/>
      <c r="EI66" s="600"/>
      <c r="EJ66" s="600"/>
      <c r="EK66" s="600"/>
      <c r="EL66" s="600"/>
      <c r="EM66" s="600"/>
      <c r="EN66" s="600"/>
      <c r="EO66" s="600"/>
      <c r="EP66" s="600"/>
      <c r="EQ66" s="600"/>
      <c r="ER66" s="600"/>
      <c r="ES66" s="600"/>
      <c r="ET66" s="600"/>
      <c r="EU66" s="600"/>
      <c r="EV66" s="600"/>
      <c r="EW66" s="600"/>
      <c r="EX66" s="600"/>
      <c r="EY66" s="600"/>
      <c r="EZ66" s="600"/>
      <c r="FA66" s="600"/>
      <c r="FB66" s="600"/>
      <c r="FC66" s="600"/>
      <c r="FD66" s="600"/>
      <c r="FE66" s="600"/>
      <c r="FF66" s="600"/>
      <c r="FG66" s="600"/>
      <c r="FH66" s="600"/>
      <c r="FI66" s="600"/>
      <c r="FJ66" s="600"/>
      <c r="FK66" s="600"/>
      <c r="FL66" s="600"/>
      <c r="FM66" s="600"/>
      <c r="FN66" s="600"/>
      <c r="FO66" s="600"/>
      <c r="FP66" s="600"/>
      <c r="FQ66" s="600"/>
      <c r="FR66" s="600"/>
      <c r="FS66" s="600"/>
      <c r="FT66" s="600"/>
      <c r="FU66" s="600"/>
      <c r="FV66" s="600"/>
      <c r="FW66" s="600"/>
      <c r="FX66" s="600"/>
      <c r="FY66" s="600"/>
      <c r="FZ66" s="600"/>
      <c r="GA66" s="600"/>
      <c r="GB66" s="600"/>
      <c r="GC66" s="600"/>
      <c r="GD66" s="600"/>
      <c r="GE66" s="600"/>
      <c r="GF66" s="600"/>
      <c r="GG66" s="600"/>
      <c r="GH66" s="600"/>
      <c r="GI66" s="600"/>
      <c r="GJ66" s="600"/>
      <c r="GK66" s="600"/>
      <c r="GL66" s="600"/>
      <c r="GM66" s="600"/>
      <c r="GN66" s="600"/>
      <c r="GO66" s="600"/>
      <c r="GP66" s="600"/>
      <c r="GQ66" s="600"/>
      <c r="GR66" s="600"/>
      <c r="GS66" s="600"/>
      <c r="GT66" s="600"/>
      <c r="GU66" s="600"/>
      <c r="GV66" s="600"/>
      <c r="GW66" s="600"/>
      <c r="GX66" s="600"/>
      <c r="GY66" s="600"/>
      <c r="GZ66" s="600"/>
      <c r="HA66" s="600"/>
      <c r="HB66" s="600"/>
      <c r="HC66" s="600"/>
      <c r="HD66" s="600"/>
      <c r="HE66" s="600"/>
      <c r="HF66" s="600"/>
      <c r="HG66" s="600"/>
      <c r="HH66" s="600"/>
      <c r="HI66" s="600"/>
      <c r="HJ66" s="600"/>
      <c r="HK66" s="600"/>
      <c r="HL66" s="600"/>
      <c r="HM66" s="600"/>
      <c r="HN66" s="600"/>
      <c r="HO66" s="600"/>
      <c r="HP66" s="600"/>
      <c r="HQ66" s="600"/>
      <c r="HR66" s="600"/>
      <c r="HS66" s="600"/>
      <c r="HT66" s="600"/>
      <c r="HU66" s="600"/>
      <c r="HV66" s="600"/>
      <c r="HW66" s="600"/>
      <c r="HX66" s="600"/>
      <c r="HY66" s="600"/>
      <c r="HZ66" s="600"/>
      <c r="IA66" s="600"/>
      <c r="IB66" s="600"/>
      <c r="IC66" s="600"/>
      <c r="ID66" s="600"/>
      <c r="IE66" s="600"/>
      <c r="IF66" s="600"/>
      <c r="IG66" s="600"/>
      <c r="IH66" s="600"/>
      <c r="II66" s="600"/>
      <c r="IJ66" s="600"/>
      <c r="IK66" s="600"/>
      <c r="IL66" s="600"/>
      <c r="IM66" s="600"/>
      <c r="IN66" s="600"/>
      <c r="IO66" s="600"/>
      <c r="IP66" s="600"/>
      <c r="IQ66" s="600"/>
      <c r="IR66" s="600"/>
      <c r="IS66" s="600"/>
    </row>
    <row r="67" spans="1:253" s="601" customFormat="1">
      <c r="A67" s="466" t="s">
        <v>38</v>
      </c>
      <c r="B67" s="460">
        <f>'Sources and Uses Budget'!$C66</f>
        <v>75000</v>
      </c>
      <c r="C67" s="460">
        <f>'Sources and Uses Budget'!$C66</f>
        <v>75000</v>
      </c>
      <c r="D67" s="464">
        <f t="shared" si="0"/>
        <v>0</v>
      </c>
      <c r="E67" s="462"/>
      <c r="F67" s="461"/>
      <c r="G67" s="605"/>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0"/>
      <c r="AS67" s="600"/>
      <c r="AT67" s="600"/>
      <c r="AU67" s="600"/>
      <c r="AV67" s="600"/>
      <c r="AW67" s="600"/>
      <c r="AX67" s="600"/>
      <c r="AY67" s="600"/>
      <c r="AZ67" s="600"/>
      <c r="BA67" s="600"/>
      <c r="BB67" s="600"/>
      <c r="BC67" s="600"/>
      <c r="BD67" s="600"/>
      <c r="BE67" s="600"/>
      <c r="BF67" s="600"/>
      <c r="BG67" s="600"/>
      <c r="BH67" s="600"/>
      <c r="BI67" s="600"/>
      <c r="BJ67" s="600"/>
      <c r="BK67" s="600"/>
      <c r="BL67" s="600"/>
      <c r="BM67" s="600"/>
      <c r="BN67" s="600"/>
      <c r="BO67" s="600"/>
      <c r="BP67" s="600"/>
      <c r="BQ67" s="600"/>
      <c r="BR67" s="600"/>
      <c r="BS67" s="600"/>
      <c r="BT67" s="600"/>
      <c r="BU67" s="600"/>
      <c r="BV67" s="600"/>
      <c r="BW67" s="600"/>
      <c r="BX67" s="600"/>
      <c r="BY67" s="600"/>
      <c r="BZ67" s="600"/>
      <c r="CA67" s="600"/>
      <c r="CB67" s="600"/>
      <c r="CC67" s="600"/>
      <c r="CD67" s="600"/>
      <c r="CE67" s="600"/>
      <c r="CF67" s="600"/>
      <c r="CG67" s="600"/>
      <c r="CH67" s="600"/>
      <c r="CI67" s="600"/>
      <c r="CJ67" s="600"/>
      <c r="CK67" s="600"/>
      <c r="CL67" s="600"/>
      <c r="CM67" s="600"/>
      <c r="CN67" s="600"/>
      <c r="CO67" s="600"/>
      <c r="CP67" s="600"/>
      <c r="CQ67" s="600"/>
      <c r="CR67" s="600"/>
      <c r="CS67" s="600"/>
      <c r="CT67" s="600"/>
      <c r="CU67" s="600"/>
      <c r="CV67" s="600"/>
      <c r="CW67" s="600"/>
      <c r="CX67" s="600"/>
      <c r="CY67" s="600"/>
      <c r="CZ67" s="600"/>
      <c r="DA67" s="600"/>
      <c r="DB67" s="600"/>
      <c r="DC67" s="600"/>
      <c r="DD67" s="600"/>
      <c r="DE67" s="600"/>
      <c r="DF67" s="600"/>
      <c r="DG67" s="600"/>
      <c r="DH67" s="600"/>
      <c r="DI67" s="600"/>
      <c r="DJ67" s="600"/>
      <c r="DK67" s="600"/>
      <c r="DL67" s="600"/>
      <c r="DM67" s="600"/>
      <c r="DN67" s="600"/>
      <c r="DO67" s="600"/>
      <c r="DP67" s="600"/>
      <c r="DQ67" s="600"/>
      <c r="DR67" s="600"/>
      <c r="DS67" s="600"/>
      <c r="DT67" s="600"/>
      <c r="DU67" s="600"/>
      <c r="DV67" s="600"/>
      <c r="DW67" s="600"/>
      <c r="DX67" s="600"/>
      <c r="DY67" s="600"/>
      <c r="DZ67" s="600"/>
      <c r="EA67" s="600"/>
      <c r="EB67" s="600"/>
      <c r="EC67" s="600"/>
      <c r="ED67" s="600"/>
      <c r="EE67" s="600"/>
      <c r="EF67" s="600"/>
      <c r="EG67" s="600"/>
      <c r="EH67" s="600"/>
      <c r="EI67" s="600"/>
      <c r="EJ67" s="600"/>
      <c r="EK67" s="600"/>
      <c r="EL67" s="600"/>
      <c r="EM67" s="600"/>
      <c r="EN67" s="600"/>
      <c r="EO67" s="600"/>
      <c r="EP67" s="600"/>
      <c r="EQ67" s="600"/>
      <c r="ER67" s="600"/>
      <c r="ES67" s="600"/>
      <c r="ET67" s="600"/>
      <c r="EU67" s="600"/>
      <c r="EV67" s="600"/>
      <c r="EW67" s="600"/>
      <c r="EX67" s="600"/>
      <c r="EY67" s="600"/>
      <c r="EZ67" s="600"/>
      <c r="FA67" s="600"/>
      <c r="FB67" s="600"/>
      <c r="FC67" s="600"/>
      <c r="FD67" s="600"/>
      <c r="FE67" s="600"/>
      <c r="FF67" s="600"/>
      <c r="FG67" s="600"/>
      <c r="FH67" s="600"/>
      <c r="FI67" s="600"/>
      <c r="FJ67" s="600"/>
      <c r="FK67" s="600"/>
      <c r="FL67" s="600"/>
      <c r="FM67" s="600"/>
      <c r="FN67" s="600"/>
      <c r="FO67" s="600"/>
      <c r="FP67" s="600"/>
      <c r="FQ67" s="600"/>
      <c r="FR67" s="600"/>
      <c r="FS67" s="600"/>
      <c r="FT67" s="600"/>
      <c r="FU67" s="600"/>
      <c r="FV67" s="600"/>
      <c r="FW67" s="600"/>
      <c r="FX67" s="600"/>
      <c r="FY67" s="600"/>
      <c r="FZ67" s="600"/>
      <c r="GA67" s="600"/>
      <c r="GB67" s="600"/>
      <c r="GC67" s="600"/>
      <c r="GD67" s="600"/>
      <c r="GE67" s="600"/>
      <c r="GF67" s="600"/>
      <c r="GG67" s="600"/>
      <c r="GH67" s="600"/>
      <c r="GI67" s="600"/>
      <c r="GJ67" s="600"/>
      <c r="GK67" s="600"/>
      <c r="GL67" s="600"/>
      <c r="GM67" s="600"/>
      <c r="GN67" s="600"/>
      <c r="GO67" s="600"/>
      <c r="GP67" s="600"/>
      <c r="GQ67" s="600"/>
      <c r="GR67" s="600"/>
      <c r="GS67" s="600"/>
      <c r="GT67" s="600"/>
      <c r="GU67" s="600"/>
      <c r="GV67" s="600"/>
      <c r="GW67" s="600"/>
      <c r="GX67" s="600"/>
      <c r="GY67" s="600"/>
      <c r="GZ67" s="600"/>
      <c r="HA67" s="600"/>
      <c r="HB67" s="600"/>
      <c r="HC67" s="600"/>
      <c r="HD67" s="600"/>
      <c r="HE67" s="600"/>
      <c r="HF67" s="600"/>
      <c r="HG67" s="600"/>
      <c r="HH67" s="600"/>
      <c r="HI67" s="600"/>
      <c r="HJ67" s="600"/>
      <c r="HK67" s="600"/>
      <c r="HL67" s="600"/>
      <c r="HM67" s="600"/>
      <c r="HN67" s="600"/>
      <c r="HO67" s="600"/>
      <c r="HP67" s="600"/>
      <c r="HQ67" s="600"/>
      <c r="HR67" s="600"/>
      <c r="HS67" s="600"/>
      <c r="HT67" s="600"/>
      <c r="HU67" s="600"/>
      <c r="HV67" s="600"/>
      <c r="HW67" s="600"/>
      <c r="HX67" s="600"/>
      <c r="HY67" s="600"/>
      <c r="HZ67" s="600"/>
      <c r="IA67" s="600"/>
      <c r="IB67" s="600"/>
      <c r="IC67" s="600"/>
      <c r="ID67" s="600"/>
      <c r="IE67" s="600"/>
      <c r="IF67" s="600"/>
      <c r="IG67" s="600"/>
      <c r="IH67" s="600"/>
      <c r="II67" s="600"/>
      <c r="IJ67" s="600"/>
      <c r="IK67" s="600"/>
      <c r="IL67" s="600"/>
      <c r="IM67" s="600"/>
      <c r="IN67" s="600"/>
      <c r="IO67" s="600"/>
      <c r="IP67" s="600"/>
      <c r="IQ67" s="600"/>
      <c r="IR67" s="600"/>
      <c r="IS67" s="600"/>
    </row>
    <row r="68" spans="1:253" s="601" customFormat="1">
      <c r="A68" s="465" t="s">
        <v>682</v>
      </c>
      <c r="B68" s="464">
        <f>SUM(B66:B67)</f>
        <v>150000</v>
      </c>
      <c r="C68" s="464">
        <f>SUM(C66:C67)</f>
        <v>150000</v>
      </c>
      <c r="D68" s="464">
        <f t="shared" si="0"/>
        <v>0</v>
      </c>
      <c r="E68" s="462"/>
      <c r="F68" s="461"/>
      <c r="G68" s="605"/>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600"/>
      <c r="AZ68" s="600"/>
      <c r="BA68" s="600"/>
      <c r="BB68" s="600"/>
      <c r="BC68" s="600"/>
      <c r="BD68" s="600"/>
      <c r="BE68" s="600"/>
      <c r="BF68" s="600"/>
      <c r="BG68" s="600"/>
      <c r="BH68" s="600"/>
      <c r="BI68" s="600"/>
      <c r="BJ68" s="600"/>
      <c r="BK68" s="600"/>
      <c r="BL68" s="600"/>
      <c r="BM68" s="600"/>
      <c r="BN68" s="600"/>
      <c r="BO68" s="600"/>
      <c r="BP68" s="600"/>
      <c r="BQ68" s="600"/>
      <c r="BR68" s="600"/>
      <c r="BS68" s="600"/>
      <c r="BT68" s="600"/>
      <c r="BU68" s="600"/>
      <c r="BV68" s="600"/>
      <c r="BW68" s="600"/>
      <c r="BX68" s="600"/>
      <c r="BY68" s="600"/>
      <c r="BZ68" s="600"/>
      <c r="CA68" s="600"/>
      <c r="CB68" s="600"/>
      <c r="CC68" s="600"/>
      <c r="CD68" s="600"/>
      <c r="CE68" s="600"/>
      <c r="CF68" s="600"/>
      <c r="CG68" s="600"/>
      <c r="CH68" s="600"/>
      <c r="CI68" s="600"/>
      <c r="CJ68" s="600"/>
      <c r="CK68" s="600"/>
      <c r="CL68" s="600"/>
      <c r="CM68" s="600"/>
      <c r="CN68" s="600"/>
      <c r="CO68" s="600"/>
      <c r="CP68" s="600"/>
      <c r="CQ68" s="600"/>
      <c r="CR68" s="600"/>
      <c r="CS68" s="600"/>
      <c r="CT68" s="600"/>
      <c r="CU68" s="600"/>
      <c r="CV68" s="600"/>
      <c r="CW68" s="600"/>
      <c r="CX68" s="600"/>
      <c r="CY68" s="600"/>
      <c r="CZ68" s="600"/>
      <c r="DA68" s="600"/>
      <c r="DB68" s="600"/>
      <c r="DC68" s="600"/>
      <c r="DD68" s="600"/>
      <c r="DE68" s="600"/>
      <c r="DF68" s="600"/>
      <c r="DG68" s="600"/>
      <c r="DH68" s="600"/>
      <c r="DI68" s="600"/>
      <c r="DJ68" s="600"/>
      <c r="DK68" s="600"/>
      <c r="DL68" s="600"/>
      <c r="DM68" s="600"/>
      <c r="DN68" s="600"/>
      <c r="DO68" s="600"/>
      <c r="DP68" s="600"/>
      <c r="DQ68" s="600"/>
      <c r="DR68" s="600"/>
      <c r="DS68" s="600"/>
      <c r="DT68" s="600"/>
      <c r="DU68" s="600"/>
      <c r="DV68" s="600"/>
      <c r="DW68" s="600"/>
      <c r="DX68" s="600"/>
      <c r="DY68" s="600"/>
      <c r="DZ68" s="600"/>
      <c r="EA68" s="600"/>
      <c r="EB68" s="600"/>
      <c r="EC68" s="600"/>
      <c r="ED68" s="600"/>
      <c r="EE68" s="600"/>
      <c r="EF68" s="600"/>
      <c r="EG68" s="600"/>
      <c r="EH68" s="600"/>
      <c r="EI68" s="600"/>
      <c r="EJ68" s="600"/>
      <c r="EK68" s="600"/>
      <c r="EL68" s="600"/>
      <c r="EM68" s="600"/>
      <c r="EN68" s="600"/>
      <c r="EO68" s="600"/>
      <c r="EP68" s="600"/>
      <c r="EQ68" s="600"/>
      <c r="ER68" s="600"/>
      <c r="ES68" s="600"/>
      <c r="ET68" s="600"/>
      <c r="EU68" s="600"/>
      <c r="EV68" s="600"/>
      <c r="EW68" s="600"/>
      <c r="EX68" s="600"/>
      <c r="EY68" s="600"/>
      <c r="EZ68" s="600"/>
      <c r="FA68" s="600"/>
      <c r="FB68" s="600"/>
      <c r="FC68" s="600"/>
      <c r="FD68" s="600"/>
      <c r="FE68" s="600"/>
      <c r="FF68" s="600"/>
      <c r="FG68" s="600"/>
      <c r="FH68" s="600"/>
      <c r="FI68" s="600"/>
      <c r="FJ68" s="600"/>
      <c r="FK68" s="600"/>
      <c r="FL68" s="600"/>
      <c r="FM68" s="600"/>
      <c r="FN68" s="600"/>
      <c r="FO68" s="600"/>
      <c r="FP68" s="600"/>
      <c r="FQ68" s="600"/>
      <c r="FR68" s="600"/>
      <c r="FS68" s="600"/>
      <c r="FT68" s="600"/>
      <c r="FU68" s="600"/>
      <c r="FV68" s="600"/>
      <c r="FW68" s="600"/>
      <c r="FX68" s="600"/>
      <c r="FY68" s="600"/>
      <c r="FZ68" s="600"/>
      <c r="GA68" s="600"/>
      <c r="GB68" s="600"/>
      <c r="GC68" s="600"/>
      <c r="GD68" s="600"/>
      <c r="GE68" s="600"/>
      <c r="GF68" s="600"/>
      <c r="GG68" s="600"/>
      <c r="GH68" s="600"/>
      <c r="GI68" s="600"/>
      <c r="GJ68" s="600"/>
      <c r="GK68" s="600"/>
      <c r="GL68" s="600"/>
      <c r="GM68" s="600"/>
      <c r="GN68" s="600"/>
      <c r="GO68" s="600"/>
      <c r="GP68" s="600"/>
      <c r="GQ68" s="600"/>
      <c r="GR68" s="600"/>
      <c r="GS68" s="600"/>
      <c r="GT68" s="600"/>
      <c r="GU68" s="600"/>
      <c r="GV68" s="600"/>
      <c r="GW68" s="600"/>
      <c r="GX68" s="600"/>
      <c r="GY68" s="600"/>
      <c r="GZ68" s="600"/>
      <c r="HA68" s="600"/>
      <c r="HB68" s="600"/>
      <c r="HC68" s="600"/>
      <c r="HD68" s="600"/>
      <c r="HE68" s="600"/>
      <c r="HF68" s="600"/>
      <c r="HG68" s="600"/>
      <c r="HH68" s="600"/>
      <c r="HI68" s="600"/>
      <c r="HJ68" s="600"/>
      <c r="HK68" s="600"/>
      <c r="HL68" s="600"/>
      <c r="HM68" s="600"/>
      <c r="HN68" s="600"/>
      <c r="HO68" s="600"/>
      <c r="HP68" s="600"/>
      <c r="HQ68" s="600"/>
      <c r="HR68" s="600"/>
      <c r="HS68" s="600"/>
      <c r="HT68" s="600"/>
      <c r="HU68" s="600"/>
      <c r="HV68" s="600"/>
      <c r="HW68" s="600"/>
      <c r="HX68" s="600"/>
      <c r="HY68" s="600"/>
      <c r="HZ68" s="600"/>
      <c r="IA68" s="600"/>
      <c r="IB68" s="600"/>
      <c r="IC68" s="600"/>
      <c r="ID68" s="600"/>
      <c r="IE68" s="600"/>
      <c r="IF68" s="600"/>
      <c r="IG68" s="600"/>
      <c r="IH68" s="600"/>
      <c r="II68" s="600"/>
      <c r="IJ68" s="600"/>
      <c r="IK68" s="600"/>
      <c r="IL68" s="600"/>
      <c r="IM68" s="600"/>
      <c r="IN68" s="600"/>
      <c r="IO68" s="600"/>
      <c r="IP68" s="600"/>
      <c r="IQ68" s="600"/>
      <c r="IR68" s="600"/>
      <c r="IS68" s="600"/>
    </row>
    <row r="69" spans="1:253" s="601" customFormat="1">
      <c r="A69" s="458" t="s">
        <v>683</v>
      </c>
      <c r="B69" s="458"/>
      <c r="C69" s="458"/>
      <c r="D69" s="458"/>
      <c r="E69" s="478"/>
      <c r="F69" s="458"/>
      <c r="G69" s="605"/>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c r="AR69" s="600"/>
      <c r="AS69" s="600"/>
      <c r="AT69" s="600"/>
      <c r="AU69" s="600"/>
      <c r="AV69" s="600"/>
      <c r="AW69" s="600"/>
      <c r="AX69" s="600"/>
      <c r="AY69" s="600"/>
      <c r="AZ69" s="600"/>
      <c r="BA69" s="600"/>
      <c r="BB69" s="600"/>
      <c r="BC69" s="600"/>
      <c r="BD69" s="600"/>
      <c r="BE69" s="600"/>
      <c r="BF69" s="600"/>
      <c r="BG69" s="600"/>
      <c r="BH69" s="600"/>
      <c r="BI69" s="600"/>
      <c r="BJ69" s="600"/>
      <c r="BK69" s="600"/>
      <c r="BL69" s="600"/>
      <c r="BM69" s="600"/>
      <c r="BN69" s="600"/>
      <c r="BO69" s="600"/>
      <c r="BP69" s="600"/>
      <c r="BQ69" s="600"/>
      <c r="BR69" s="600"/>
      <c r="BS69" s="600"/>
      <c r="BT69" s="600"/>
      <c r="BU69" s="600"/>
      <c r="BV69" s="600"/>
      <c r="BW69" s="600"/>
      <c r="BX69" s="600"/>
      <c r="BY69" s="600"/>
      <c r="BZ69" s="600"/>
      <c r="CA69" s="600"/>
      <c r="CB69" s="600"/>
      <c r="CC69" s="600"/>
      <c r="CD69" s="600"/>
      <c r="CE69" s="600"/>
      <c r="CF69" s="600"/>
      <c r="CG69" s="600"/>
      <c r="CH69" s="600"/>
      <c r="CI69" s="600"/>
      <c r="CJ69" s="600"/>
      <c r="CK69" s="600"/>
      <c r="CL69" s="600"/>
      <c r="CM69" s="600"/>
      <c r="CN69" s="600"/>
      <c r="CO69" s="600"/>
      <c r="CP69" s="600"/>
      <c r="CQ69" s="600"/>
      <c r="CR69" s="600"/>
      <c r="CS69" s="600"/>
      <c r="CT69" s="600"/>
      <c r="CU69" s="600"/>
      <c r="CV69" s="600"/>
      <c r="CW69" s="600"/>
      <c r="CX69" s="600"/>
      <c r="CY69" s="600"/>
      <c r="CZ69" s="600"/>
      <c r="DA69" s="600"/>
      <c r="DB69" s="600"/>
      <c r="DC69" s="600"/>
      <c r="DD69" s="600"/>
      <c r="DE69" s="600"/>
      <c r="DF69" s="600"/>
      <c r="DG69" s="600"/>
      <c r="DH69" s="600"/>
      <c r="DI69" s="600"/>
      <c r="DJ69" s="600"/>
      <c r="DK69" s="600"/>
      <c r="DL69" s="600"/>
      <c r="DM69" s="600"/>
      <c r="DN69" s="600"/>
      <c r="DO69" s="600"/>
      <c r="DP69" s="600"/>
      <c r="DQ69" s="600"/>
      <c r="DR69" s="600"/>
      <c r="DS69" s="600"/>
      <c r="DT69" s="600"/>
      <c r="DU69" s="600"/>
      <c r="DV69" s="600"/>
      <c r="DW69" s="600"/>
      <c r="DX69" s="600"/>
      <c r="DY69" s="600"/>
      <c r="DZ69" s="600"/>
      <c r="EA69" s="600"/>
      <c r="EB69" s="600"/>
      <c r="EC69" s="600"/>
      <c r="ED69" s="600"/>
      <c r="EE69" s="600"/>
      <c r="EF69" s="600"/>
      <c r="EG69" s="600"/>
      <c r="EH69" s="600"/>
      <c r="EI69" s="600"/>
      <c r="EJ69" s="600"/>
      <c r="EK69" s="600"/>
      <c r="EL69" s="600"/>
      <c r="EM69" s="600"/>
      <c r="EN69" s="600"/>
      <c r="EO69" s="600"/>
      <c r="EP69" s="600"/>
      <c r="EQ69" s="600"/>
      <c r="ER69" s="600"/>
      <c r="ES69" s="600"/>
      <c r="ET69" s="600"/>
      <c r="EU69" s="600"/>
      <c r="EV69" s="600"/>
      <c r="EW69" s="600"/>
      <c r="EX69" s="600"/>
      <c r="EY69" s="600"/>
      <c r="EZ69" s="600"/>
      <c r="FA69" s="600"/>
      <c r="FB69" s="600"/>
      <c r="FC69" s="600"/>
      <c r="FD69" s="600"/>
      <c r="FE69" s="600"/>
      <c r="FF69" s="600"/>
      <c r="FG69" s="600"/>
      <c r="FH69" s="600"/>
      <c r="FI69" s="600"/>
      <c r="FJ69" s="600"/>
      <c r="FK69" s="600"/>
      <c r="FL69" s="600"/>
      <c r="FM69" s="600"/>
      <c r="FN69" s="600"/>
      <c r="FO69" s="600"/>
      <c r="FP69" s="600"/>
      <c r="FQ69" s="600"/>
      <c r="FR69" s="600"/>
      <c r="FS69" s="600"/>
      <c r="FT69" s="600"/>
      <c r="FU69" s="600"/>
      <c r="FV69" s="600"/>
      <c r="FW69" s="600"/>
      <c r="FX69" s="600"/>
      <c r="FY69" s="600"/>
      <c r="FZ69" s="600"/>
      <c r="GA69" s="600"/>
      <c r="GB69" s="600"/>
      <c r="GC69" s="600"/>
      <c r="GD69" s="600"/>
      <c r="GE69" s="600"/>
      <c r="GF69" s="600"/>
      <c r="GG69" s="600"/>
      <c r="GH69" s="600"/>
      <c r="GI69" s="600"/>
      <c r="GJ69" s="600"/>
      <c r="GK69" s="600"/>
      <c r="GL69" s="600"/>
      <c r="GM69" s="600"/>
      <c r="GN69" s="600"/>
      <c r="GO69" s="600"/>
      <c r="GP69" s="600"/>
      <c r="GQ69" s="600"/>
      <c r="GR69" s="600"/>
      <c r="GS69" s="600"/>
      <c r="GT69" s="600"/>
      <c r="GU69" s="600"/>
      <c r="GV69" s="600"/>
      <c r="GW69" s="600"/>
      <c r="GX69" s="600"/>
      <c r="GY69" s="600"/>
      <c r="GZ69" s="600"/>
      <c r="HA69" s="600"/>
      <c r="HB69" s="600"/>
      <c r="HC69" s="600"/>
      <c r="HD69" s="600"/>
      <c r="HE69" s="600"/>
      <c r="HF69" s="600"/>
      <c r="HG69" s="600"/>
      <c r="HH69" s="600"/>
      <c r="HI69" s="600"/>
      <c r="HJ69" s="600"/>
      <c r="HK69" s="600"/>
      <c r="HL69" s="600"/>
      <c r="HM69" s="600"/>
      <c r="HN69" s="600"/>
      <c r="HO69" s="600"/>
      <c r="HP69" s="600"/>
      <c r="HQ69" s="600"/>
      <c r="HR69" s="600"/>
      <c r="HS69" s="600"/>
      <c r="HT69" s="600"/>
      <c r="HU69" s="600"/>
      <c r="HV69" s="600"/>
      <c r="HW69" s="600"/>
      <c r="HX69" s="600"/>
      <c r="HY69" s="600"/>
      <c r="HZ69" s="600"/>
      <c r="IA69" s="600"/>
      <c r="IB69" s="600"/>
      <c r="IC69" s="600"/>
      <c r="ID69" s="600"/>
      <c r="IE69" s="600"/>
      <c r="IF69" s="600"/>
      <c r="IG69" s="600"/>
      <c r="IH69" s="600"/>
      <c r="II69" s="600"/>
      <c r="IJ69" s="600"/>
      <c r="IK69" s="600"/>
      <c r="IL69" s="600"/>
      <c r="IM69" s="600"/>
      <c r="IN69" s="600"/>
      <c r="IO69" s="600"/>
      <c r="IP69" s="600"/>
      <c r="IQ69" s="600"/>
      <c r="IR69" s="600"/>
      <c r="IS69" s="600"/>
    </row>
    <row r="70" spans="1:253" s="601" customFormat="1">
      <c r="A70" s="463" t="s">
        <v>684</v>
      </c>
      <c r="B70" s="460">
        <f>'Sources and Uses Budget'!$C69</f>
        <v>300000</v>
      </c>
      <c r="C70" s="460">
        <f>'Sources and Uses Budget'!$C69</f>
        <v>300000</v>
      </c>
      <c r="D70" s="464">
        <f t="shared" si="0"/>
        <v>0</v>
      </c>
      <c r="E70" s="462"/>
      <c r="F70" s="461"/>
      <c r="G70" s="607"/>
    </row>
    <row r="71" spans="1:253" s="601" customFormat="1">
      <c r="A71" s="463" t="s">
        <v>685</v>
      </c>
      <c r="B71" s="460">
        <f>'Sources and Uses Budget'!$C70</f>
        <v>0</v>
      </c>
      <c r="C71" s="460">
        <f>'Sources and Uses Budget'!$C70</f>
        <v>0</v>
      </c>
      <c r="D71" s="464">
        <f t="shared" si="0"/>
        <v>0</v>
      </c>
      <c r="E71" s="462"/>
      <c r="F71" s="461"/>
      <c r="G71" s="607"/>
    </row>
    <row r="72" spans="1:253" s="601" customFormat="1">
      <c r="A72" s="558" t="s">
        <v>1173</v>
      </c>
      <c r="B72" s="460">
        <f>'Sources and Uses Budget'!$C71</f>
        <v>0</v>
      </c>
      <c r="C72" s="460">
        <f>'Sources and Uses Budget'!$C71</f>
        <v>0</v>
      </c>
      <c r="D72" s="464">
        <f t="shared" si="0"/>
        <v>0</v>
      </c>
      <c r="E72" s="462"/>
      <c r="F72" s="461"/>
      <c r="G72" s="607"/>
    </row>
    <row r="73" spans="1:253" s="601" customFormat="1">
      <c r="A73" s="463" t="s">
        <v>686</v>
      </c>
      <c r="B73" s="460">
        <f>'Sources and Uses Budget'!$C72</f>
        <v>234640</v>
      </c>
      <c r="C73" s="460">
        <f>'Sources and Uses Budget'!$C72</f>
        <v>234640</v>
      </c>
      <c r="D73" s="464">
        <f t="shared" si="0"/>
        <v>0</v>
      </c>
      <c r="E73" s="462"/>
      <c r="F73" s="461"/>
      <c r="G73" s="607"/>
    </row>
    <row r="74" spans="1:253" s="601" customFormat="1">
      <c r="A74" s="466" t="s">
        <v>38</v>
      </c>
      <c r="B74" s="460">
        <f>'Sources and Uses Budget'!$C73</f>
        <v>0</v>
      </c>
      <c r="C74" s="460">
        <f>'Sources and Uses Budget'!$C73</f>
        <v>0</v>
      </c>
      <c r="D74" s="464">
        <f t="shared" si="0"/>
        <v>0</v>
      </c>
      <c r="E74" s="462"/>
      <c r="F74" s="461"/>
      <c r="G74" s="607"/>
    </row>
    <row r="75" spans="1:253" s="601" customFormat="1">
      <c r="A75" s="465" t="s">
        <v>687</v>
      </c>
      <c r="B75" s="464">
        <f>SUM(B70:B74)</f>
        <v>534640</v>
      </c>
      <c r="C75" s="464">
        <f>SUM(C70:C74)</f>
        <v>534640</v>
      </c>
      <c r="D75" s="464">
        <f t="shared" ref="D75:D106" si="1">C75-B75</f>
        <v>0</v>
      </c>
      <c r="E75" s="462"/>
      <c r="F75" s="461"/>
      <c r="G75" s="607"/>
    </row>
    <row r="76" spans="1:253" s="601" customFormat="1">
      <c r="A76" s="458" t="s">
        <v>1560</v>
      </c>
      <c r="B76" s="458"/>
      <c r="C76" s="458"/>
      <c r="D76" s="458"/>
      <c r="E76" s="478"/>
      <c r="F76" s="458"/>
      <c r="G76" s="607"/>
    </row>
    <row r="77" spans="1:253" s="601" customFormat="1">
      <c r="A77" s="947" t="s">
        <v>1562</v>
      </c>
      <c r="B77" s="460">
        <f>'Sources and Uses Budget'!$C76</f>
        <v>480207</v>
      </c>
      <c r="C77" s="460">
        <f>'Sources and Uses Budget'!$C76</f>
        <v>480207</v>
      </c>
      <c r="D77" s="464">
        <f t="shared" si="1"/>
        <v>0</v>
      </c>
      <c r="E77" s="462"/>
      <c r="F77" s="461"/>
      <c r="G77" s="607"/>
    </row>
    <row r="78" spans="1:253" s="601" customFormat="1">
      <c r="A78" s="947" t="s">
        <v>64</v>
      </c>
      <c r="B78" s="460">
        <f>'Sources and Uses Budget'!$C77</f>
        <v>75248</v>
      </c>
      <c r="C78" s="460">
        <f>'Sources and Uses Budget'!$C77</f>
        <v>75248</v>
      </c>
      <c r="D78" s="464">
        <f t="shared" ref="D78" si="2">C78-B78</f>
        <v>0</v>
      </c>
      <c r="E78" s="462"/>
      <c r="F78" s="461"/>
      <c r="G78" s="607"/>
    </row>
    <row r="79" spans="1:253" s="601" customFormat="1">
      <c r="A79" s="465" t="s">
        <v>1559</v>
      </c>
      <c r="B79" s="464">
        <f>SUM(B77:B78)</f>
        <v>555455</v>
      </c>
      <c r="C79" s="464">
        <f>SUM(C77:C78)</f>
        <v>555455</v>
      </c>
      <c r="D79" s="464">
        <f t="shared" si="1"/>
        <v>0</v>
      </c>
      <c r="E79" s="462"/>
      <c r="F79" s="461"/>
      <c r="G79" s="607"/>
    </row>
    <row r="80" spans="1:253" s="601" customFormat="1">
      <c r="A80" s="458" t="s">
        <v>876</v>
      </c>
      <c r="B80" s="458"/>
      <c r="C80" s="458"/>
      <c r="D80" s="458"/>
      <c r="E80" s="478"/>
      <c r="F80" s="458"/>
      <c r="G80" s="607"/>
    </row>
    <row r="81" spans="1:7" s="601" customFormat="1" ht="13.7" customHeight="1">
      <c r="A81" s="463" t="s">
        <v>877</v>
      </c>
      <c r="B81" s="460">
        <f>'Sources and Uses Budget'!$C80</f>
        <v>37605</v>
      </c>
      <c r="C81" s="460">
        <f>'Sources and Uses Budget'!$C80</f>
        <v>37605</v>
      </c>
      <c r="D81" s="464">
        <f t="shared" si="1"/>
        <v>0</v>
      </c>
      <c r="E81" s="462"/>
      <c r="F81" s="461"/>
      <c r="G81" s="607"/>
    </row>
    <row r="82" spans="1:7" s="601" customFormat="1">
      <c r="A82" s="463" t="s">
        <v>878</v>
      </c>
      <c r="B82" s="460">
        <f>'Sources and Uses Budget'!$C81</f>
        <v>10000</v>
      </c>
      <c r="C82" s="460">
        <f>'Sources and Uses Budget'!$C81</f>
        <v>10000</v>
      </c>
      <c r="D82" s="464">
        <f t="shared" si="1"/>
        <v>0</v>
      </c>
      <c r="E82" s="462"/>
      <c r="F82" s="461"/>
      <c r="G82" s="607"/>
    </row>
    <row r="83" spans="1:7" s="601" customFormat="1">
      <c r="A83" s="463" t="s">
        <v>879</v>
      </c>
      <c r="B83" s="460">
        <f>'Sources and Uses Budget'!$C82</f>
        <v>0</v>
      </c>
      <c r="C83" s="460">
        <f>'Sources and Uses Budget'!$C82</f>
        <v>0</v>
      </c>
      <c r="D83" s="464">
        <f t="shared" si="1"/>
        <v>0</v>
      </c>
      <c r="E83" s="462"/>
      <c r="F83" s="461"/>
      <c r="G83" s="607"/>
    </row>
    <row r="84" spans="1:7" s="601" customFormat="1">
      <c r="A84" s="463" t="s">
        <v>880</v>
      </c>
      <c r="B84" s="460">
        <f>'Sources and Uses Budget'!$C83</f>
        <v>50000</v>
      </c>
      <c r="C84" s="460">
        <f>'Sources and Uses Budget'!$C83</f>
        <v>50000</v>
      </c>
      <c r="D84" s="464">
        <f t="shared" si="1"/>
        <v>0</v>
      </c>
      <c r="E84" s="462"/>
      <c r="F84" s="461"/>
      <c r="G84" s="607"/>
    </row>
    <row r="85" spans="1:7" s="601" customFormat="1">
      <c r="A85" s="463" t="s">
        <v>881</v>
      </c>
      <c r="B85" s="460">
        <f>'Sources and Uses Budget'!$C84</f>
        <v>0</v>
      </c>
      <c r="C85" s="460">
        <f>'Sources and Uses Budget'!$C84</f>
        <v>0</v>
      </c>
      <c r="D85" s="464">
        <f t="shared" si="1"/>
        <v>0</v>
      </c>
      <c r="E85" s="462"/>
      <c r="F85" s="461"/>
      <c r="G85" s="607"/>
    </row>
    <row r="86" spans="1:7" s="601" customFormat="1">
      <c r="A86" s="463" t="s">
        <v>882</v>
      </c>
      <c r="B86" s="460">
        <f>'Sources and Uses Budget'!$C85</f>
        <v>25000</v>
      </c>
      <c r="C86" s="460">
        <f>'Sources and Uses Budget'!$C85</f>
        <v>25000</v>
      </c>
      <c r="D86" s="464">
        <f t="shared" si="1"/>
        <v>0</v>
      </c>
      <c r="E86" s="462"/>
      <c r="F86" s="461"/>
      <c r="G86" s="607"/>
    </row>
    <row r="87" spans="1:7" s="601" customFormat="1">
      <c r="A87" s="463" t="s">
        <v>883</v>
      </c>
      <c r="B87" s="460">
        <f>'Sources and Uses Budget'!$C86</f>
        <v>0</v>
      </c>
      <c r="C87" s="460">
        <f>'Sources and Uses Budget'!$C86</f>
        <v>0</v>
      </c>
      <c r="D87" s="464">
        <f t="shared" si="1"/>
        <v>0</v>
      </c>
      <c r="E87" s="462"/>
      <c r="F87" s="461"/>
      <c r="G87" s="607"/>
    </row>
    <row r="88" spans="1:7" s="601" customFormat="1">
      <c r="A88" s="463" t="s">
        <v>884</v>
      </c>
      <c r="B88" s="460">
        <f>'Sources and Uses Budget'!$C87</f>
        <v>2500</v>
      </c>
      <c r="C88" s="460">
        <f>'Sources and Uses Budget'!$C87</f>
        <v>2500</v>
      </c>
      <c r="D88" s="464">
        <f t="shared" si="1"/>
        <v>0</v>
      </c>
      <c r="E88" s="462"/>
      <c r="F88" s="461"/>
      <c r="G88" s="607"/>
    </row>
    <row r="89" spans="1:7" s="601" customFormat="1">
      <c r="A89" s="469" t="s">
        <v>417</v>
      </c>
      <c r="B89" s="460">
        <f>'Sources and Uses Budget'!$C88</f>
        <v>5000</v>
      </c>
      <c r="C89" s="460">
        <f>'Sources and Uses Budget'!$C88</f>
        <v>5000</v>
      </c>
      <c r="D89" s="464">
        <f t="shared" si="1"/>
        <v>0</v>
      </c>
      <c r="E89" s="462"/>
      <c r="F89" s="461"/>
      <c r="G89" s="607"/>
    </row>
    <row r="90" spans="1:7" s="601" customFormat="1">
      <c r="A90" s="946" t="s">
        <v>1561</v>
      </c>
      <c r="B90" s="460">
        <f>'Sources and Uses Budget'!$C89</f>
        <v>7000</v>
      </c>
      <c r="C90" s="460">
        <f>'Sources and Uses Budget'!$C89</f>
        <v>7000</v>
      </c>
      <c r="D90" s="464">
        <f t="shared" si="1"/>
        <v>0</v>
      </c>
      <c r="E90" s="462"/>
      <c r="F90" s="461"/>
      <c r="G90" s="607"/>
    </row>
    <row r="91" spans="1:7" s="601" customFormat="1">
      <c r="A91" s="466" t="s">
        <v>38</v>
      </c>
      <c r="B91" s="460">
        <f>'Sources and Uses Budget'!$C90</f>
        <v>0</v>
      </c>
      <c r="C91" s="460">
        <f>'Sources and Uses Budget'!$C90</f>
        <v>0</v>
      </c>
      <c r="D91" s="464">
        <f t="shared" si="1"/>
        <v>0</v>
      </c>
      <c r="E91" s="462"/>
      <c r="F91" s="461"/>
      <c r="G91" s="607"/>
    </row>
    <row r="92" spans="1:7" s="601" customFormat="1">
      <c r="A92" s="466" t="s">
        <v>38</v>
      </c>
      <c r="B92" s="460">
        <f>'Sources and Uses Budget'!$C91</f>
        <v>0</v>
      </c>
      <c r="C92" s="460">
        <f>'Sources and Uses Budget'!$C91</f>
        <v>0</v>
      </c>
      <c r="D92" s="464">
        <f t="shared" si="1"/>
        <v>0</v>
      </c>
      <c r="E92" s="462"/>
      <c r="F92" s="461"/>
      <c r="G92" s="607"/>
    </row>
    <row r="93" spans="1:7" s="601" customFormat="1">
      <c r="A93" s="466" t="s">
        <v>38</v>
      </c>
      <c r="B93" s="460">
        <f>'Sources and Uses Budget'!$C92</f>
        <v>0</v>
      </c>
      <c r="C93" s="460">
        <f>'Sources and Uses Budget'!$C92</f>
        <v>0</v>
      </c>
      <c r="D93" s="464">
        <f t="shared" si="1"/>
        <v>0</v>
      </c>
      <c r="E93" s="462"/>
      <c r="F93" s="461"/>
      <c r="G93" s="607"/>
    </row>
    <row r="94" spans="1:7" s="601" customFormat="1">
      <c r="A94" s="466" t="s">
        <v>38</v>
      </c>
      <c r="B94" s="460">
        <f>'Sources and Uses Budget'!$C93</f>
        <v>0</v>
      </c>
      <c r="C94" s="460">
        <f>'Sources and Uses Budget'!$C93</f>
        <v>0</v>
      </c>
      <c r="D94" s="464">
        <f t="shared" si="1"/>
        <v>0</v>
      </c>
      <c r="E94" s="462"/>
      <c r="F94" s="461"/>
      <c r="G94" s="607"/>
    </row>
    <row r="95" spans="1:7" s="601" customFormat="1">
      <c r="A95" s="466" t="s">
        <v>38</v>
      </c>
      <c r="B95" s="460">
        <f>'Sources and Uses Budget'!$C94</f>
        <v>0</v>
      </c>
      <c r="C95" s="460">
        <f>'Sources and Uses Budget'!$C94</f>
        <v>0</v>
      </c>
      <c r="D95" s="464">
        <f t="shared" si="1"/>
        <v>0</v>
      </c>
      <c r="E95" s="462"/>
      <c r="F95" s="461"/>
      <c r="G95" s="607"/>
    </row>
    <row r="96" spans="1:7" s="601" customFormat="1">
      <c r="A96" s="465" t="s">
        <v>885</v>
      </c>
      <c r="B96" s="464">
        <f>SUM(B81:B95)</f>
        <v>137105</v>
      </c>
      <c r="C96" s="464">
        <f>SUM(C81:C95)</f>
        <v>137105</v>
      </c>
      <c r="D96" s="464">
        <f t="shared" si="1"/>
        <v>0</v>
      </c>
      <c r="E96" s="462"/>
      <c r="F96" s="461"/>
      <c r="G96" s="607"/>
    </row>
    <row r="97" spans="1:7" s="601" customFormat="1">
      <c r="A97" s="465" t="s">
        <v>886</v>
      </c>
      <c r="B97" s="464">
        <f>SUM(B64+B68+B75+B79+B96)</f>
        <v>14232983.547717843</v>
      </c>
      <c r="C97" s="464">
        <f>SUM(C64+C68+C75+C79+C96)</f>
        <v>14232983.547717843</v>
      </c>
      <c r="D97" s="464">
        <f t="shared" si="1"/>
        <v>0</v>
      </c>
      <c r="E97" s="462"/>
      <c r="F97" s="461"/>
      <c r="G97" s="607"/>
    </row>
    <row r="98" spans="1:7" s="601" customFormat="1">
      <c r="A98" s="458" t="s">
        <v>887</v>
      </c>
      <c r="B98" s="458"/>
      <c r="C98" s="458"/>
      <c r="D98" s="458"/>
      <c r="E98" s="478"/>
      <c r="F98" s="458"/>
      <c r="G98" s="607"/>
    </row>
    <row r="99" spans="1:7" s="600" customFormat="1">
      <c r="A99" s="463" t="s">
        <v>888</v>
      </c>
      <c r="B99" s="460">
        <f>'Sources and Uses Budget'!$C98</f>
        <v>1845775</v>
      </c>
      <c r="C99" s="460">
        <f>'Sources and Uses Budget'!$C98</f>
        <v>1845775</v>
      </c>
      <c r="D99" s="464">
        <f t="shared" si="1"/>
        <v>0</v>
      </c>
      <c r="E99" s="462"/>
      <c r="F99" s="461"/>
      <c r="G99" s="605"/>
    </row>
    <row r="100" spans="1:7" s="600" customFormat="1">
      <c r="A100" s="463" t="s">
        <v>889</v>
      </c>
      <c r="B100" s="460">
        <f>'Sources and Uses Budget'!$C99</f>
        <v>0</v>
      </c>
      <c r="C100" s="460">
        <f>'Sources and Uses Budget'!$C99</f>
        <v>0</v>
      </c>
      <c r="D100" s="464">
        <f t="shared" si="1"/>
        <v>0</v>
      </c>
      <c r="E100" s="462"/>
      <c r="F100" s="461"/>
      <c r="G100" s="605"/>
    </row>
    <row r="101" spans="1:7" s="600" customFormat="1">
      <c r="A101" s="463" t="s">
        <v>890</v>
      </c>
      <c r="B101" s="460">
        <f>'Sources and Uses Budget'!$C100</f>
        <v>0</v>
      </c>
      <c r="C101" s="460">
        <f>'Sources and Uses Budget'!$C100</f>
        <v>0</v>
      </c>
      <c r="D101" s="464">
        <f t="shared" si="1"/>
        <v>0</v>
      </c>
      <c r="E101" s="462"/>
      <c r="F101" s="461"/>
      <c r="G101" s="605"/>
    </row>
    <row r="102" spans="1:7" s="600" customFormat="1" ht="12" customHeight="1">
      <c r="A102" s="463" t="s">
        <v>891</v>
      </c>
      <c r="B102" s="460">
        <f>'Sources and Uses Budget'!$C101</f>
        <v>0</v>
      </c>
      <c r="C102" s="460">
        <f>'Sources and Uses Budget'!$C101</f>
        <v>0</v>
      </c>
      <c r="D102" s="464">
        <f t="shared" si="1"/>
        <v>0</v>
      </c>
      <c r="E102" s="462"/>
      <c r="F102" s="461"/>
      <c r="G102" s="605"/>
    </row>
    <row r="103" spans="1:7" s="600" customFormat="1">
      <c r="A103" s="463" t="s">
        <v>892</v>
      </c>
      <c r="B103" s="460">
        <f>'Sources and Uses Budget'!$C102</f>
        <v>0</v>
      </c>
      <c r="C103" s="460">
        <f>'Sources and Uses Budget'!$C102</f>
        <v>0</v>
      </c>
      <c r="D103" s="464">
        <f t="shared" si="1"/>
        <v>0</v>
      </c>
      <c r="E103" s="462"/>
      <c r="F103" s="461"/>
      <c r="G103" s="605"/>
    </row>
    <row r="104" spans="1:7" s="600" customFormat="1">
      <c r="A104" s="466" t="s">
        <v>38</v>
      </c>
      <c r="B104" s="460">
        <f>'Sources and Uses Budget'!$C103</f>
        <v>0</v>
      </c>
      <c r="C104" s="460">
        <f>'Sources and Uses Budget'!$C103</f>
        <v>0</v>
      </c>
      <c r="D104" s="464">
        <f t="shared" si="1"/>
        <v>0</v>
      </c>
      <c r="E104" s="462"/>
      <c r="F104" s="461"/>
      <c r="G104" s="605"/>
    </row>
    <row r="105" spans="1:7" s="600" customFormat="1">
      <c r="A105" s="465" t="s">
        <v>893</v>
      </c>
      <c r="B105" s="464">
        <f>SUM(B99:B104)</f>
        <v>1845775</v>
      </c>
      <c r="C105" s="464">
        <f>SUM(C99:C104)</f>
        <v>1845775</v>
      </c>
      <c r="D105" s="464">
        <f t="shared" si="1"/>
        <v>0</v>
      </c>
      <c r="E105" s="462"/>
      <c r="F105" s="461"/>
      <c r="G105" s="605"/>
    </row>
    <row r="106" spans="1:7" s="600" customFormat="1">
      <c r="A106" s="465" t="s">
        <v>894</v>
      </c>
      <c r="B106" s="467">
        <f>SUM(B97+B105)</f>
        <v>16078758.547717843</v>
      </c>
      <c r="C106" s="467">
        <f>SUM(C97+C105)</f>
        <v>16078758.547717843</v>
      </c>
      <c r="D106" s="464">
        <f t="shared" si="1"/>
        <v>0</v>
      </c>
      <c r="E106" s="462"/>
      <c r="F106" s="461"/>
      <c r="G106" s="605"/>
    </row>
    <row r="107" spans="1:7" s="600" customFormat="1">
      <c r="A107" s="473" t="s">
        <v>895</v>
      </c>
      <c r="B107" s="474"/>
      <c r="C107" s="475"/>
      <c r="D107" s="477"/>
      <c r="E107" s="459"/>
      <c r="F107" s="472"/>
      <c r="G107" s="605"/>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9" customWidth="1"/>
    <col min="2" max="2" width="13.7109375" style="748" customWidth="1"/>
    <col min="3" max="3" width="2.7109375" style="139" customWidth="1"/>
    <col min="4" max="5" width="3.7109375" style="8" customWidth="1"/>
    <col min="6" max="6" width="65.7109375" style="8" customWidth="1"/>
    <col min="7" max="7" width="1.7109375" style="8" customWidth="1"/>
    <col min="8" max="8" width="3.7109375" style="15" hidden="1" customWidth="1"/>
    <col min="9" max="9" width="14" style="15" hidden="1" customWidth="1"/>
    <col min="10" max="16384" width="8.85546875" style="15" hidden="1"/>
  </cols>
  <sheetData>
    <row r="1" spans="1:9"/>
    <row r="2" spans="1:9">
      <c r="A2" s="1022" t="s">
        <v>1257</v>
      </c>
      <c r="B2" s="1022"/>
      <c r="C2" s="1023"/>
      <c r="D2" s="1023"/>
      <c r="E2" s="1023"/>
      <c r="F2" s="1023"/>
      <c r="G2" s="1023"/>
    </row>
    <row r="3" spans="1:9" s="282" customFormat="1">
      <c r="A3" s="1022" t="s">
        <v>1175</v>
      </c>
      <c r="B3" s="1022"/>
      <c r="C3" s="1023"/>
      <c r="D3" s="1023"/>
      <c r="E3" s="1023"/>
      <c r="F3" s="1023"/>
      <c r="G3" s="1023"/>
      <c r="I3" s="749" t="s">
        <v>333</v>
      </c>
    </row>
    <row r="4" spans="1:9">
      <c r="I4" s="750" t="s">
        <v>1258</v>
      </c>
    </row>
    <row r="5" spans="1:9" s="43" customFormat="1">
      <c r="A5" s="1026" t="s">
        <v>1176</v>
      </c>
      <c r="B5" s="1026"/>
      <c r="C5" s="1027"/>
      <c r="D5" s="1027"/>
      <c r="E5" s="1027"/>
      <c r="F5" s="1027"/>
      <c r="G5" s="1027"/>
      <c r="I5" s="750" t="s">
        <v>1259</v>
      </c>
    </row>
    <row r="6" spans="1:9" s="43" customFormat="1">
      <c r="A6" s="1026" t="s">
        <v>937</v>
      </c>
      <c r="B6" s="1026"/>
      <c r="C6" s="1027"/>
      <c r="D6" s="1027"/>
      <c r="E6" s="1027"/>
      <c r="F6" s="1027"/>
      <c r="G6" s="1027"/>
      <c r="I6" s="749" t="s">
        <v>672</v>
      </c>
    </row>
    <row r="7" spans="1:9" ht="11.85" customHeight="1"/>
    <row r="8" spans="1:9" s="43" customFormat="1">
      <c r="A8" s="1024" t="s">
        <v>1368</v>
      </c>
      <c r="B8" s="1024"/>
      <c r="C8" s="1025"/>
      <c r="D8" s="1025"/>
      <c r="E8" s="1025"/>
      <c r="F8" s="1025"/>
      <c r="G8" s="1025"/>
    </row>
    <row r="9" spans="1:9" s="43" customFormat="1">
      <c r="A9" s="1024" t="s">
        <v>1369</v>
      </c>
      <c r="B9" s="1024"/>
      <c r="C9" s="1025"/>
      <c r="D9" s="1025"/>
      <c r="E9" s="1025"/>
      <c r="F9" s="1025"/>
      <c r="G9" s="1025"/>
    </row>
    <row r="10" spans="1:9">
      <c r="A10" s="284"/>
      <c r="B10" s="284"/>
      <c r="C10" s="281"/>
      <c r="D10" s="281"/>
      <c r="E10" s="281"/>
      <c r="F10" s="281"/>
    </row>
    <row r="11" spans="1:9">
      <c r="A11" s="1028" t="s">
        <v>1371</v>
      </c>
      <c r="B11" s="1028"/>
      <c r="C11" s="1028"/>
      <c r="D11" s="1028"/>
      <c r="E11" s="1028"/>
      <c r="F11" s="1028"/>
      <c r="G11" s="1028"/>
    </row>
    <row r="12" spans="1:9">
      <c r="A12" s="281"/>
      <c r="B12" s="745"/>
      <c r="E12" s="54"/>
    </row>
    <row r="13" spans="1:9" ht="13.15" customHeight="1">
      <c r="C13" s="281"/>
      <c r="D13" s="1046" t="s">
        <v>1370</v>
      </c>
      <c r="E13" s="1046"/>
      <c r="F13" s="1046"/>
    </row>
    <row r="14" spans="1:9">
      <c r="C14" s="281"/>
      <c r="D14" s="1046"/>
      <c r="E14" s="1046"/>
      <c r="F14" s="1046"/>
    </row>
    <row r="15" spans="1:9">
      <c r="A15" s="286"/>
      <c r="B15" s="286"/>
      <c r="C15" s="286"/>
      <c r="D15" s="985" t="s">
        <v>1353</v>
      </c>
      <c r="E15" s="985"/>
      <c r="F15" s="985"/>
    </row>
    <row r="16" spans="1:9">
      <c r="A16" s="286"/>
      <c r="B16" s="286"/>
      <c r="C16" s="286"/>
      <c r="D16" s="358"/>
    </row>
    <row r="17" spans="1:7" ht="14.25">
      <c r="A17" s="287"/>
      <c r="B17" s="751" t="s">
        <v>333</v>
      </c>
      <c r="C17" s="343"/>
      <c r="D17" s="970" t="s">
        <v>1354</v>
      </c>
      <c r="E17" s="970"/>
      <c r="F17" s="970"/>
    </row>
    <row r="18" spans="1:7">
      <c r="A18" s="286"/>
      <c r="B18" s="286"/>
      <c r="C18" s="343"/>
      <c r="D18" s="970"/>
      <c r="E18" s="970"/>
      <c r="F18" s="970"/>
    </row>
    <row r="19" spans="1:7">
      <c r="A19" s="286"/>
      <c r="B19" s="286"/>
      <c r="C19" s="343"/>
      <c r="D19" s="970"/>
      <c r="E19" s="970"/>
      <c r="F19" s="970"/>
    </row>
    <row r="20" spans="1:7">
      <c r="A20" s="286"/>
      <c r="B20" s="286"/>
      <c r="C20" s="286"/>
    </row>
    <row r="21" spans="1:7" ht="14.25">
      <c r="A21" s="287"/>
      <c r="B21" s="751" t="s">
        <v>333</v>
      </c>
      <c r="D21" s="1038" t="s">
        <v>1355</v>
      </c>
      <c r="E21" s="1038"/>
      <c r="F21" s="1038"/>
    </row>
    <row r="22" spans="1:7" ht="14.25">
      <c r="A22" s="287"/>
      <c r="B22" s="287"/>
      <c r="D22" s="142"/>
    </row>
    <row r="23" spans="1:7" ht="14.25">
      <c r="A23" s="287"/>
      <c r="B23" s="751" t="s">
        <v>333</v>
      </c>
      <c r="D23" s="970" t="s">
        <v>1356</v>
      </c>
      <c r="E23" s="970"/>
      <c r="F23" s="970"/>
    </row>
    <row r="24" spans="1:7" ht="14.25">
      <c r="A24" s="287"/>
      <c r="B24" s="287"/>
      <c r="D24" s="970"/>
      <c r="E24" s="970"/>
      <c r="F24" s="970"/>
    </row>
    <row r="25" spans="1:7"/>
    <row r="26" spans="1:7" ht="14.25">
      <c r="A26" s="287"/>
      <c r="B26" s="751" t="s">
        <v>333</v>
      </c>
      <c r="D26" s="1007" t="s">
        <v>1357</v>
      </c>
      <c r="E26" s="1007"/>
      <c r="F26" s="1007"/>
    </row>
    <row r="27" spans="1:7">
      <c r="D27" s="1007"/>
      <c r="E27" s="1007"/>
      <c r="F27" s="1007"/>
    </row>
    <row r="28" spans="1:7">
      <c r="D28" s="1007"/>
      <c r="E28" s="1007"/>
      <c r="F28" s="1007"/>
    </row>
    <row r="29" spans="1:7">
      <c r="A29" s="612"/>
      <c r="C29" s="612"/>
      <c r="D29" s="1007"/>
      <c r="E29" s="1007"/>
      <c r="F29" s="1007"/>
    </row>
    <row r="30" spans="1:7">
      <c r="A30" s="612"/>
      <c r="C30" s="612"/>
      <c r="D30" s="1007"/>
      <c r="E30" s="1007"/>
      <c r="F30" s="1007"/>
    </row>
    <row r="31" spans="1:7" s="43" customFormat="1">
      <c r="A31" s="299"/>
      <c r="B31" s="299"/>
      <c r="C31" s="299"/>
      <c r="D31" s="482"/>
      <c r="E31" s="137"/>
      <c r="F31" s="137"/>
      <c r="G31" s="137"/>
    </row>
    <row r="32" spans="1:7" s="43" customFormat="1">
      <c r="A32" s="299"/>
      <c r="B32" s="751" t="s">
        <v>333</v>
      </c>
      <c r="C32" s="299"/>
      <c r="D32" s="968" t="s">
        <v>1358</v>
      </c>
      <c r="E32" s="968"/>
      <c r="F32" s="968"/>
      <c r="G32" s="137"/>
    </row>
    <row r="33" spans="1:7" s="43" customFormat="1">
      <c r="A33" s="299"/>
      <c r="B33" s="299"/>
      <c r="C33" s="299"/>
      <c r="D33" s="968"/>
      <c r="E33" s="968"/>
      <c r="F33" s="968"/>
      <c r="G33" s="137"/>
    </row>
    <row r="34" spans="1:7" ht="14.25">
      <c r="A34" s="287"/>
      <c r="B34" s="287"/>
      <c r="D34" s="443"/>
    </row>
    <row r="35" spans="1:7" ht="14.45" customHeight="1">
      <c r="A35" s="287"/>
      <c r="B35" s="751" t="s">
        <v>333</v>
      </c>
      <c r="C35" s="608"/>
      <c r="D35" s="968" t="s">
        <v>1359</v>
      </c>
      <c r="E35" s="968"/>
      <c r="F35" s="968"/>
    </row>
    <row r="36" spans="1:7" ht="14.25">
      <c r="A36" s="287"/>
      <c r="B36" s="287"/>
      <c r="C36" s="608"/>
      <c r="D36" s="968"/>
      <c r="E36" s="968"/>
      <c r="F36" s="968"/>
    </row>
    <row r="37" spans="1:7" ht="14.25">
      <c r="A37" s="287"/>
      <c r="B37" s="287"/>
      <c r="C37" s="608"/>
      <c r="D37" s="968"/>
      <c r="E37" s="968"/>
      <c r="F37" s="968"/>
    </row>
    <row r="38" spans="1:7" ht="14.25">
      <c r="A38" s="287"/>
      <c r="B38" s="287"/>
      <c r="C38" s="608"/>
      <c r="D38" s="15"/>
    </row>
    <row r="39" spans="1:7" s="754" customFormat="1" ht="14.25">
      <c r="A39" s="287"/>
      <c r="B39" s="751" t="s">
        <v>333</v>
      </c>
      <c r="C39" s="771"/>
      <c r="D39" s="968" t="s">
        <v>1360</v>
      </c>
      <c r="E39" s="968"/>
      <c r="F39" s="968"/>
      <c r="G39" s="8"/>
    </row>
    <row r="40" spans="1:7" s="754" customFormat="1" ht="14.25">
      <c r="A40" s="287"/>
      <c r="B40" s="287"/>
      <c r="C40" s="771"/>
      <c r="D40" s="968"/>
      <c r="E40" s="968"/>
      <c r="F40" s="968"/>
      <c r="G40" s="8"/>
    </row>
    <row r="41" spans="1:7" s="754" customFormat="1" ht="14.25">
      <c r="A41" s="287"/>
      <c r="B41" s="287"/>
      <c r="C41" s="771"/>
      <c r="D41" s="968"/>
      <c r="E41" s="968"/>
      <c r="F41" s="968"/>
      <c r="G41" s="8"/>
    </row>
    <row r="42" spans="1:7" s="754" customFormat="1" ht="14.25">
      <c r="A42" s="287"/>
      <c r="B42" s="287"/>
      <c r="C42" s="771"/>
      <c r="D42" s="968"/>
      <c r="E42" s="968"/>
      <c r="F42" s="968"/>
      <c r="G42" s="8"/>
    </row>
    <row r="43" spans="1:7" s="754" customFormat="1" ht="14.25">
      <c r="A43" s="287"/>
      <c r="B43" s="287"/>
      <c r="C43" s="771"/>
      <c r="D43" s="968"/>
      <c r="E43" s="968"/>
      <c r="F43" s="968"/>
      <c r="G43" s="8"/>
    </row>
    <row r="44" spans="1:7" s="754" customFormat="1" ht="14.25">
      <c r="A44" s="287"/>
      <c r="B44" s="287"/>
      <c r="C44" s="771"/>
      <c r="D44" s="770"/>
      <c r="E44" s="770"/>
      <c r="F44" s="770"/>
      <c r="G44" s="8"/>
    </row>
    <row r="45" spans="1:7" ht="14.25">
      <c r="A45" s="287"/>
      <c r="B45" s="751" t="s">
        <v>333</v>
      </c>
      <c r="C45" s="608"/>
      <c r="D45" s="968" t="s">
        <v>1361</v>
      </c>
      <c r="E45" s="968"/>
      <c r="F45" s="968"/>
    </row>
    <row r="46" spans="1:7" ht="14.25">
      <c r="A46" s="287"/>
      <c r="B46" s="287"/>
      <c r="C46" s="608"/>
      <c r="D46" s="968"/>
      <c r="E46" s="968"/>
      <c r="F46" s="968"/>
    </row>
    <row r="47" spans="1:7" ht="14.25">
      <c r="A47" s="287"/>
      <c r="B47" s="287"/>
      <c r="C47" s="608"/>
      <c r="D47" s="968"/>
      <c r="E47" s="968"/>
      <c r="F47" s="968"/>
    </row>
    <row r="48" spans="1:7" ht="23.25" customHeight="1">
      <c r="A48" s="287"/>
      <c r="B48" s="287"/>
      <c r="C48" s="608"/>
      <c r="D48" s="968"/>
      <c r="E48" s="968"/>
      <c r="F48" s="968"/>
    </row>
    <row r="49" spans="1:7" ht="14.25">
      <c r="A49" s="287"/>
      <c r="B49" s="287"/>
      <c r="D49" s="161"/>
    </row>
    <row r="50" spans="1:7" ht="14.45" customHeight="1">
      <c r="A50" s="287"/>
      <c r="B50" s="751" t="s">
        <v>333</v>
      </c>
      <c r="D50" s="968" t="s">
        <v>1362</v>
      </c>
      <c r="E50" s="968"/>
      <c r="F50" s="968"/>
    </row>
    <row r="51" spans="1:7" ht="14.25">
      <c r="A51" s="287"/>
      <c r="B51" s="287"/>
      <c r="D51" s="968"/>
      <c r="E51" s="968"/>
      <c r="F51" s="968"/>
    </row>
    <row r="52" spans="1:7" ht="14.25">
      <c r="A52" s="287"/>
      <c r="B52" s="287"/>
      <c r="D52" s="968"/>
      <c r="E52" s="968"/>
      <c r="F52" s="968"/>
    </row>
    <row r="53" spans="1:7" s="2" customFormat="1" ht="14.25">
      <c r="A53" s="287"/>
      <c r="B53" s="287"/>
      <c r="C53" s="610"/>
      <c r="D53" s="263"/>
      <c r="E53" s="26"/>
      <c r="F53" s="26"/>
      <c r="G53" s="26"/>
    </row>
    <row r="54" spans="1:7" s="2" customFormat="1" ht="14.25">
      <c r="A54" s="442"/>
      <c r="B54" s="751" t="s">
        <v>333</v>
      </c>
      <c r="C54" s="611"/>
      <c r="D54" s="968" t="s">
        <v>1363</v>
      </c>
      <c r="E54" s="968"/>
      <c r="F54" s="968"/>
      <c r="G54" s="26"/>
    </row>
    <row r="55" spans="1:7" s="2" customFormat="1" ht="14.25">
      <c r="A55" s="442"/>
      <c r="B55" s="442"/>
      <c r="C55" s="611"/>
      <c r="D55" s="968"/>
      <c r="E55" s="968"/>
      <c r="F55" s="968"/>
      <c r="G55" s="26"/>
    </row>
    <row r="56" spans="1:7" s="43" customFormat="1">
      <c r="A56" s="299"/>
      <c r="B56" s="299"/>
      <c r="C56" s="299"/>
      <c r="D56" s="482"/>
      <c r="E56" s="137"/>
      <c r="F56" s="137"/>
      <c r="G56" s="137"/>
    </row>
    <row r="57" spans="1:7" ht="14.25">
      <c r="A57" s="287"/>
      <c r="B57" s="751" t="s">
        <v>333</v>
      </c>
      <c r="D57" s="968" t="s">
        <v>1364</v>
      </c>
      <c r="E57" s="968"/>
      <c r="F57" s="968"/>
    </row>
    <row r="58" spans="1:7">
      <c r="D58" s="968"/>
      <c r="E58" s="968"/>
      <c r="F58" s="968"/>
    </row>
    <row r="59" spans="1:7">
      <c r="D59" s="968"/>
      <c r="E59" s="968"/>
      <c r="F59" s="968"/>
    </row>
    <row r="60" spans="1:7" s="754" customFormat="1">
      <c r="A60" s="771"/>
      <c r="B60" s="771"/>
      <c r="C60" s="771"/>
      <c r="D60" s="750"/>
      <c r="E60" s="8"/>
      <c r="F60" s="8"/>
      <c r="G60" s="8"/>
    </row>
    <row r="61" spans="1:7" ht="14.25">
      <c r="A61" s="287"/>
      <c r="B61" s="751" t="s">
        <v>333</v>
      </c>
      <c r="D61" s="968" t="s">
        <v>1365</v>
      </c>
      <c r="E61" s="968"/>
      <c r="F61" s="968"/>
    </row>
    <row r="62" spans="1:7">
      <c r="D62" s="968"/>
      <c r="E62" s="968"/>
      <c r="F62" s="968"/>
    </row>
    <row r="63" spans="1:7"/>
    <row r="64" spans="1:7" ht="14.25">
      <c r="A64" s="287"/>
      <c r="B64" s="751" t="s">
        <v>333</v>
      </c>
      <c r="D64" s="968" t="s">
        <v>1366</v>
      </c>
      <c r="E64" s="968"/>
      <c r="F64" s="968"/>
    </row>
    <row r="65" spans="1:7">
      <c r="D65" s="968"/>
      <c r="E65" s="968"/>
      <c r="F65" s="968"/>
    </row>
    <row r="66" spans="1:7">
      <c r="A66" s="609"/>
      <c r="C66" s="609"/>
      <c r="D66" s="968"/>
      <c r="E66" s="968"/>
      <c r="F66" s="968"/>
    </row>
    <row r="67" spans="1:7">
      <c r="D67" s="15"/>
    </row>
    <row r="68" spans="1:7" ht="14.25">
      <c r="A68" s="287"/>
      <c r="B68" s="751" t="s">
        <v>333</v>
      </c>
      <c r="D68" s="970" t="s">
        <v>1367</v>
      </c>
      <c r="E68" s="970"/>
      <c r="F68" s="970"/>
    </row>
    <row r="69" spans="1:7">
      <c r="D69" s="970"/>
      <c r="E69" s="970"/>
      <c r="F69" s="970"/>
    </row>
    <row r="70" spans="1:7" ht="14.25">
      <c r="A70" s="287"/>
      <c r="B70" s="287"/>
      <c r="D70" s="142"/>
    </row>
    <row r="71" spans="1:7">
      <c r="A71" s="992" t="s">
        <v>1260</v>
      </c>
      <c r="B71" s="992"/>
      <c r="C71" s="992"/>
      <c r="D71" s="992"/>
      <c r="E71" s="992"/>
      <c r="F71" s="992"/>
      <c r="G71" s="992"/>
    </row>
    <row r="72" spans="1:7"/>
    <row r="73" spans="1:7">
      <c r="C73" s="288"/>
      <c r="D73" s="1021" t="s">
        <v>1372</v>
      </c>
      <c r="E73" s="1021"/>
      <c r="F73" s="1021"/>
    </row>
    <row r="74" spans="1:7">
      <c r="A74" s="142"/>
      <c r="B74" s="142"/>
      <c r="D74" s="970" t="s">
        <v>1399</v>
      </c>
      <c r="E74" s="970"/>
      <c r="F74" s="970"/>
    </row>
    <row r="75" spans="1:7">
      <c r="A75" s="142"/>
      <c r="B75" s="142"/>
    </row>
    <row r="76" spans="1:7" ht="14.25">
      <c r="A76" s="287"/>
      <c r="B76" s="751" t="s">
        <v>333</v>
      </c>
      <c r="D76" s="970" t="s">
        <v>1373</v>
      </c>
      <c r="E76" s="970"/>
      <c r="F76" s="970"/>
    </row>
    <row r="77" spans="1:7" ht="14.25">
      <c r="A77" s="287"/>
      <c r="B77" s="287"/>
      <c r="D77" s="970"/>
      <c r="E77" s="970"/>
      <c r="F77" s="970"/>
    </row>
    <row r="78" spans="1:7" ht="14.25">
      <c r="A78" s="287"/>
      <c r="B78" s="287"/>
      <c r="D78" s="970"/>
      <c r="E78" s="970"/>
      <c r="F78" s="970"/>
    </row>
    <row r="79" spans="1:7" ht="14.25">
      <c r="A79" s="287"/>
      <c r="B79" s="287"/>
      <c r="D79" s="970"/>
      <c r="E79" s="970"/>
      <c r="F79" s="970"/>
    </row>
    <row r="80" spans="1:7" ht="14.25">
      <c r="A80" s="287"/>
      <c r="B80" s="287"/>
      <c r="D80" s="970"/>
      <c r="E80" s="970"/>
      <c r="F80" s="970"/>
    </row>
    <row r="81" spans="1:7" ht="14.25">
      <c r="A81" s="287"/>
      <c r="B81" s="287"/>
      <c r="D81" s="970"/>
      <c r="E81" s="970"/>
      <c r="F81" s="970"/>
    </row>
    <row r="82" spans="1:7" s="778" customFormat="1" ht="14.25">
      <c r="A82" s="779"/>
      <c r="B82" s="779"/>
      <c r="C82" s="777"/>
      <c r="D82" s="781"/>
      <c r="E82" s="781"/>
      <c r="F82" s="781"/>
      <c r="G82" s="8"/>
    </row>
    <row r="83" spans="1:7" s="778" customFormat="1" ht="14.45" customHeight="1">
      <c r="A83" s="779"/>
      <c r="B83" s="784" t="s">
        <v>333</v>
      </c>
      <c r="C83" s="777"/>
      <c r="D83" s="1001" t="s">
        <v>1478</v>
      </c>
      <c r="E83" s="1001"/>
      <c r="F83" s="1001"/>
      <c r="G83" s="8"/>
    </row>
    <row r="84" spans="1:7" s="778" customFormat="1" ht="14.25">
      <c r="A84" s="779"/>
      <c r="B84" s="779"/>
      <c r="C84" s="777"/>
      <c r="D84" s="1001"/>
      <c r="E84" s="1001"/>
      <c r="F84" s="1001"/>
      <c r="G84" s="8"/>
    </row>
    <row r="85" spans="1:7" s="778" customFormat="1" ht="14.25">
      <c r="A85" s="779"/>
      <c r="B85" s="779"/>
      <c r="C85" s="777"/>
      <c r="D85" s="1001"/>
      <c r="E85" s="1001"/>
      <c r="F85" s="1001"/>
      <c r="G85" s="8"/>
    </row>
    <row r="86" spans="1:7" s="778" customFormat="1" ht="14.25">
      <c r="A86" s="779"/>
      <c r="B86" s="779"/>
      <c r="C86" s="777"/>
      <c r="D86" s="1001"/>
      <c r="E86" s="1001"/>
      <c r="F86" s="1001"/>
      <c r="G86" s="8"/>
    </row>
    <row r="87" spans="1:7" s="778" customFormat="1" ht="14.25">
      <c r="A87" s="779"/>
      <c r="B87" s="779"/>
      <c r="C87" s="777"/>
      <c r="D87" s="1001"/>
      <c r="E87" s="1001"/>
      <c r="F87" s="1001"/>
      <c r="G87" s="8"/>
    </row>
    <row r="88" spans="1:7" s="791" customFormat="1" ht="14.25">
      <c r="A88" s="786"/>
      <c r="B88" s="786"/>
      <c r="C88" s="817"/>
      <c r="D88" s="1001"/>
      <c r="E88" s="1001"/>
      <c r="F88" s="1001"/>
      <c r="G88" s="8"/>
    </row>
    <row r="89" spans="1:7" s="791" customFormat="1" ht="14.25">
      <c r="A89" s="786"/>
      <c r="B89" s="786"/>
      <c r="C89" s="817"/>
      <c r="D89" s="1001"/>
      <c r="E89" s="1001"/>
      <c r="F89" s="1001"/>
      <c r="G89" s="8"/>
    </row>
    <row r="90" spans="1:7" s="791" customFormat="1" ht="14.25">
      <c r="A90" s="786"/>
      <c r="B90" s="786"/>
      <c r="C90" s="817"/>
      <c r="D90" s="1001"/>
      <c r="E90" s="1001"/>
      <c r="F90" s="1001"/>
      <c r="G90" s="8"/>
    </row>
    <row r="91" spans="1:7" ht="14.25">
      <c r="A91" s="287"/>
      <c r="B91" s="287"/>
      <c r="D91" s="1001"/>
      <c r="E91" s="1001"/>
      <c r="F91" s="1001"/>
    </row>
    <row r="92" spans="1:7" ht="14.25">
      <c r="A92" s="287"/>
      <c r="B92" s="287"/>
      <c r="D92" s="1001"/>
      <c r="E92" s="1001"/>
      <c r="F92" s="1001"/>
    </row>
    <row r="93" spans="1:7" ht="14.25">
      <c r="A93" s="287"/>
      <c r="B93" s="287"/>
      <c r="D93" s="1001"/>
      <c r="E93" s="1001"/>
      <c r="F93" s="1001"/>
    </row>
    <row r="94" spans="1:7" ht="14.25">
      <c r="A94" s="287"/>
      <c r="B94" s="287"/>
      <c r="D94" s="1001"/>
      <c r="E94" s="1001"/>
      <c r="F94" s="1001"/>
    </row>
    <row r="95" spans="1:7" ht="14.25">
      <c r="A95" s="287"/>
      <c r="B95" s="287"/>
      <c r="D95" s="1001"/>
      <c r="E95" s="1001"/>
      <c r="F95" s="1001"/>
    </row>
    <row r="96" spans="1:7" ht="14.25">
      <c r="A96" s="287"/>
      <c r="B96" s="287"/>
      <c r="D96" s="1001"/>
      <c r="E96" s="1001"/>
      <c r="F96" s="1001"/>
    </row>
    <row r="97" spans="1:11" s="782" customFormat="1" ht="14.25">
      <c r="A97" s="783"/>
      <c r="B97" s="787" t="s">
        <v>333</v>
      </c>
      <c r="C97" s="777"/>
      <c r="D97" s="970" t="s">
        <v>1374</v>
      </c>
      <c r="E97" s="970"/>
      <c r="F97" s="970"/>
      <c r="G97" s="8"/>
    </row>
    <row r="98" spans="1:11" s="782" customFormat="1" ht="14.25">
      <c r="A98" s="783"/>
      <c r="B98" s="783"/>
      <c r="C98" s="777"/>
      <c r="D98" s="970"/>
      <c r="E98" s="970"/>
      <c r="F98" s="970"/>
      <c r="G98" s="8"/>
    </row>
    <row r="99" spans="1:11" s="782" customFormat="1" ht="14.25">
      <c r="A99" s="783"/>
      <c r="B99" s="783"/>
      <c r="C99" s="777"/>
      <c r="D99" s="970"/>
      <c r="E99" s="970"/>
      <c r="F99" s="970"/>
      <c r="G99" s="8"/>
    </row>
    <row r="100" spans="1:11" s="782" customFormat="1" ht="14.25">
      <c r="A100" s="783"/>
      <c r="B100" s="783"/>
      <c r="C100" s="777"/>
      <c r="D100" s="970"/>
      <c r="E100" s="970"/>
      <c r="F100" s="970"/>
      <c r="G100" s="8"/>
    </row>
    <row r="101" spans="1:11" s="782" customFormat="1" ht="14.25">
      <c r="A101" s="783"/>
      <c r="B101" s="783"/>
      <c r="C101" s="777"/>
      <c r="D101" s="970"/>
      <c r="E101" s="970"/>
      <c r="F101" s="970"/>
      <c r="G101" s="8"/>
    </row>
    <row r="102" spans="1:11" s="782" customFormat="1" ht="14.25">
      <c r="A102" s="783"/>
      <c r="B102" s="783"/>
      <c r="C102" s="777"/>
      <c r="D102" s="970"/>
      <c r="E102" s="970"/>
      <c r="F102" s="970"/>
      <c r="G102" s="8"/>
    </row>
    <row r="103" spans="1:11" s="782" customFormat="1" ht="14.25">
      <c r="A103" s="783"/>
      <c r="B103" s="783"/>
      <c r="C103" s="777"/>
      <c r="D103" s="970"/>
      <c r="E103" s="970"/>
      <c r="F103" s="970"/>
      <c r="G103" s="8"/>
    </row>
    <row r="104" spans="1:11" s="782" customFormat="1" ht="14.25">
      <c r="A104" s="783"/>
      <c r="B104" s="783"/>
      <c r="C104" s="777"/>
      <c r="D104" s="970"/>
      <c r="E104" s="970"/>
      <c r="F104" s="970"/>
      <c r="G104" s="8"/>
    </row>
    <row r="105" spans="1:11" s="785" customFormat="1" ht="14.25">
      <c r="A105" s="786"/>
      <c r="B105" s="786"/>
      <c r="C105" s="777"/>
      <c r="D105" s="788"/>
      <c r="E105" s="788"/>
      <c r="F105" s="788"/>
      <c r="G105" s="8"/>
    </row>
    <row r="106" spans="1:11" ht="14.25">
      <c r="A106" s="442"/>
      <c r="B106" s="780" t="s">
        <v>333</v>
      </c>
      <c r="C106" s="508"/>
      <c r="D106" s="1029" t="s">
        <v>1375</v>
      </c>
      <c r="E106" s="1029"/>
      <c r="F106" s="1029"/>
      <c r="G106" s="509"/>
      <c r="H106" s="507"/>
      <c r="I106" s="507"/>
      <c r="J106" s="507"/>
      <c r="K106" s="507"/>
    </row>
    <row r="107" spans="1:11" ht="14.25">
      <c r="A107" s="287"/>
      <c r="B107" s="287"/>
      <c r="C107" s="345"/>
      <c r="D107" s="1029"/>
      <c r="E107" s="1029"/>
      <c r="F107" s="1029"/>
      <c r="G107" s="509"/>
      <c r="H107" s="507"/>
      <c r="I107" s="507"/>
      <c r="J107" s="507"/>
      <c r="K107" s="507"/>
    </row>
    <row r="108" spans="1:11" ht="14.25">
      <c r="A108" s="287"/>
      <c r="B108" s="287"/>
      <c r="C108" s="345"/>
      <c r="D108" s="1029"/>
      <c r="E108" s="1029"/>
      <c r="F108" s="1029"/>
      <c r="G108" s="509"/>
      <c r="H108" s="507"/>
      <c r="I108" s="507"/>
      <c r="J108" s="507"/>
      <c r="K108" s="507"/>
    </row>
    <row r="109" spans="1:11" ht="14.25">
      <c r="A109" s="287"/>
      <c r="B109" s="287"/>
      <c r="C109" s="345"/>
      <c r="D109" s="1029"/>
      <c r="E109" s="1029"/>
      <c r="F109" s="1029"/>
      <c r="G109" s="509"/>
      <c r="H109" s="507"/>
      <c r="I109" s="507"/>
      <c r="J109" s="507"/>
      <c r="K109" s="507"/>
    </row>
    <row r="110" spans="1:11" ht="14.25">
      <c r="A110" s="287"/>
      <c r="B110" s="287"/>
      <c r="C110" s="345"/>
      <c r="D110" s="1029"/>
      <c r="E110" s="1029"/>
      <c r="F110" s="1029"/>
      <c r="G110" s="509"/>
      <c r="H110" s="507"/>
      <c r="I110" s="507"/>
      <c r="J110" s="507"/>
      <c r="K110" s="507"/>
    </row>
    <row r="111" spans="1:11">
      <c r="C111"/>
      <c r="D111" s="1029"/>
      <c r="E111" s="1029"/>
      <c r="F111" s="1029"/>
      <c r="G111"/>
      <c r="H111"/>
      <c r="I111"/>
      <c r="J111"/>
      <c r="K111"/>
    </row>
    <row r="112" spans="1:11">
      <c r="C112"/>
      <c r="D112" s="1029"/>
      <c r="E112" s="1029"/>
      <c r="F112" s="1029"/>
      <c r="G112"/>
      <c r="H112"/>
      <c r="I112"/>
      <c r="J112"/>
      <c r="K112"/>
    </row>
    <row r="113" spans="1:11">
      <c r="C113"/>
      <c r="D113" s="516"/>
      <c r="E113"/>
      <c r="F113"/>
      <c r="G113"/>
      <c r="H113"/>
      <c r="I113"/>
      <c r="J113"/>
      <c r="K113"/>
    </row>
    <row r="114" spans="1:11" ht="14.25">
      <c r="A114" s="287"/>
      <c r="B114" s="751" t="s">
        <v>333</v>
      </c>
      <c r="C114"/>
      <c r="D114" s="1030" t="s">
        <v>1376</v>
      </c>
      <c r="E114" s="1030"/>
      <c r="F114" s="1030"/>
      <c r="G114"/>
      <c r="H114"/>
      <c r="I114"/>
      <c r="J114"/>
      <c r="K114"/>
    </row>
    <row r="115" spans="1:11" ht="14.25">
      <c r="A115" s="287"/>
      <c r="B115" s="287"/>
      <c r="C115"/>
      <c r="D115" s="1030"/>
      <c r="E115" s="1030"/>
      <c r="F115" s="1030"/>
      <c r="G115"/>
      <c r="H115"/>
      <c r="I115"/>
      <c r="J115"/>
      <c r="K115"/>
    </row>
    <row r="116" spans="1:11"/>
    <row r="117" spans="1:11" ht="14.25">
      <c r="A117" s="287"/>
      <c r="B117" s="751" t="s">
        <v>333</v>
      </c>
      <c r="C117" s="13"/>
      <c r="D117" s="970" t="s">
        <v>1377</v>
      </c>
      <c r="E117" s="970"/>
      <c r="F117" s="970"/>
    </row>
    <row r="118" spans="1:11">
      <c r="C118" s="13"/>
      <c r="D118" s="970"/>
      <c r="E118" s="970"/>
      <c r="F118" s="970"/>
    </row>
    <row r="119" spans="1:11">
      <c r="C119" s="13"/>
      <c r="D119" s="970"/>
      <c r="E119" s="970"/>
      <c r="F119" s="970"/>
    </row>
    <row r="120" spans="1:11">
      <c r="C120" s="13"/>
      <c r="D120" s="970"/>
      <c r="E120" s="970"/>
      <c r="F120" s="970"/>
    </row>
    <row r="121" spans="1:11">
      <c r="C121" s="13"/>
      <c r="D121" s="970"/>
      <c r="E121" s="970"/>
      <c r="F121" s="970"/>
    </row>
    <row r="122" spans="1:11">
      <c r="C122" s="13"/>
      <c r="D122" s="159"/>
      <c r="E122" s="159"/>
      <c r="F122" s="159"/>
    </row>
    <row r="123" spans="1:11" customFormat="1" ht="14.25">
      <c r="A123" s="287"/>
      <c r="B123" s="751" t="s">
        <v>333</v>
      </c>
      <c r="C123" s="13"/>
      <c r="D123" s="968" t="s">
        <v>1378</v>
      </c>
      <c r="E123" s="968"/>
      <c r="F123" s="968"/>
      <c r="G123" s="159"/>
    </row>
    <row r="124" spans="1:11" s="326" customFormat="1" ht="13.7" customHeight="1">
      <c r="A124" s="323"/>
      <c r="B124" s="323"/>
      <c r="C124" s="324"/>
      <c r="D124" s="968"/>
      <c r="E124" s="968"/>
      <c r="F124" s="968"/>
      <c r="G124" s="325"/>
    </row>
    <row r="125" spans="1:11" customFormat="1" ht="13.7" customHeight="1">
      <c r="A125" s="139"/>
      <c r="B125" s="748"/>
      <c r="C125" s="13"/>
      <c r="D125" s="968"/>
      <c r="E125" s="968"/>
      <c r="F125" s="968"/>
      <c r="G125" s="159"/>
    </row>
    <row r="126" spans="1:11" customFormat="1" ht="13.7" customHeight="1">
      <c r="A126" s="139"/>
      <c r="B126" s="748"/>
      <c r="C126" s="13"/>
      <c r="D126" s="968"/>
      <c r="E126" s="968"/>
      <c r="F126" s="968"/>
      <c r="G126" s="159"/>
    </row>
    <row r="127" spans="1:11" customFormat="1" ht="13.7" customHeight="1">
      <c r="A127" s="139"/>
      <c r="B127" s="748"/>
      <c r="C127" s="13"/>
      <c r="D127" s="968"/>
      <c r="E127" s="968"/>
      <c r="F127" s="968"/>
      <c r="G127" s="159"/>
    </row>
    <row r="128" spans="1:11" customFormat="1" ht="13.7" customHeight="1">
      <c r="A128" s="417"/>
      <c r="B128" s="417"/>
      <c r="C128" s="13"/>
      <c r="D128" s="968"/>
      <c r="E128" s="968"/>
      <c r="F128" s="968"/>
      <c r="G128" s="159"/>
    </row>
    <row r="129" spans="1:7" s="2" customFormat="1" ht="13.7" customHeight="1">
      <c r="A129" s="299"/>
      <c r="B129" s="299"/>
      <c r="C129" s="481"/>
      <c r="D129" s="968"/>
      <c r="E129" s="968"/>
      <c r="F129" s="968"/>
      <c r="G129" s="199"/>
    </row>
    <row r="130" spans="1:7" s="2" customFormat="1" ht="13.7" customHeight="1">
      <c r="A130" s="299"/>
      <c r="B130" s="299"/>
      <c r="C130" s="481"/>
      <c r="D130" s="968"/>
      <c r="E130" s="968"/>
      <c r="F130" s="968"/>
      <c r="G130" s="199"/>
    </row>
    <row r="131" spans="1:7" customFormat="1" ht="13.7" customHeight="1">
      <c r="A131" s="139"/>
      <c r="B131" s="748"/>
      <c r="C131" s="13"/>
      <c r="D131" s="968"/>
      <c r="E131" s="968"/>
      <c r="F131" s="968"/>
      <c r="G131" s="159"/>
    </row>
    <row r="132" spans="1:7" customFormat="1" ht="13.7" customHeight="1">
      <c r="A132" s="139"/>
      <c r="B132" s="748"/>
      <c r="C132" s="13"/>
      <c r="D132" s="968"/>
      <c r="E132" s="968"/>
      <c r="F132" s="968"/>
      <c r="G132" s="159"/>
    </row>
    <row r="133" spans="1:7" customFormat="1" ht="13.7" customHeight="1">
      <c r="A133" s="139"/>
      <c r="B133" s="748"/>
      <c r="C133" s="13"/>
      <c r="D133" s="968"/>
      <c r="E133" s="968"/>
      <c r="F133" s="968"/>
      <c r="G133" s="159"/>
    </row>
    <row r="134" spans="1:7" customFormat="1" ht="13.7" customHeight="1">
      <c r="A134" s="139"/>
      <c r="B134" s="748"/>
      <c r="C134" s="13"/>
      <c r="D134" s="968"/>
      <c r="E134" s="968"/>
      <c r="F134" s="968"/>
      <c r="G134" s="159"/>
    </row>
    <row r="135" spans="1:7" customFormat="1" ht="13.7" customHeight="1">
      <c r="A135" s="139"/>
      <c r="B135" s="748"/>
      <c r="C135" s="13"/>
      <c r="D135" s="358"/>
      <c r="E135" s="161"/>
      <c r="F135" s="161"/>
      <c r="G135" s="159"/>
    </row>
    <row r="136" spans="1:7" s="789" customFormat="1" ht="13.7" customHeight="1">
      <c r="A136" s="777"/>
      <c r="B136" s="790" t="s">
        <v>333</v>
      </c>
      <c r="C136" s="13"/>
      <c r="D136" s="970" t="s">
        <v>1494</v>
      </c>
      <c r="E136" s="970"/>
      <c r="F136" s="970"/>
      <c r="G136" s="159"/>
    </row>
    <row r="137" spans="1:7" s="789" customFormat="1" ht="13.7" customHeight="1">
      <c r="A137" s="777"/>
      <c r="B137" s="777"/>
      <c r="C137" s="13"/>
      <c r="D137" s="970"/>
      <c r="E137" s="970"/>
      <c r="F137" s="970"/>
      <c r="G137" s="159"/>
    </row>
    <row r="138" spans="1:7" s="789" customFormat="1" ht="13.7" customHeight="1">
      <c r="A138" s="777"/>
      <c r="B138" s="777"/>
      <c r="C138" s="13"/>
      <c r="D138" s="970"/>
      <c r="E138" s="970"/>
      <c r="F138" s="970"/>
      <c r="G138" s="159"/>
    </row>
    <row r="139" spans="1:7" s="789" customFormat="1" ht="13.7" customHeight="1">
      <c r="A139" s="777"/>
      <c r="B139" s="777"/>
      <c r="C139" s="13"/>
      <c r="D139" s="970"/>
      <c r="E139" s="970"/>
      <c r="F139" s="970"/>
      <c r="G139" s="159"/>
    </row>
    <row r="140" spans="1:7" s="789" customFormat="1" ht="13.7" customHeight="1">
      <c r="A140" s="777"/>
      <c r="B140" s="777"/>
      <c r="C140" s="13"/>
      <c r="D140" s="970"/>
      <c r="E140" s="970"/>
      <c r="F140" s="970"/>
      <c r="G140" s="159"/>
    </row>
    <row r="141" spans="1:7" s="789" customFormat="1" ht="13.7" customHeight="1">
      <c r="A141" s="777"/>
      <c r="B141" s="777"/>
      <c r="C141" s="13"/>
      <c r="D141" s="970"/>
      <c r="E141" s="970"/>
      <c r="F141" s="970"/>
      <c r="G141" s="159"/>
    </row>
    <row r="142" spans="1:7" s="789" customFormat="1" ht="13.7" customHeight="1">
      <c r="A142" s="777"/>
      <c r="B142" s="777"/>
      <c r="C142" s="13"/>
      <c r="D142" s="970"/>
      <c r="E142" s="970"/>
      <c r="F142" s="970"/>
      <c r="G142" s="159"/>
    </row>
    <row r="143" spans="1:7" s="789" customFormat="1" ht="13.7" customHeight="1">
      <c r="A143" s="777"/>
      <c r="B143" s="777"/>
      <c r="C143" s="13"/>
      <c r="D143" s="970"/>
      <c r="E143" s="970"/>
      <c r="F143" s="970"/>
      <c r="G143" s="159"/>
    </row>
    <row r="144" spans="1:7" s="789" customFormat="1" ht="13.7" customHeight="1">
      <c r="A144" s="777"/>
      <c r="B144" s="777"/>
      <c r="C144" s="13"/>
      <c r="D144" s="970"/>
      <c r="E144" s="970"/>
      <c r="F144" s="970"/>
      <c r="G144" s="159"/>
    </row>
    <row r="145" spans="1:7" s="789" customFormat="1" ht="13.7" customHeight="1">
      <c r="A145" s="777"/>
      <c r="B145" s="777"/>
      <c r="C145" s="13"/>
      <c r="D145" s="970"/>
      <c r="E145" s="970"/>
      <c r="F145" s="970"/>
      <c r="G145" s="159"/>
    </row>
    <row r="146" spans="1:7" s="789" customFormat="1" ht="13.7" customHeight="1">
      <c r="A146" s="820"/>
      <c r="B146" s="820"/>
      <c r="C146" s="13"/>
      <c r="D146" s="970"/>
      <c r="E146" s="970"/>
      <c r="F146" s="970"/>
      <c r="G146" s="159"/>
    </row>
    <row r="147" spans="1:7" s="789" customFormat="1" ht="13.7" customHeight="1">
      <c r="A147" s="820"/>
      <c r="B147" s="820"/>
      <c r="C147" s="13"/>
      <c r="D147" s="970"/>
      <c r="E147" s="970"/>
      <c r="F147" s="970"/>
      <c r="G147" s="159"/>
    </row>
    <row r="148" spans="1:7" s="789" customFormat="1" ht="13.7" customHeight="1">
      <c r="A148" s="777"/>
      <c r="B148" s="777"/>
      <c r="C148" s="13"/>
      <c r="D148" s="970"/>
      <c r="E148" s="970"/>
      <c r="F148" s="970"/>
      <c r="G148" s="159"/>
    </row>
    <row r="149" spans="1:7" s="789" customFormat="1" ht="13.7" customHeight="1">
      <c r="A149" s="777"/>
      <c r="B149" s="777"/>
      <c r="C149" s="13"/>
      <c r="D149" s="970"/>
      <c r="E149" s="970"/>
      <c r="F149" s="970"/>
      <c r="G149" s="159"/>
    </row>
    <row r="150" spans="1:7" s="789" customFormat="1" ht="13.7" customHeight="1">
      <c r="A150" s="777"/>
      <c r="B150" s="777"/>
      <c r="C150" s="13"/>
      <c r="D150" s="970"/>
      <c r="E150" s="970"/>
      <c r="F150" s="970"/>
      <c r="G150" s="159"/>
    </row>
    <row r="151" spans="1:7" s="789" customFormat="1" ht="13.7" customHeight="1">
      <c r="A151" s="777"/>
      <c r="B151" s="777"/>
      <c r="C151" s="13"/>
      <c r="D151" s="970"/>
      <c r="E151" s="970"/>
      <c r="F151" s="970"/>
      <c r="G151" s="159"/>
    </row>
    <row r="152" spans="1:7" s="789" customFormat="1" ht="13.7" customHeight="1">
      <c r="A152" s="777"/>
      <c r="B152" s="777"/>
      <c r="C152" s="13"/>
      <c r="D152" s="970"/>
      <c r="E152" s="970"/>
      <c r="F152" s="970"/>
      <c r="G152" s="159"/>
    </row>
    <row r="153" spans="1:7" s="789" customFormat="1" ht="13.7" customHeight="1">
      <c r="A153" s="777"/>
      <c r="B153" s="777"/>
      <c r="C153" s="13"/>
      <c r="D153" s="970"/>
      <c r="E153" s="970"/>
      <c r="F153" s="970"/>
      <c r="G153" s="159"/>
    </row>
    <row r="154" spans="1:7" s="789" customFormat="1" ht="13.7" customHeight="1">
      <c r="A154" s="777"/>
      <c r="B154" s="777"/>
      <c r="C154" s="13"/>
      <c r="D154" s="970"/>
      <c r="E154" s="970"/>
      <c r="F154" s="970"/>
      <c r="G154" s="159"/>
    </row>
    <row r="155" spans="1:7" s="789" customFormat="1" ht="13.7" customHeight="1">
      <c r="A155" s="777"/>
      <c r="B155" s="777"/>
      <c r="C155" s="13"/>
      <c r="D155" s="358"/>
      <c r="E155" s="161"/>
      <c r="F155" s="161"/>
      <c r="G155" s="159"/>
    </row>
    <row r="156" spans="1:7" customFormat="1" ht="13.7" customHeight="1">
      <c r="A156" s="417"/>
      <c r="B156" s="751" t="s">
        <v>333</v>
      </c>
      <c r="C156" s="356"/>
      <c r="D156" s="984" t="s">
        <v>1379</v>
      </c>
      <c r="E156" s="984"/>
      <c r="F156" s="984"/>
      <c r="G156" s="483"/>
    </row>
    <row r="157" spans="1:7" customFormat="1" ht="13.7" customHeight="1">
      <c r="A157" s="417"/>
      <c r="B157" s="417"/>
      <c r="C157" s="356"/>
      <c r="D157" s="984"/>
      <c r="E157" s="984"/>
      <c r="F157" s="984"/>
      <c r="G157" s="483"/>
    </row>
    <row r="158" spans="1:7" customFormat="1" ht="13.7" customHeight="1">
      <c r="A158" s="417"/>
      <c r="B158" s="417"/>
      <c r="C158" s="356"/>
      <c r="D158" s="358"/>
      <c r="E158" s="356"/>
      <c r="F158" s="356"/>
      <c r="G158" s="483"/>
    </row>
    <row r="159" spans="1:7" customFormat="1" ht="13.7" customHeight="1">
      <c r="A159" s="417"/>
      <c r="B159" s="751" t="s">
        <v>333</v>
      </c>
      <c r="C159" s="356"/>
      <c r="D159" s="982" t="s">
        <v>1380</v>
      </c>
      <c r="E159" s="982"/>
      <c r="F159" s="982"/>
      <c r="G159" s="483"/>
    </row>
    <row r="160" spans="1:7" customFormat="1" ht="13.7" customHeight="1">
      <c r="A160" s="417"/>
      <c r="B160" s="417"/>
      <c r="C160" s="356"/>
      <c r="D160" s="982"/>
      <c r="E160" s="982"/>
      <c r="F160" s="982"/>
      <c r="G160" s="483"/>
    </row>
    <row r="161" spans="1:7" customFormat="1" ht="13.7" customHeight="1">
      <c r="A161" s="417"/>
      <c r="B161" s="417"/>
      <c r="C161" s="356"/>
      <c r="D161" s="982"/>
      <c r="E161" s="982"/>
      <c r="F161" s="982"/>
      <c r="G161" s="483"/>
    </row>
    <row r="162" spans="1:7" customFormat="1" ht="13.7" customHeight="1">
      <c r="A162" s="417"/>
      <c r="B162" s="417"/>
      <c r="C162" s="356"/>
      <c r="D162" s="982"/>
      <c r="E162" s="982"/>
      <c r="F162" s="982"/>
      <c r="G162" s="483"/>
    </row>
    <row r="163" spans="1:7" customFormat="1" ht="13.7" customHeight="1">
      <c r="A163" s="139"/>
      <c r="B163" s="748"/>
      <c r="C163" s="13"/>
      <c r="D163" s="161"/>
      <c r="E163" s="161"/>
      <c r="F163" s="161"/>
      <c r="G163" s="159"/>
    </row>
    <row r="164" spans="1:7" customFormat="1" ht="13.7" customHeight="1">
      <c r="A164" s="139"/>
      <c r="B164" s="751" t="s">
        <v>333</v>
      </c>
      <c r="C164" s="13"/>
      <c r="D164" s="1015" t="s">
        <v>1381</v>
      </c>
      <c r="E164" s="1015"/>
      <c r="F164" s="1015"/>
      <c r="G164" s="159"/>
    </row>
    <row r="165" spans="1:7" customFormat="1" ht="13.7" customHeight="1">
      <c r="A165" s="139"/>
      <c r="B165" s="748"/>
      <c r="C165" s="13"/>
      <c r="D165" s="1015"/>
      <c r="E165" s="1015"/>
      <c r="F165" s="1015"/>
      <c r="G165" s="159"/>
    </row>
    <row r="166" spans="1:7" customFormat="1" ht="13.7" customHeight="1">
      <c r="A166" s="139"/>
      <c r="B166" s="748"/>
      <c r="C166" s="13"/>
      <c r="D166" s="1015"/>
      <c r="E166" s="1015"/>
      <c r="F166" s="1015"/>
      <c r="G166" s="159"/>
    </row>
    <row r="167" spans="1:7" customFormat="1" ht="13.7" customHeight="1">
      <c r="A167" s="27"/>
      <c r="B167" s="747"/>
      <c r="C167" s="13"/>
      <c r="D167" s="8"/>
      <c r="E167" s="161"/>
      <c r="F167" s="161"/>
      <c r="G167" s="159"/>
    </row>
    <row r="168" spans="1:7">
      <c r="A168" s="992" t="s">
        <v>1261</v>
      </c>
      <c r="B168" s="992"/>
      <c r="C168" s="992"/>
      <c r="D168" s="992"/>
      <c r="E168" s="992"/>
      <c r="F168" s="992"/>
      <c r="G168" s="992"/>
    </row>
    <row r="169" spans="1:7" ht="12" customHeight="1">
      <c r="D169" s="142"/>
      <c r="E169" s="142"/>
      <c r="F169" s="142"/>
    </row>
    <row r="170" spans="1:7">
      <c r="B170" s="1020" t="s">
        <v>513</v>
      </c>
      <c r="C170" s="1020"/>
      <c r="D170" s="1020"/>
      <c r="E170" s="1020"/>
      <c r="F170" s="1020"/>
    </row>
    <row r="171" spans="1:7" ht="12" customHeight="1">
      <c r="A171" s="281"/>
      <c r="B171" s="745"/>
      <c r="C171" s="281"/>
    </row>
    <row r="172" spans="1:7">
      <c r="A172" s="992" t="s">
        <v>1262</v>
      </c>
      <c r="B172" s="992"/>
      <c r="C172" s="992"/>
      <c r="D172" s="992"/>
      <c r="E172" s="992"/>
      <c r="F172" s="992"/>
      <c r="G172" s="992"/>
    </row>
    <row r="173" spans="1:7" ht="12" customHeight="1">
      <c r="A173" s="290"/>
      <c r="B173" s="290"/>
      <c r="C173" s="291"/>
      <c r="D173" s="61"/>
      <c r="E173" s="53"/>
      <c r="F173" s="61"/>
      <c r="G173" s="61"/>
    </row>
    <row r="174" spans="1:7" ht="13.15" customHeight="1">
      <c r="A174" s="290"/>
      <c r="B174" s="290"/>
      <c r="C174" s="291"/>
      <c r="D174" s="1016" t="s">
        <v>1384</v>
      </c>
      <c r="E174" s="1016"/>
      <c r="F174" s="1016"/>
      <c r="G174" s="61"/>
    </row>
    <row r="175" spans="1:7">
      <c r="A175" s="290"/>
      <c r="B175" s="290"/>
      <c r="C175" s="291"/>
      <c r="D175" s="1016"/>
      <c r="E175" s="1016"/>
      <c r="F175" s="1016"/>
      <c r="G175" s="61"/>
    </row>
    <row r="176" spans="1:7" s="791" customFormat="1">
      <c r="A176" s="793"/>
      <c r="B176" s="793"/>
      <c r="C176" s="291"/>
      <c r="D176" s="1017" t="s">
        <v>1385</v>
      </c>
      <c r="E176" s="1017"/>
      <c r="F176" s="1017"/>
      <c r="G176" s="61"/>
    </row>
    <row r="177" spans="1:7" ht="12" customHeight="1">
      <c r="A177" s="290"/>
      <c r="B177" s="290"/>
      <c r="C177" s="291"/>
      <c r="D177" s="61"/>
      <c r="E177" s="53"/>
      <c r="F177" s="61"/>
      <c r="G177" s="61"/>
    </row>
    <row r="178" spans="1:7" ht="14.25">
      <c r="A178" s="287"/>
      <c r="B178" s="751" t="s">
        <v>333</v>
      </c>
      <c r="C178" s="291"/>
      <c r="D178" s="1010" t="s">
        <v>1383</v>
      </c>
      <c r="E178" s="1010"/>
      <c r="F178" s="1010"/>
      <c r="G178" s="61"/>
    </row>
    <row r="179" spans="1:7" ht="14.25">
      <c r="A179" s="287"/>
      <c r="B179" s="287"/>
      <c r="C179" s="291"/>
      <c r="D179" s="1010"/>
      <c r="E179" s="1010"/>
      <c r="F179" s="1010"/>
      <c r="G179" s="61"/>
    </row>
    <row r="180" spans="1:7" ht="14.25">
      <c r="A180" s="287"/>
      <c r="B180" s="287"/>
      <c r="C180" s="291"/>
      <c r="D180" s="1010"/>
      <c r="E180" s="1010"/>
      <c r="F180" s="1010"/>
      <c r="G180" s="61"/>
    </row>
    <row r="181" spans="1:7">
      <c r="A181" s="291"/>
      <c r="B181" s="291"/>
      <c r="C181" s="291"/>
      <c r="D181" s="1010"/>
      <c r="E181" s="1010"/>
      <c r="F181" s="1010"/>
    </row>
    <row r="182" spans="1:7">
      <c r="A182" s="291"/>
      <c r="B182" s="291"/>
      <c r="C182" s="291"/>
      <c r="D182" s="443"/>
      <c r="E182" s="61"/>
      <c r="F182" s="61"/>
    </row>
    <row r="183" spans="1:7">
      <c r="A183" s="291"/>
      <c r="B183" s="291"/>
      <c r="C183" s="291"/>
      <c r="D183" s="1019" t="s">
        <v>1278</v>
      </c>
      <c r="E183" s="1019"/>
      <c r="F183" s="1019"/>
    </row>
    <row r="184" spans="1:7">
      <c r="A184" s="291"/>
      <c r="B184" s="291"/>
      <c r="C184" s="291"/>
      <c r="D184" s="1019"/>
      <c r="E184" s="1019"/>
      <c r="F184" s="1019"/>
    </row>
    <row r="185" spans="1:7" s="754" customFormat="1">
      <c r="A185" s="291"/>
      <c r="B185" s="291"/>
      <c r="C185" s="291"/>
      <c r="D185" s="768"/>
      <c r="E185" s="768"/>
      <c r="F185" s="768"/>
      <c r="G185" s="8"/>
    </row>
    <row r="186" spans="1:7" s="749" customFormat="1" ht="14.25">
      <c r="A186" s="287"/>
      <c r="B186" s="751" t="s">
        <v>333</v>
      </c>
      <c r="C186" s="611"/>
      <c r="D186" s="970" t="s">
        <v>1382</v>
      </c>
      <c r="E186" s="970"/>
      <c r="F186" s="970"/>
      <c r="G186" s="750"/>
    </row>
    <row r="187" spans="1:7" s="749" customFormat="1" ht="14.45" customHeight="1">
      <c r="A187" s="287"/>
      <c r="C187" s="611"/>
      <c r="D187" s="970"/>
      <c r="E187" s="970"/>
      <c r="F187" s="970"/>
      <c r="G187" s="750"/>
    </row>
    <row r="188" spans="1:7" s="749" customFormat="1" ht="14.25">
      <c r="A188" s="287"/>
      <c r="B188" s="769"/>
      <c r="C188" s="611"/>
      <c r="D188" s="970"/>
      <c r="E188" s="970"/>
      <c r="F188" s="970"/>
      <c r="G188" s="750"/>
    </row>
    <row r="189" spans="1:7" s="749" customFormat="1" ht="14.25">
      <c r="A189" s="287"/>
      <c r="B189" s="769"/>
      <c r="C189" s="611"/>
      <c r="D189" s="970"/>
      <c r="E189" s="970"/>
      <c r="F189" s="970"/>
      <c r="G189" s="750"/>
    </row>
    <row r="190" spans="1:7" s="754" customFormat="1">
      <c r="A190" s="291"/>
      <c r="B190" s="291"/>
      <c r="C190" s="291"/>
      <c r="D190" s="768"/>
      <c r="E190" s="768"/>
      <c r="F190" s="768"/>
      <c r="G190" s="8"/>
    </row>
    <row r="191" spans="1:7">
      <c r="A191" s="992" t="s">
        <v>1263</v>
      </c>
      <c r="B191" s="992"/>
      <c r="C191" s="992"/>
      <c r="D191" s="992"/>
      <c r="E191" s="992"/>
      <c r="F191" s="992"/>
      <c r="G191" s="992"/>
    </row>
    <row r="192" spans="1:7" ht="12" customHeight="1">
      <c r="D192" s="142"/>
      <c r="E192" s="142"/>
      <c r="F192" s="142"/>
    </row>
    <row r="193" spans="1:6">
      <c r="C193" s="288"/>
      <c r="D193" s="1018" t="s">
        <v>226</v>
      </c>
      <c r="E193" s="1018"/>
      <c r="F193" s="1018"/>
    </row>
    <row r="194" spans="1:6">
      <c r="A194" s="281"/>
      <c r="B194" s="745"/>
      <c r="C194" s="281"/>
      <c r="D194" s="987" t="s">
        <v>1406</v>
      </c>
      <c r="E194" s="997"/>
      <c r="F194" s="997"/>
    </row>
    <row r="195" spans="1:6" ht="12" customHeight="1">
      <c r="A195" s="27"/>
      <c r="B195" s="747"/>
      <c r="C195" s="27"/>
    </row>
    <row r="196" spans="1:6" ht="13.15" customHeight="1">
      <c r="A196" s="27"/>
      <c r="C196" s="27"/>
      <c r="D196" s="995" t="s">
        <v>623</v>
      </c>
      <c r="E196" s="995"/>
      <c r="F196" s="995"/>
    </row>
    <row r="197" spans="1:6" ht="14.25">
      <c r="A197" s="287"/>
      <c r="B197" s="751" t="s">
        <v>333</v>
      </c>
      <c r="D197" s="970" t="s">
        <v>1400</v>
      </c>
      <c r="E197" s="970"/>
      <c r="F197" s="970"/>
    </row>
    <row r="198" spans="1:6" ht="14.25">
      <c r="A198" s="287"/>
      <c r="B198" s="287"/>
      <c r="D198" s="970"/>
      <c r="E198" s="970"/>
      <c r="F198" s="970"/>
    </row>
    <row r="199" spans="1:6"/>
    <row r="200" spans="1:6" ht="14.25">
      <c r="A200" s="287"/>
      <c r="B200" s="751" t="s">
        <v>333</v>
      </c>
      <c r="D200" s="970" t="s">
        <v>1401</v>
      </c>
      <c r="E200" s="970"/>
      <c r="F200" s="970"/>
    </row>
    <row r="201" spans="1:6" ht="14.25">
      <c r="A201" s="287"/>
      <c r="B201" s="287"/>
      <c r="D201" s="970"/>
      <c r="E201" s="970"/>
      <c r="F201" s="970"/>
    </row>
    <row r="202" spans="1:6" ht="14.25">
      <c r="A202" s="287"/>
      <c r="B202" s="287"/>
      <c r="D202" s="970"/>
      <c r="E202" s="970"/>
      <c r="F202" s="970"/>
    </row>
    <row r="203" spans="1:6" ht="5.0999999999999996" customHeight="1">
      <c r="A203" s="287"/>
      <c r="B203" s="287"/>
      <c r="D203" s="161"/>
      <c r="E203" s="142"/>
      <c r="F203" s="142"/>
    </row>
    <row r="204" spans="1:6" ht="14.25">
      <c r="A204" s="287"/>
      <c r="B204" s="287"/>
      <c r="D204" s="970" t="s">
        <v>1402</v>
      </c>
      <c r="E204" s="970"/>
      <c r="F204" s="970"/>
    </row>
    <row r="205" spans="1:6" ht="14.25">
      <c r="A205" s="287"/>
      <c r="B205" s="287"/>
      <c r="D205" s="970"/>
      <c r="E205" s="970"/>
      <c r="F205" s="970"/>
    </row>
    <row r="206" spans="1:6" ht="14.25">
      <c r="A206" s="287"/>
      <c r="B206" s="287"/>
      <c r="D206" s="970"/>
      <c r="E206" s="970"/>
      <c r="F206" s="970"/>
    </row>
    <row r="207" spans="1:6" ht="14.25">
      <c r="A207" s="287"/>
      <c r="B207" s="287"/>
      <c r="D207" s="970"/>
      <c r="E207" s="970"/>
      <c r="F207" s="970"/>
    </row>
    <row r="208" spans="1:6" ht="14.25">
      <c r="A208" s="287"/>
      <c r="B208" s="287"/>
      <c r="D208" s="970"/>
      <c r="E208" s="970"/>
      <c r="F208" s="970"/>
    </row>
    <row r="209" spans="1:7" ht="14.25">
      <c r="A209" s="287"/>
      <c r="B209" s="287"/>
      <c r="D209" s="142"/>
      <c r="E209" s="142"/>
      <c r="F209" s="142"/>
    </row>
    <row r="210" spans="1:7" ht="14.25">
      <c r="A210" s="287"/>
      <c r="B210" s="751" t="s">
        <v>333</v>
      </c>
      <c r="D210" s="986" t="s">
        <v>1403</v>
      </c>
      <c r="E210" s="986"/>
      <c r="F210" s="986"/>
    </row>
    <row r="211" spans="1:7" ht="14.25">
      <c r="A211" s="287"/>
      <c r="B211" s="287"/>
      <c r="D211" s="986"/>
      <c r="E211" s="986"/>
      <c r="F211" s="986"/>
    </row>
    <row r="212" spans="1:7" ht="14.25">
      <c r="A212" s="287"/>
      <c r="B212" s="287"/>
      <c r="D212" s="1020" t="s">
        <v>1027</v>
      </c>
      <c r="E212" s="1020"/>
      <c r="F212" s="1020"/>
    </row>
    <row r="213" spans="1:7" ht="14.25">
      <c r="A213" s="287"/>
      <c r="B213" s="287"/>
      <c r="D213" s="142"/>
      <c r="E213" s="142"/>
      <c r="F213" s="142"/>
    </row>
    <row r="214" spans="1:7" ht="14.45" customHeight="1">
      <c r="A214" s="287"/>
      <c r="B214" s="751" t="s">
        <v>333</v>
      </c>
      <c r="D214" s="986" t="s">
        <v>1405</v>
      </c>
      <c r="E214" s="986"/>
      <c r="F214" s="986"/>
    </row>
    <row r="215" spans="1:7" ht="14.25">
      <c r="A215" s="287"/>
      <c r="B215" s="287"/>
      <c r="D215" s="986"/>
      <c r="E215" s="986"/>
      <c r="F215" s="986"/>
    </row>
    <row r="216" spans="1:7" ht="14.25">
      <c r="A216" s="287"/>
      <c r="B216" s="287"/>
      <c r="D216" s="986"/>
      <c r="E216" s="986"/>
      <c r="F216" s="986"/>
    </row>
    <row r="217" spans="1:7" ht="14.25">
      <c r="A217" s="287"/>
      <c r="B217" s="287"/>
      <c r="D217" s="986"/>
      <c r="E217" s="986"/>
      <c r="F217" s="986"/>
    </row>
    <row r="218" spans="1:7" ht="14.25">
      <c r="A218" s="287"/>
      <c r="B218" s="287"/>
      <c r="D218" s="986"/>
      <c r="E218" s="986"/>
      <c r="F218" s="986"/>
    </row>
    <row r="219" spans="1:7">
      <c r="D219" s="142"/>
      <c r="E219" s="142"/>
      <c r="F219" s="142"/>
    </row>
    <row r="220" spans="1:7" ht="14.25">
      <c r="A220" s="287"/>
      <c r="B220" s="751" t="s">
        <v>333</v>
      </c>
      <c r="D220" s="970" t="s">
        <v>1404</v>
      </c>
      <c r="E220" s="970"/>
      <c r="F220" s="970"/>
    </row>
    <row r="221" spans="1:7" ht="14.25">
      <c r="A221" s="287"/>
      <c r="B221" s="287"/>
      <c r="D221" s="970"/>
      <c r="E221" s="970"/>
      <c r="F221" s="970"/>
    </row>
    <row r="222" spans="1:7">
      <c r="D222" s="33"/>
    </row>
    <row r="223" spans="1:7">
      <c r="A223" s="992" t="s">
        <v>1264</v>
      </c>
      <c r="B223" s="992"/>
      <c r="C223" s="992"/>
      <c r="D223" s="992"/>
      <c r="E223" s="992"/>
      <c r="F223" s="992"/>
      <c r="G223" s="992"/>
    </row>
    <row r="224" spans="1:7">
      <c r="D224" s="33"/>
    </row>
    <row r="225" spans="1:6">
      <c r="C225" s="288"/>
      <c r="D225" s="995" t="s">
        <v>1407</v>
      </c>
      <c r="E225" s="995"/>
      <c r="F225" s="995"/>
    </row>
    <row r="226" spans="1:6">
      <c r="A226" s="281"/>
      <c r="B226" s="745"/>
      <c r="C226" s="281"/>
      <c r="D226" s="142"/>
      <c r="E226" s="142"/>
      <c r="F226" s="142"/>
    </row>
    <row r="227" spans="1:6">
      <c r="A227" s="286"/>
      <c r="B227" s="286"/>
      <c r="C227" s="286"/>
      <c r="D227" s="995" t="s">
        <v>289</v>
      </c>
      <c r="E227" s="995"/>
      <c r="F227" s="995"/>
    </row>
    <row r="228" spans="1:6" ht="14.25">
      <c r="A228" s="287"/>
      <c r="B228" s="751" t="s">
        <v>333</v>
      </c>
      <c r="D228" s="996" t="s">
        <v>1408</v>
      </c>
      <c r="E228" s="996"/>
      <c r="F228" s="996"/>
    </row>
    <row r="229" spans="1:6" ht="14.25">
      <c r="A229" s="287"/>
      <c r="B229" s="287"/>
      <c r="D229" s="996"/>
      <c r="E229" s="996"/>
      <c r="F229" s="996"/>
    </row>
    <row r="230" spans="1:6">
      <c r="D230" s="142"/>
      <c r="E230" s="142"/>
      <c r="F230" s="142"/>
    </row>
    <row r="231" spans="1:6" ht="14.45" customHeight="1">
      <c r="A231" s="287"/>
      <c r="B231" s="751" t="s">
        <v>333</v>
      </c>
      <c r="D231" s="986" t="s">
        <v>1409</v>
      </c>
      <c r="E231" s="986"/>
      <c r="F231" s="986"/>
    </row>
    <row r="232" spans="1:6">
      <c r="D232" s="986"/>
      <c r="E232" s="986"/>
      <c r="F232" s="986"/>
    </row>
    <row r="233" spans="1:6">
      <c r="D233" s="997" t="s">
        <v>1017</v>
      </c>
      <c r="E233" s="997"/>
      <c r="F233" s="997"/>
    </row>
    <row r="234" spans="1:6">
      <c r="D234" s="142"/>
      <c r="E234" s="142"/>
      <c r="F234" s="142"/>
    </row>
    <row r="235" spans="1:6" ht="14.45" customHeight="1">
      <c r="A235" s="287"/>
      <c r="B235" s="751" t="s">
        <v>333</v>
      </c>
      <c r="D235" s="986" t="s">
        <v>1411</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42"/>
      <c r="E240" s="142"/>
      <c r="F240" s="142"/>
    </row>
    <row r="241" spans="1:7" ht="14.25">
      <c r="A241" s="287"/>
      <c r="B241" s="751" t="s">
        <v>333</v>
      </c>
      <c r="D241" s="970" t="s">
        <v>1410</v>
      </c>
      <c r="E241" s="970"/>
      <c r="F241" s="970"/>
    </row>
    <row r="242" spans="1:7">
      <c r="D242" s="970"/>
      <c r="E242" s="970"/>
      <c r="F242" s="970"/>
    </row>
    <row r="243" spans="1:7">
      <c r="D243" s="970"/>
      <c r="E243" s="970"/>
      <c r="F243" s="970"/>
    </row>
    <row r="244" spans="1:7">
      <c r="D244" s="289"/>
      <c r="E244" s="142"/>
      <c r="F244" s="142"/>
    </row>
    <row r="245" spans="1:7">
      <c r="A245" s="992" t="s">
        <v>1265</v>
      </c>
      <c r="B245" s="992"/>
      <c r="C245" s="992"/>
      <c r="D245" s="992"/>
      <c r="E245" s="992"/>
      <c r="F245" s="992"/>
      <c r="G245" s="992"/>
    </row>
    <row r="246" spans="1:7">
      <c r="D246" s="289"/>
      <c r="E246" s="142"/>
      <c r="F246" s="142"/>
    </row>
    <row r="247" spans="1:7">
      <c r="C247" s="281"/>
      <c r="D247" s="1021" t="s">
        <v>1412</v>
      </c>
      <c r="E247" s="1021"/>
      <c r="F247" s="1021"/>
    </row>
    <row r="248" spans="1:7">
      <c r="C248" s="281"/>
      <c r="D248" s="1021"/>
      <c r="E248" s="1021"/>
      <c r="F248" s="1021"/>
    </row>
    <row r="249" spans="1:7">
      <c r="A249" s="286"/>
      <c r="B249" s="286"/>
      <c r="C249" s="286"/>
      <c r="D249" s="5"/>
      <c r="E249" s="6"/>
      <c r="F249" s="6"/>
    </row>
    <row r="250" spans="1:7">
      <c r="C250" s="286"/>
      <c r="D250" s="995" t="s">
        <v>227</v>
      </c>
      <c r="E250" s="995"/>
      <c r="F250" s="995"/>
    </row>
    <row r="251" spans="1:7" ht="15.75" customHeight="1">
      <c r="A251" s="287"/>
      <c r="B251" s="287"/>
      <c r="D251" s="1003" t="s">
        <v>1413</v>
      </c>
      <c r="E251" s="1003"/>
      <c r="F251" s="1003"/>
    </row>
    <row r="252" spans="1:7">
      <c r="E252" s="142"/>
      <c r="F252" s="142"/>
    </row>
    <row r="253" spans="1:7" ht="14.25">
      <c r="A253" s="287"/>
      <c r="B253" s="751" t="s">
        <v>333</v>
      </c>
      <c r="D253" s="970" t="s">
        <v>1414</v>
      </c>
      <c r="E253" s="970"/>
      <c r="F253" s="970"/>
    </row>
    <row r="254" spans="1:7" ht="14.25">
      <c r="A254" s="287"/>
      <c r="B254" s="287"/>
      <c r="D254" s="970"/>
      <c r="E254" s="970"/>
      <c r="F254" s="970"/>
    </row>
    <row r="255" spans="1:7">
      <c r="D255" s="142"/>
      <c r="E255" s="142"/>
      <c r="F255" s="142"/>
    </row>
    <row r="256" spans="1:7" ht="14.25">
      <c r="A256" s="287"/>
      <c r="B256" s="751" t="s">
        <v>333</v>
      </c>
      <c r="D256" s="986" t="s">
        <v>1415</v>
      </c>
      <c r="E256" s="986"/>
      <c r="F256" s="986"/>
    </row>
    <row r="257" spans="1:7" ht="14.25">
      <c r="A257" s="287"/>
      <c r="B257" s="287"/>
      <c r="D257" s="986"/>
      <c r="E257" s="986"/>
      <c r="F257" s="986"/>
    </row>
    <row r="258" spans="1:7" ht="14.25">
      <c r="A258" s="287"/>
      <c r="B258" s="287"/>
      <c r="D258" s="986"/>
      <c r="E258" s="986"/>
      <c r="F258" s="986"/>
    </row>
    <row r="259" spans="1:7">
      <c r="D259" s="142"/>
      <c r="E259" s="142"/>
      <c r="F259" s="142"/>
    </row>
    <row r="260" spans="1:7" ht="14.25">
      <c r="A260" s="287"/>
      <c r="B260" s="751" t="s">
        <v>333</v>
      </c>
      <c r="D260" s="970" t="s">
        <v>1416</v>
      </c>
      <c r="E260" s="970"/>
      <c r="F260" s="970"/>
    </row>
    <row r="261" spans="1:7" ht="14.25">
      <c r="A261" s="287"/>
      <c r="B261" s="287"/>
      <c r="D261" s="970"/>
      <c r="E261" s="970"/>
      <c r="F261" s="970"/>
    </row>
    <row r="262" spans="1:7">
      <c r="A262" s="27"/>
      <c r="B262" s="747"/>
      <c r="E262" s="142"/>
      <c r="F262" s="142"/>
    </row>
    <row r="263" spans="1:7">
      <c r="A263" s="992" t="s">
        <v>1266</v>
      </c>
      <c r="B263" s="992"/>
      <c r="C263" s="992"/>
      <c r="D263" s="992"/>
      <c r="E263" s="992"/>
      <c r="F263" s="992"/>
      <c r="G263" s="992"/>
    </row>
    <row r="264" spans="1:7">
      <c r="A264" s="27"/>
      <c r="B264" s="747"/>
      <c r="D264" s="142"/>
      <c r="E264" s="142"/>
      <c r="F264" s="142"/>
    </row>
    <row r="265" spans="1:7">
      <c r="C265" s="27"/>
      <c r="D265" s="995" t="s">
        <v>768</v>
      </c>
      <c r="E265" s="995"/>
      <c r="F265" s="995"/>
    </row>
    <row r="266" spans="1:7">
      <c r="C266" s="27"/>
      <c r="D266" s="985" t="s">
        <v>1417</v>
      </c>
      <c r="E266" s="985"/>
      <c r="F266" s="985"/>
    </row>
    <row r="267" spans="1:7">
      <c r="C267" s="27"/>
      <c r="D267" s="285"/>
    </row>
    <row r="268" spans="1:7">
      <c r="A268" s="299"/>
      <c r="B268" s="751" t="s">
        <v>333</v>
      </c>
      <c r="D268" s="985" t="s">
        <v>1418</v>
      </c>
      <c r="E268" s="985"/>
      <c r="F268" s="985"/>
    </row>
    <row r="269" spans="1:7" s="43" customFormat="1" ht="14.25">
      <c r="A269" s="442"/>
      <c r="B269" s="442"/>
      <c r="C269" s="299"/>
      <c r="D269" s="543"/>
      <c r="E269" s="544"/>
      <c r="F269" s="544"/>
      <c r="G269" s="137"/>
    </row>
    <row r="270" spans="1:7" s="43" customFormat="1" ht="13.15" customHeight="1">
      <c r="A270" s="299"/>
      <c r="B270" s="751" t="s">
        <v>333</v>
      </c>
      <c r="C270" s="299"/>
      <c r="D270" s="998" t="s">
        <v>1419</v>
      </c>
      <c r="E270" s="998"/>
      <c r="F270" s="998"/>
      <c r="G270" s="137"/>
    </row>
    <row r="271" spans="1:7" s="43" customFormat="1" ht="14.25">
      <c r="A271" s="442"/>
      <c r="B271" s="442"/>
      <c r="C271" s="299"/>
      <c r="D271" s="998"/>
      <c r="E271" s="998"/>
      <c r="F271" s="998"/>
      <c r="G271" s="137"/>
    </row>
    <row r="272" spans="1:7" s="43" customFormat="1" ht="14.25">
      <c r="A272" s="442"/>
      <c r="B272" s="442"/>
      <c r="C272" s="299"/>
      <c r="D272" s="998"/>
      <c r="E272" s="998"/>
      <c r="F272" s="998"/>
      <c r="G272" s="137"/>
    </row>
    <row r="273" spans="1:7" s="43" customFormat="1" ht="14.25">
      <c r="A273" s="442"/>
      <c r="B273" s="442"/>
      <c r="C273" s="299"/>
      <c r="D273" s="998"/>
      <c r="E273" s="998"/>
      <c r="F273" s="998"/>
      <c r="G273" s="137"/>
    </row>
    <row r="274" spans="1:7" s="43" customFormat="1" ht="14.25">
      <c r="A274" s="442"/>
      <c r="B274" s="442"/>
      <c r="C274" s="299"/>
      <c r="D274" s="998"/>
      <c r="E274" s="998"/>
      <c r="F274" s="998"/>
      <c r="G274" s="137"/>
    </row>
    <row r="275" spans="1:7" s="43" customFormat="1" ht="14.25">
      <c r="A275" s="442"/>
      <c r="B275" s="442"/>
      <c r="C275" s="299"/>
      <c r="D275" s="543"/>
      <c r="E275" s="544"/>
      <c r="F275" s="544"/>
      <c r="G275" s="137"/>
    </row>
    <row r="276" spans="1:7" s="43" customFormat="1" ht="13.15" customHeight="1">
      <c r="A276" s="299"/>
      <c r="B276" s="751" t="s">
        <v>333</v>
      </c>
      <c r="C276" s="299"/>
      <c r="D276" s="998" t="s">
        <v>1420</v>
      </c>
      <c r="E276" s="998"/>
      <c r="F276" s="998"/>
      <c r="G276" s="137"/>
    </row>
    <row r="277" spans="1:7" s="43" customFormat="1">
      <c r="A277" s="299"/>
      <c r="B277" s="299"/>
      <c r="C277" s="299"/>
      <c r="D277" s="998"/>
      <c r="E277" s="998"/>
      <c r="F277" s="998"/>
      <c r="G277" s="137"/>
    </row>
    <row r="278" spans="1:7" s="43" customFormat="1" ht="14.25">
      <c r="A278" s="442"/>
      <c r="B278" s="442"/>
      <c r="C278" s="299"/>
      <c r="D278" s="543"/>
      <c r="E278" s="544"/>
      <c r="F278" s="544"/>
      <c r="G278" s="137"/>
    </row>
    <row r="279" spans="1:7">
      <c r="A279" s="299"/>
      <c r="B279" s="751" t="s">
        <v>333</v>
      </c>
      <c r="D279" s="985" t="s">
        <v>1421</v>
      </c>
      <c r="E279" s="985"/>
      <c r="F279" s="985"/>
    </row>
    <row r="280" spans="1:7">
      <c r="E280" s="142"/>
      <c r="F280" s="142"/>
    </row>
    <row r="281" spans="1:7" ht="14.25">
      <c r="A281" s="287"/>
      <c r="B281" s="751" t="s">
        <v>333</v>
      </c>
      <c r="D281" s="986" t="s">
        <v>1422</v>
      </c>
      <c r="E281" s="986"/>
      <c r="F281" s="986"/>
    </row>
    <row r="282" spans="1:7" ht="14.25">
      <c r="A282" s="287"/>
      <c r="B282" s="287"/>
      <c r="D282" s="986"/>
      <c r="E282" s="986"/>
      <c r="F282" s="986"/>
    </row>
    <row r="283" spans="1:7" s="791" customFormat="1" ht="14.25">
      <c r="A283" s="786"/>
      <c r="B283" s="786"/>
      <c r="C283" s="803"/>
      <c r="D283" s="986"/>
      <c r="E283" s="986"/>
      <c r="F283" s="986"/>
      <c r="G283" s="8"/>
    </row>
    <row r="284" spans="1:7" s="791" customFormat="1" ht="14.25">
      <c r="A284" s="786"/>
      <c r="B284" s="786"/>
      <c r="C284" s="803"/>
      <c r="D284" s="986"/>
      <c r="E284" s="986"/>
      <c r="F284" s="986"/>
      <c r="G284" s="8"/>
    </row>
    <row r="285" spans="1:7" s="791" customFormat="1" ht="14.25">
      <c r="A285" s="786"/>
      <c r="B285" s="786"/>
      <c r="C285" s="803"/>
      <c r="D285" s="986"/>
      <c r="E285" s="986"/>
      <c r="F285" s="986"/>
      <c r="G285" s="8"/>
    </row>
    <row r="286" spans="1:7" s="791" customFormat="1" ht="14.25">
      <c r="A286" s="786"/>
      <c r="B286" s="786"/>
      <c r="C286" s="803"/>
      <c r="D286" s="986"/>
      <c r="E286" s="986"/>
      <c r="F286" s="986"/>
      <c r="G286" s="8"/>
    </row>
    <row r="287" spans="1:7" s="791" customFormat="1" ht="14.25">
      <c r="A287" s="786"/>
      <c r="B287" s="786"/>
      <c r="C287" s="803"/>
      <c r="D287" s="986"/>
      <c r="E287" s="986"/>
      <c r="F287" s="986"/>
      <c r="G287" s="8"/>
    </row>
    <row r="288" spans="1:7" s="791" customFormat="1" ht="14.25">
      <c r="A288" s="786"/>
      <c r="B288" s="786"/>
      <c r="C288" s="803"/>
      <c r="D288" s="986"/>
      <c r="E288" s="986"/>
      <c r="F288" s="986"/>
      <c r="G288" s="8"/>
    </row>
    <row r="289" spans="1:7" s="791" customFormat="1" ht="14.25">
      <c r="A289" s="786"/>
      <c r="B289" s="786"/>
      <c r="C289" s="803"/>
      <c r="D289" s="986"/>
      <c r="E289" s="986"/>
      <c r="F289" s="986"/>
      <c r="G289" s="8"/>
    </row>
    <row r="290" spans="1:7" s="791" customFormat="1" ht="14.25">
      <c r="A290" s="786"/>
      <c r="B290" s="786"/>
      <c r="C290" s="803"/>
      <c r="D290" s="986"/>
      <c r="E290" s="986"/>
      <c r="F290" s="986"/>
      <c r="G290" s="8"/>
    </row>
    <row r="291" spans="1:7" s="791" customFormat="1" ht="14.25">
      <c r="A291" s="786"/>
      <c r="B291" s="786"/>
      <c r="C291" s="803"/>
      <c r="D291" s="986"/>
      <c r="E291" s="986"/>
      <c r="F291" s="986"/>
      <c r="G291" s="8"/>
    </row>
    <row r="292" spans="1:7" s="791" customFormat="1" ht="14.25">
      <c r="A292" s="786"/>
      <c r="B292" s="786"/>
      <c r="C292" s="803"/>
      <c r="D292" s="986"/>
      <c r="E292" s="986"/>
      <c r="F292" s="986"/>
      <c r="G292" s="8"/>
    </row>
    <row r="293" spans="1:7" ht="14.25">
      <c r="A293" s="287"/>
      <c r="B293" s="287"/>
      <c r="D293" s="986"/>
      <c r="E293" s="986"/>
      <c r="F293" s="986"/>
    </row>
    <row r="294" spans="1:7" ht="14.25">
      <c r="A294" s="287"/>
      <c r="B294" s="287"/>
      <c r="D294" s="986"/>
      <c r="E294" s="986"/>
      <c r="F294" s="986"/>
    </row>
    <row r="295" spans="1:7" ht="14.25">
      <c r="A295" s="287"/>
      <c r="B295" s="287"/>
      <c r="D295" s="986"/>
      <c r="E295" s="986"/>
      <c r="F295" s="986"/>
    </row>
    <row r="296" spans="1:7">
      <c r="D296" s="142"/>
      <c r="E296" s="142"/>
      <c r="F296" s="142"/>
    </row>
    <row r="297" spans="1:7" ht="14.25">
      <c r="A297" s="287"/>
      <c r="B297" s="751" t="s">
        <v>333</v>
      </c>
      <c r="D297" s="986" t="s">
        <v>1423</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42"/>
      <c r="E306" s="142"/>
      <c r="F306" s="142"/>
    </row>
    <row r="307" spans="1:7" ht="14.25">
      <c r="A307" s="287"/>
      <c r="B307" s="751" t="s">
        <v>333</v>
      </c>
      <c r="D307" s="970" t="s">
        <v>1424</v>
      </c>
      <c r="E307" s="970"/>
      <c r="F307" s="970"/>
    </row>
    <row r="308" spans="1:7">
      <c r="D308" s="970"/>
      <c r="E308" s="970"/>
      <c r="F308" s="970"/>
      <c r="G308" s="15"/>
    </row>
    <row r="309" spans="1:7">
      <c r="D309" s="970"/>
      <c r="E309" s="970"/>
      <c r="F309" s="970"/>
      <c r="G309" s="15"/>
    </row>
    <row r="310" spans="1:7">
      <c r="D310" s="970"/>
      <c r="E310" s="970"/>
      <c r="F310" s="970"/>
      <c r="G310" s="15"/>
    </row>
    <row r="311" spans="1:7">
      <c r="D311" s="970"/>
      <c r="E311" s="970"/>
      <c r="F311" s="970"/>
      <c r="G311" s="15"/>
    </row>
    <row r="312" spans="1:7">
      <c r="D312" s="970"/>
      <c r="E312" s="970"/>
      <c r="F312" s="970"/>
      <c r="G312" s="15"/>
    </row>
    <row r="313" spans="1:7" s="791" customFormat="1">
      <c r="A313" s="803"/>
      <c r="B313" s="803"/>
      <c r="C313" s="803"/>
      <c r="D313" s="800"/>
      <c r="E313" s="800"/>
      <c r="F313" s="800"/>
    </row>
    <row r="314" spans="1:7" ht="13.5" thickBot="1">
      <c r="D314" s="1004" t="s">
        <v>1139</v>
      </c>
      <c r="E314" s="1004"/>
      <c r="F314" s="1004"/>
      <c r="G314" s="15"/>
    </row>
    <row r="315" spans="1:7" s="791" customFormat="1" ht="13.5" thickTop="1">
      <c r="A315" s="803"/>
      <c r="B315" s="803"/>
      <c r="C315" s="803"/>
      <c r="D315" s="1005" t="s">
        <v>1425</v>
      </c>
      <c r="E315" s="1005"/>
      <c r="F315" s="1005"/>
    </row>
    <row r="316" spans="1:7">
      <c r="A316" s="356"/>
      <c r="B316" s="356"/>
      <c r="C316" s="356"/>
      <c r="D316" s="506"/>
      <c r="E316" s="506"/>
      <c r="F316" s="142"/>
      <c r="G316" s="15"/>
    </row>
    <row r="317" spans="1:7" ht="14.25">
      <c r="A317" s="287"/>
      <c r="B317" s="751" t="s">
        <v>333</v>
      </c>
      <c r="C317" s="356"/>
      <c r="D317" s="1006" t="s">
        <v>1426</v>
      </c>
      <c r="E317" s="1006"/>
      <c r="F317" s="1006"/>
      <c r="G317" s="15"/>
    </row>
    <row r="318" spans="1:7">
      <c r="A318" s="356"/>
      <c r="B318" s="356"/>
      <c r="C318" s="356"/>
      <c r="D318" s="506"/>
      <c r="E318" s="506"/>
      <c r="F318" s="142"/>
      <c r="G318" s="15"/>
    </row>
    <row r="319" spans="1:7">
      <c r="A319" s="356"/>
      <c r="B319" s="751" t="s">
        <v>333</v>
      </c>
      <c r="C319" s="356"/>
      <c r="D319" s="1001" t="s">
        <v>1427</v>
      </c>
      <c r="E319" s="1001"/>
      <c r="F319" s="1001"/>
      <c r="G319" s="15"/>
    </row>
    <row r="320" spans="1:7">
      <c r="A320" s="356"/>
      <c r="B320" s="356"/>
      <c r="C320" s="356"/>
      <c r="D320" s="1001"/>
      <c r="E320" s="1001"/>
      <c r="F320" s="1001"/>
      <c r="G320" s="15"/>
    </row>
    <row r="321" spans="1:7">
      <c r="A321" s="356"/>
      <c r="B321" s="356"/>
      <c r="C321" s="356"/>
      <c r="D321" s="1001"/>
      <c r="E321" s="1001"/>
      <c r="F321" s="1001"/>
      <c r="G321" s="15"/>
    </row>
    <row r="322" spans="1:7">
      <c r="A322" s="356"/>
      <c r="B322" s="356"/>
      <c r="C322" s="356"/>
      <c r="D322" s="1001"/>
      <c r="E322" s="1001"/>
      <c r="F322" s="1001"/>
      <c r="G322" s="15"/>
    </row>
    <row r="323" spans="1:7" s="791" customFormat="1">
      <c r="A323" s="356"/>
      <c r="B323" s="356"/>
      <c r="C323" s="356"/>
      <c r="D323" s="1001"/>
      <c r="E323" s="1001"/>
      <c r="F323" s="1001"/>
    </row>
    <row r="324" spans="1:7" s="791" customFormat="1">
      <c r="A324" s="356"/>
      <c r="B324" s="356"/>
      <c r="C324" s="356"/>
      <c r="D324" s="1001"/>
      <c r="E324" s="1001"/>
      <c r="F324" s="1001"/>
    </row>
    <row r="325" spans="1:7" s="791" customFormat="1">
      <c r="A325" s="356"/>
      <c r="B325" s="356"/>
      <c r="C325" s="356"/>
      <c r="D325" s="1001"/>
      <c r="E325" s="1001"/>
      <c r="F325" s="1001"/>
    </row>
    <row r="326" spans="1:7" s="791" customFormat="1">
      <c r="A326" s="356"/>
      <c r="B326" s="356"/>
      <c r="C326" s="356"/>
      <c r="D326" s="1001"/>
      <c r="E326" s="1001"/>
      <c r="F326" s="1001"/>
    </row>
    <row r="327" spans="1:7">
      <c r="A327" s="356"/>
      <c r="B327" s="356"/>
      <c r="C327" s="356"/>
      <c r="D327" s="1001"/>
      <c r="E327" s="1001"/>
      <c r="F327" s="1001"/>
      <c r="G327" s="15"/>
    </row>
    <row r="328" spans="1:7">
      <c r="A328" s="356"/>
      <c r="B328" s="356"/>
      <c r="C328" s="356"/>
      <c r="D328" s="1001"/>
      <c r="E328" s="1001"/>
      <c r="F328" s="1001"/>
      <c r="G328" s="15"/>
    </row>
    <row r="329" spans="1:7">
      <c r="A329" s="356"/>
      <c r="B329" s="356"/>
      <c r="C329" s="356"/>
      <c r="D329" s="1001"/>
      <c r="E329" s="1001"/>
      <c r="F329" s="1001"/>
      <c r="G329" s="15"/>
    </row>
    <row r="330" spans="1:7">
      <c r="A330" s="356"/>
      <c r="B330" s="356"/>
      <c r="C330" s="356"/>
      <c r="D330" s="15"/>
      <c r="E330" s="506"/>
      <c r="F330" s="142"/>
      <c r="G330" s="15"/>
    </row>
    <row r="331" spans="1:7" ht="14.25">
      <c r="A331" s="287"/>
      <c r="B331" s="751" t="s">
        <v>333</v>
      </c>
      <c r="C331" s="356"/>
      <c r="D331" s="999" t="s">
        <v>1428</v>
      </c>
      <c r="E331" s="999"/>
      <c r="F331" s="999"/>
      <c r="G331" s="15"/>
    </row>
    <row r="332" spans="1:7">
      <c r="A332" s="356"/>
      <c r="B332" s="356"/>
      <c r="C332" s="356"/>
      <c r="D332" s="999"/>
      <c r="E332" s="999"/>
      <c r="F332" s="999"/>
      <c r="G332" s="15"/>
    </row>
    <row r="333" spans="1:7">
      <c r="A333" s="356"/>
      <c r="B333" s="356"/>
      <c r="C333" s="356"/>
      <c r="D333" s="999"/>
      <c r="E333" s="999"/>
      <c r="F333" s="999"/>
      <c r="G333" s="15"/>
    </row>
    <row r="334" spans="1:7">
      <c r="A334" s="356"/>
      <c r="B334" s="356"/>
      <c r="C334" s="356"/>
      <c r="D334" s="999"/>
      <c r="E334" s="999"/>
      <c r="F334" s="999"/>
      <c r="G334" s="15"/>
    </row>
    <row r="335" spans="1:7">
      <c r="A335" s="356"/>
      <c r="B335" s="356"/>
      <c r="C335" s="356"/>
      <c r="D335" s="555"/>
      <c r="E335" s="506"/>
      <c r="F335" s="142"/>
      <c r="G335" s="15"/>
    </row>
    <row r="336" spans="1:7">
      <c r="A336" s="356"/>
      <c r="B336" s="356"/>
      <c r="C336" s="356"/>
      <c r="D336" s="999" t="s">
        <v>1429</v>
      </c>
      <c r="E336" s="999"/>
      <c r="F336" s="999"/>
      <c r="G336" s="15"/>
    </row>
    <row r="337" spans="1:7">
      <c r="A337" s="356"/>
      <c r="B337" s="356"/>
      <c r="C337" s="356"/>
      <c r="D337" s="999"/>
      <c r="E337" s="999"/>
      <c r="F337" s="999"/>
      <c r="G337" s="15"/>
    </row>
    <row r="338" spans="1:7">
      <c r="A338" s="356"/>
      <c r="B338" s="356"/>
      <c r="C338" s="356"/>
      <c r="D338" s="999"/>
      <c r="E338" s="999"/>
      <c r="F338" s="999"/>
      <c r="G338" s="15"/>
    </row>
    <row r="339" spans="1:7">
      <c r="A339" s="356"/>
      <c r="B339" s="356"/>
      <c r="C339" s="356"/>
      <c r="D339" s="999"/>
      <c r="E339" s="999"/>
      <c r="F339" s="999"/>
      <c r="G339" s="15"/>
    </row>
    <row r="340" spans="1:7" ht="18" customHeight="1">
      <c r="A340" s="356"/>
      <c r="B340" s="356"/>
      <c r="C340" s="356"/>
      <c r="D340" s="999"/>
      <c r="E340" s="999"/>
      <c r="F340" s="999"/>
      <c r="G340" s="15"/>
    </row>
    <row r="341" spans="1:7">
      <c r="A341" s="356"/>
      <c r="B341" s="356"/>
      <c r="C341" s="356"/>
      <c r="D341" s="999"/>
      <c r="E341" s="999"/>
      <c r="F341" s="999"/>
      <c r="G341" s="15"/>
    </row>
    <row r="342" spans="1:7">
      <c r="A342" s="356"/>
      <c r="B342" s="356"/>
      <c r="C342" s="356"/>
      <c r="D342" s="999"/>
      <c r="E342" s="999"/>
      <c r="F342" s="999"/>
      <c r="G342" s="15"/>
    </row>
    <row r="343" spans="1:7">
      <c r="A343" s="356"/>
      <c r="B343" s="356"/>
      <c r="C343" s="356"/>
      <c r="D343" s="999"/>
      <c r="E343" s="999"/>
      <c r="F343" s="999"/>
      <c r="G343" s="15"/>
    </row>
    <row r="344" spans="1:7" ht="8.25" customHeight="1">
      <c r="A344" s="356"/>
      <c r="B344" s="356"/>
      <c r="C344" s="356"/>
      <c r="D344" s="999"/>
      <c r="E344" s="999"/>
      <c r="F344" s="999"/>
      <c r="G344" s="15"/>
    </row>
    <row r="345" spans="1:7" ht="13.15" customHeight="1">
      <c r="A345" s="356"/>
      <c r="B345" s="356"/>
      <c r="C345" s="356"/>
      <c r="D345" s="1000" t="s">
        <v>1430</v>
      </c>
      <c r="E345" s="1000"/>
      <c r="F345" s="1000"/>
      <c r="G345" s="15"/>
    </row>
    <row r="346" spans="1:7">
      <c r="A346" s="356"/>
      <c r="B346" s="356"/>
      <c r="C346" s="356"/>
      <c r="D346" s="1000"/>
      <c r="E346" s="1000"/>
      <c r="F346" s="1000"/>
      <c r="G346" s="15"/>
    </row>
    <row r="347" spans="1:7">
      <c r="A347" s="356"/>
      <c r="B347" s="356"/>
      <c r="C347" s="356"/>
      <c r="D347" s="1000"/>
      <c r="E347" s="1000"/>
      <c r="F347" s="1000"/>
      <c r="G347" s="15"/>
    </row>
    <row r="348" spans="1:7" s="791" customFormat="1">
      <c r="A348" s="356"/>
      <c r="B348" s="356"/>
      <c r="C348" s="356"/>
      <c r="D348" s="1000"/>
      <c r="E348" s="1000"/>
      <c r="F348" s="1000"/>
    </row>
    <row r="349" spans="1:7" s="791" customFormat="1">
      <c r="A349" s="356"/>
      <c r="B349" s="356"/>
      <c r="C349" s="356"/>
      <c r="D349" s="1000"/>
      <c r="E349" s="1000"/>
      <c r="F349" s="1000"/>
    </row>
    <row r="350" spans="1:7" s="791" customFormat="1">
      <c r="A350" s="356"/>
      <c r="B350" s="356"/>
      <c r="C350" s="356"/>
      <c r="D350" s="1000"/>
      <c r="E350" s="1000"/>
      <c r="F350" s="1000"/>
    </row>
    <row r="351" spans="1:7" s="791" customFormat="1">
      <c r="A351" s="356"/>
      <c r="B351" s="356"/>
      <c r="C351" s="356"/>
      <c r="D351" s="1000"/>
      <c r="E351" s="1000"/>
      <c r="F351" s="1000"/>
    </row>
    <row r="352" spans="1:7" s="791" customFormat="1">
      <c r="A352" s="356"/>
      <c r="B352" s="356"/>
      <c r="C352" s="356"/>
      <c r="D352" s="1000"/>
      <c r="E352" s="1000"/>
      <c r="F352" s="1000"/>
    </row>
    <row r="353" spans="1:7">
      <c r="A353" s="356"/>
      <c r="B353" s="356"/>
      <c r="C353" s="356"/>
      <c r="D353" s="1000"/>
      <c r="E353" s="1000"/>
      <c r="F353" s="1000"/>
      <c r="G353" s="15"/>
    </row>
    <row r="354" spans="1:7">
      <c r="A354" s="356"/>
      <c r="B354" s="356"/>
      <c r="C354" s="356"/>
      <c r="D354" s="1000"/>
      <c r="E354" s="1000"/>
      <c r="F354" s="1000"/>
      <c r="G354" s="15"/>
    </row>
    <row r="355" spans="1:7">
      <c r="A355" s="356"/>
      <c r="B355" s="356"/>
      <c r="C355" s="356"/>
      <c r="D355" s="1000"/>
      <c r="E355" s="1000"/>
      <c r="F355" s="1000"/>
      <c r="G355" s="15"/>
    </row>
    <row r="356" spans="1:7">
      <c r="A356" s="356"/>
      <c r="B356" s="356"/>
      <c r="C356" s="356"/>
      <c r="D356" s="1000"/>
      <c r="E356" s="1000"/>
      <c r="F356" s="1000"/>
      <c r="G356" s="15"/>
    </row>
    <row r="357" spans="1:7">
      <c r="A357" s="356"/>
      <c r="B357" s="356"/>
      <c r="C357" s="557"/>
      <c r="D357" s="1000"/>
      <c r="E357" s="1000"/>
      <c r="F357" s="1000"/>
      <c r="G357" s="15"/>
    </row>
    <row r="358" spans="1:7">
      <c r="A358" s="356"/>
      <c r="B358" s="356"/>
      <c r="C358" s="557"/>
      <c r="D358" s="1000"/>
      <c r="E358" s="1000"/>
      <c r="F358" s="1000"/>
      <c r="G358" s="15"/>
    </row>
    <row r="359" spans="1:7">
      <c r="A359" s="356"/>
      <c r="B359" s="356"/>
      <c r="C359" s="356"/>
      <c r="D359" s="1000"/>
      <c r="E359" s="1000"/>
      <c r="F359" s="1000"/>
      <c r="G359" s="15"/>
    </row>
    <row r="360" spans="1:7">
      <c r="A360" s="356"/>
      <c r="B360" s="356"/>
      <c r="C360" s="557"/>
      <c r="D360" s="1000"/>
      <c r="E360" s="1000"/>
      <c r="F360" s="1000"/>
      <c r="G360" s="15"/>
    </row>
    <row r="361" spans="1:7">
      <c r="A361" s="356"/>
      <c r="B361" s="356"/>
      <c r="C361" s="557"/>
      <c r="D361" s="1000"/>
      <c r="E361" s="1000"/>
      <c r="F361" s="1000"/>
      <c r="G361" s="15"/>
    </row>
    <row r="362" spans="1:7">
      <c r="A362" s="356"/>
      <c r="B362" s="356"/>
      <c r="C362" s="557"/>
      <c r="D362" s="1000"/>
      <c r="E362" s="1000"/>
      <c r="F362" s="1000"/>
      <c r="G362" s="15"/>
    </row>
    <row r="363" spans="1:7">
      <c r="A363" s="356"/>
      <c r="B363" s="356"/>
      <c r="C363" s="356"/>
      <c r="D363" s="555"/>
      <c r="E363" s="506"/>
      <c r="F363" s="142"/>
      <c r="G363" s="15"/>
    </row>
    <row r="364" spans="1:7">
      <c r="A364" s="356"/>
      <c r="B364" s="751" t="s">
        <v>333</v>
      </c>
      <c r="C364" s="356"/>
      <c r="D364" s="1000" t="s">
        <v>1431</v>
      </c>
      <c r="E364" s="1000"/>
      <c r="F364" s="1000"/>
      <c r="G364" s="15"/>
    </row>
    <row r="365" spans="1:7">
      <c r="A365" s="356"/>
      <c r="B365" s="356"/>
      <c r="C365" s="356"/>
      <c r="D365" s="1000"/>
      <c r="E365" s="1000"/>
      <c r="F365" s="1000"/>
      <c r="G365" s="15"/>
    </row>
    <row r="366" spans="1:7">
      <c r="A366" s="356"/>
      <c r="B366" s="356"/>
      <c r="C366" s="356"/>
      <c r="D366" s="506"/>
      <c r="E366" s="506"/>
      <c r="F366" s="142"/>
      <c r="G366" s="15"/>
    </row>
    <row r="367" spans="1:7" ht="14.25">
      <c r="A367" s="287"/>
      <c r="B367" s="751" t="s">
        <v>333</v>
      </c>
      <c r="C367" s="356"/>
      <c r="D367" s="1001" t="s">
        <v>1432</v>
      </c>
      <c r="E367" s="1001"/>
      <c r="F367" s="1001"/>
      <c r="G367" s="15"/>
    </row>
    <row r="368" spans="1:7" ht="14.25">
      <c r="A368" s="556"/>
      <c r="B368" s="556"/>
      <c r="C368" s="356"/>
      <c r="D368" s="1001"/>
      <c r="E368" s="1001"/>
      <c r="F368" s="1001"/>
      <c r="G368" s="15"/>
    </row>
    <row r="369" spans="1:7" ht="14.25">
      <c r="A369" s="556"/>
      <c r="B369" s="556"/>
      <c r="C369" s="356"/>
      <c r="D369" s="1001"/>
      <c r="E369" s="1001"/>
      <c r="F369" s="1001"/>
      <c r="G369" s="15"/>
    </row>
    <row r="370" spans="1:7" ht="14.25">
      <c r="A370" s="556"/>
      <c r="B370" s="556"/>
      <c r="C370" s="356"/>
      <c r="D370" s="1001"/>
      <c r="E370" s="1001"/>
      <c r="F370" s="1001"/>
      <c r="G370" s="15"/>
    </row>
    <row r="371" spans="1:7" ht="14.25">
      <c r="A371" s="556"/>
      <c r="B371" s="556"/>
      <c r="C371" s="356"/>
      <c r="D371" s="1001"/>
      <c r="E371" s="1001"/>
      <c r="F371" s="1001"/>
      <c r="G371" s="15"/>
    </row>
    <row r="372" spans="1:7">
      <c r="D372" s="142"/>
      <c r="E372" s="142"/>
      <c r="F372" s="142"/>
      <c r="G372" s="15"/>
    </row>
    <row r="373" spans="1:7" ht="14.25">
      <c r="A373" s="287"/>
      <c r="B373" s="751" t="s">
        <v>333</v>
      </c>
      <c r="C373" s="292"/>
      <c r="D373" s="970" t="s">
        <v>1433</v>
      </c>
      <c r="E373" s="970"/>
      <c r="F373" s="970"/>
      <c r="G373" s="15"/>
    </row>
    <row r="374" spans="1:7" ht="14.25">
      <c r="A374" s="287"/>
      <c r="B374" s="287"/>
      <c r="D374" s="970"/>
      <c r="E374" s="970"/>
      <c r="F374" s="970"/>
      <c r="G374" s="15"/>
    </row>
    <row r="375" spans="1:7">
      <c r="D375" s="970"/>
      <c r="E375" s="970"/>
      <c r="F375" s="970"/>
      <c r="G375" s="15"/>
    </row>
    <row r="376" spans="1:7">
      <c r="D376" s="970"/>
      <c r="E376" s="970"/>
      <c r="F376" s="970"/>
      <c r="G376" s="15"/>
    </row>
    <row r="377" spans="1:7">
      <c r="D377" s="970"/>
      <c r="E377" s="970"/>
      <c r="F377" s="970"/>
      <c r="G377" s="15"/>
    </row>
    <row r="378" spans="1:7">
      <c r="D378" s="970"/>
      <c r="E378" s="970"/>
      <c r="F378" s="970"/>
      <c r="G378" s="15"/>
    </row>
    <row r="379" spans="1:7">
      <c r="D379" s="970"/>
      <c r="E379" s="970"/>
      <c r="F379" s="970"/>
      <c r="G379" s="15"/>
    </row>
    <row r="380" spans="1:7">
      <c r="D380" s="970"/>
      <c r="E380" s="970"/>
      <c r="F380" s="970"/>
      <c r="G380" s="15"/>
    </row>
    <row r="381" spans="1:7">
      <c r="D381" s="970"/>
      <c r="E381" s="970"/>
      <c r="F381" s="970"/>
      <c r="G381" s="15"/>
    </row>
    <row r="382" spans="1:7">
      <c r="D382" s="970"/>
      <c r="E382" s="970"/>
      <c r="F382" s="970"/>
      <c r="G382" s="15"/>
    </row>
    <row r="383" spans="1:7">
      <c r="D383" s="970"/>
      <c r="E383" s="970"/>
      <c r="F383" s="970"/>
      <c r="G383" s="15"/>
    </row>
    <row r="384" spans="1:7">
      <c r="D384" s="970"/>
      <c r="E384" s="970"/>
      <c r="F384" s="970"/>
      <c r="G384" s="15"/>
    </row>
    <row r="385" spans="1:7">
      <c r="D385" s="970"/>
      <c r="E385" s="970"/>
      <c r="F385" s="970"/>
      <c r="G385" s="15"/>
    </row>
    <row r="386" spans="1:7">
      <c r="A386" s="15"/>
      <c r="B386" s="15"/>
      <c r="C386" s="15"/>
      <c r="D386" s="970"/>
      <c r="E386" s="970"/>
      <c r="F386" s="970"/>
      <c r="G386" s="15"/>
    </row>
    <row r="387" spans="1:7">
      <c r="A387" s="15"/>
      <c r="B387" s="15"/>
      <c r="C387" s="15"/>
      <c r="D387" s="970"/>
      <c r="E387" s="970"/>
      <c r="F387" s="970"/>
      <c r="G387" s="15"/>
    </row>
    <row r="388" spans="1:7">
      <c r="A388" s="15"/>
      <c r="B388" s="15"/>
      <c r="C388" s="15"/>
      <c r="D388" s="970"/>
      <c r="E388" s="970"/>
      <c r="F388" s="970"/>
      <c r="G388" s="15"/>
    </row>
    <row r="389" spans="1:7">
      <c r="A389" s="15"/>
      <c r="B389" s="15"/>
      <c r="C389" s="15"/>
      <c r="D389" s="970"/>
      <c r="E389" s="970"/>
      <c r="F389" s="970"/>
      <c r="G389" s="15"/>
    </row>
    <row r="390" spans="1:7">
      <c r="A390" s="15"/>
      <c r="B390" s="15"/>
      <c r="C390" s="15"/>
      <c r="D390" s="970"/>
      <c r="E390" s="970"/>
      <c r="F390" s="970"/>
      <c r="G390" s="15"/>
    </row>
    <row r="391" spans="1:7">
      <c r="A391" s="15"/>
      <c r="B391" s="15"/>
      <c r="C391" s="15"/>
      <c r="D391" s="970"/>
      <c r="E391" s="970"/>
      <c r="F391" s="970"/>
      <c r="G391" s="15"/>
    </row>
    <row r="392" spans="1:7">
      <c r="A392" s="15"/>
      <c r="B392" s="15"/>
      <c r="C392" s="15"/>
      <c r="D392" s="970"/>
      <c r="E392" s="970"/>
      <c r="F392" s="970"/>
      <c r="G392" s="15"/>
    </row>
    <row r="393" spans="1:7">
      <c r="A393" s="15"/>
      <c r="B393" s="15"/>
      <c r="C393" s="15"/>
      <c r="D393" s="970"/>
      <c r="E393" s="970"/>
      <c r="F393" s="970"/>
      <c r="G393" s="15"/>
    </row>
    <row r="394" spans="1:7">
      <c r="A394" s="15"/>
      <c r="B394" s="15"/>
      <c r="C394" s="15"/>
      <c r="D394" s="970"/>
      <c r="E394" s="970"/>
      <c r="F394" s="970"/>
      <c r="G394" s="15"/>
    </row>
    <row r="395" spans="1:7">
      <c r="A395" s="15"/>
      <c r="B395" s="15"/>
      <c r="C395" s="15"/>
      <c r="D395" s="970"/>
      <c r="E395" s="970"/>
      <c r="F395" s="970"/>
      <c r="G395" s="15"/>
    </row>
    <row r="396" spans="1:7">
      <c r="A396" s="15"/>
      <c r="B396" s="15"/>
      <c r="C396" s="15"/>
      <c r="D396" s="970"/>
      <c r="E396" s="970"/>
      <c r="F396" s="970"/>
      <c r="G396" s="15"/>
    </row>
    <row r="397" spans="1:7">
      <c r="A397" s="15"/>
      <c r="B397" s="15"/>
      <c r="C397" s="15"/>
      <c r="D397" s="970"/>
      <c r="E397" s="970"/>
      <c r="F397" s="970"/>
      <c r="G397" s="15"/>
    </row>
    <row r="398" spans="1:7">
      <c r="A398" s="15"/>
      <c r="B398" s="15"/>
      <c r="C398" s="15"/>
      <c r="D398" s="970"/>
      <c r="E398" s="970"/>
      <c r="F398" s="970"/>
      <c r="G398" s="15"/>
    </row>
    <row r="399" spans="1:7">
      <c r="A399" s="15"/>
      <c r="B399" s="15"/>
      <c r="C399" s="15"/>
      <c r="D399" s="970"/>
      <c r="E399" s="970"/>
      <c r="F399" s="970"/>
      <c r="G399" s="15"/>
    </row>
    <row r="400" spans="1:7">
      <c r="A400" s="15"/>
      <c r="B400" s="15"/>
      <c r="C400" s="15"/>
      <c r="D400" s="970"/>
      <c r="E400" s="970"/>
      <c r="F400" s="970"/>
      <c r="G400" s="15"/>
    </row>
    <row r="401" spans="1:7">
      <c r="A401" s="15"/>
      <c r="B401" s="15"/>
      <c r="C401" s="15"/>
      <c r="D401" s="970"/>
      <c r="E401" s="970"/>
      <c r="F401" s="970"/>
      <c r="G401" s="15"/>
    </row>
    <row r="402" spans="1:7" s="36" customFormat="1">
      <c r="A402" s="139"/>
      <c r="B402" s="748"/>
      <c r="C402" s="139"/>
      <c r="D402" s="970"/>
      <c r="E402" s="970"/>
      <c r="F402" s="970"/>
      <c r="G402" s="34"/>
    </row>
    <row r="403" spans="1:7" s="36" customFormat="1" ht="40.700000000000003" customHeight="1">
      <c r="A403" s="139"/>
      <c r="B403" s="748"/>
      <c r="C403" s="139"/>
      <c r="D403" s="970"/>
      <c r="E403" s="970"/>
      <c r="F403" s="970"/>
      <c r="G403" s="34"/>
    </row>
    <row r="404" spans="1:7" s="36" customFormat="1">
      <c r="A404" s="139"/>
      <c r="B404" s="748"/>
      <c r="C404" s="139"/>
      <c r="D404" s="142"/>
      <c r="E404" s="142"/>
      <c r="F404" s="142"/>
      <c r="G404" s="34"/>
    </row>
    <row r="405" spans="1:7" ht="14.25">
      <c r="A405" s="287"/>
      <c r="B405" s="751" t="s">
        <v>333</v>
      </c>
      <c r="C405" s="292"/>
      <c r="D405" s="985" t="s">
        <v>1434</v>
      </c>
      <c r="E405" s="985"/>
      <c r="F405" s="985"/>
    </row>
    <row r="406" spans="1:7">
      <c r="D406" s="1002" t="s">
        <v>1168</v>
      </c>
      <c r="E406" s="1002"/>
      <c r="F406" s="1002"/>
    </row>
    <row r="407" spans="1:7">
      <c r="D407" s="986" t="s">
        <v>1435</v>
      </c>
      <c r="E407" s="986"/>
      <c r="F407" s="986"/>
    </row>
    <row r="408" spans="1:7">
      <c r="D408" s="986"/>
      <c r="E408" s="986"/>
      <c r="F408" s="986"/>
    </row>
    <row r="409" spans="1:7">
      <c r="D409" s="986"/>
      <c r="E409" s="986"/>
      <c r="F409" s="986"/>
    </row>
    <row r="410" spans="1:7">
      <c r="D410" s="986"/>
      <c r="E410" s="986"/>
      <c r="F410" s="986"/>
    </row>
    <row r="411" spans="1:7">
      <c r="D411" s="142"/>
      <c r="E411" s="142"/>
      <c r="F411" s="142"/>
      <c r="G411" s="15"/>
    </row>
    <row r="412" spans="1:7" ht="14.25">
      <c r="A412" s="287"/>
      <c r="B412" s="751" t="s">
        <v>333</v>
      </c>
      <c r="C412" s="292"/>
      <c r="D412" s="970" t="s">
        <v>1436</v>
      </c>
      <c r="E412" s="970"/>
      <c r="F412" s="970"/>
      <c r="G412" s="15"/>
    </row>
    <row r="413" spans="1:7">
      <c r="D413" s="970"/>
      <c r="E413" s="970"/>
      <c r="F413" s="970"/>
      <c r="G413" s="15"/>
    </row>
    <row r="414" spans="1:7">
      <c r="D414" s="970"/>
      <c r="E414" s="970"/>
      <c r="F414" s="970"/>
      <c r="G414" s="15"/>
    </row>
    <row r="415" spans="1:7" s="791" customFormat="1">
      <c r="A415" s="803"/>
      <c r="B415" s="803"/>
      <c r="C415" s="803"/>
      <c r="D415" s="800"/>
      <c r="E415" s="800"/>
      <c r="F415" s="800"/>
    </row>
    <row r="416" spans="1:7" ht="14.25">
      <c r="B416" s="751" t="s">
        <v>333</v>
      </c>
      <c r="C416" s="287"/>
      <c r="D416" s="986" t="s">
        <v>1437</v>
      </c>
      <c r="E416" s="986"/>
      <c r="F416" s="986"/>
      <c r="G416" s="15"/>
    </row>
    <row r="417" spans="1:7">
      <c r="D417" s="986"/>
      <c r="E417" s="986"/>
      <c r="F417" s="986"/>
      <c r="G417" s="15"/>
    </row>
    <row r="418" spans="1:7">
      <c r="D418" s="142"/>
      <c r="E418" s="142"/>
      <c r="F418" s="142"/>
      <c r="G418" s="15"/>
    </row>
    <row r="419" spans="1:7" ht="14.25">
      <c r="B419" s="751" t="s">
        <v>333</v>
      </c>
      <c r="C419" s="287"/>
      <c r="D419" s="986" t="s">
        <v>1438</v>
      </c>
      <c r="E419" s="986"/>
      <c r="F419" s="986"/>
      <c r="G419" s="15"/>
    </row>
    <row r="420" spans="1:7">
      <c r="D420" s="986"/>
      <c r="E420" s="986"/>
      <c r="F420" s="986"/>
      <c r="G420" s="15"/>
    </row>
    <row r="421" spans="1:7">
      <c r="D421" s="986"/>
      <c r="E421" s="986"/>
      <c r="F421" s="986"/>
      <c r="G421" s="15"/>
    </row>
    <row r="422" spans="1:7">
      <c r="D422" s="986"/>
      <c r="E422" s="986"/>
      <c r="F422" s="986"/>
      <c r="G422" s="15"/>
    </row>
    <row r="423" spans="1:7">
      <c r="B423" s="751" t="s">
        <v>333</v>
      </c>
      <c r="D423" s="986"/>
      <c r="E423" s="986"/>
      <c r="F423" s="986"/>
      <c r="G423" s="15"/>
    </row>
    <row r="424" spans="1:7">
      <c r="A424" s="15"/>
      <c r="B424" s="15"/>
      <c r="C424" s="15"/>
      <c r="D424" s="986"/>
      <c r="E424" s="986"/>
      <c r="F424" s="986"/>
      <c r="G424" s="15"/>
    </row>
    <row r="425" spans="1:7">
      <c r="A425" s="15"/>
      <c r="C425" s="15"/>
      <c r="D425" s="986"/>
      <c r="E425" s="986"/>
      <c r="F425" s="986"/>
      <c r="G425" s="15"/>
    </row>
    <row r="426" spans="1:7">
      <c r="A426" s="15"/>
      <c r="B426" s="751" t="s">
        <v>333</v>
      </c>
      <c r="C426" s="15"/>
      <c r="D426" s="986"/>
      <c r="E426" s="986"/>
      <c r="F426" s="986"/>
      <c r="G426" s="15"/>
    </row>
    <row r="427" spans="1:7">
      <c r="A427" s="15"/>
      <c r="B427" s="15"/>
      <c r="C427" s="15"/>
      <c r="D427" s="986"/>
      <c r="E427" s="986"/>
      <c r="F427" s="986"/>
      <c r="G427" s="15"/>
    </row>
    <row r="428" spans="1:7">
      <c r="A428" s="15"/>
      <c r="C428" s="15"/>
      <c r="D428" s="986"/>
      <c r="E428" s="986"/>
      <c r="F428" s="986"/>
      <c r="G428" s="15"/>
    </row>
    <row r="429" spans="1:7">
      <c r="A429" s="15"/>
      <c r="C429" s="15"/>
      <c r="D429" s="986"/>
      <c r="E429" s="986"/>
      <c r="F429" s="986"/>
      <c r="G429" s="15"/>
    </row>
    <row r="430" spans="1:7">
      <c r="A430" s="15"/>
      <c r="B430" s="751" t="s">
        <v>333</v>
      </c>
      <c r="C430" s="15"/>
      <c r="D430" s="986"/>
      <c r="E430" s="986"/>
      <c r="F430" s="986"/>
      <c r="G430" s="15"/>
    </row>
    <row r="431" spans="1:7">
      <c r="A431" s="15"/>
      <c r="B431" s="15"/>
      <c r="C431" s="15"/>
      <c r="D431" s="986"/>
      <c r="E431" s="986"/>
      <c r="F431" s="986"/>
      <c r="G431" s="15"/>
    </row>
    <row r="432" spans="1:7">
      <c r="A432" s="15"/>
      <c r="B432" s="751" t="s">
        <v>333</v>
      </c>
      <c r="C432" s="15"/>
      <c r="D432" s="986"/>
      <c r="E432" s="986"/>
      <c r="F432" s="986"/>
      <c r="G432" s="15"/>
    </row>
    <row r="433" spans="1:7" s="791" customFormat="1">
      <c r="D433" s="801"/>
      <c r="E433" s="801"/>
      <c r="F433" s="801"/>
    </row>
    <row r="434" spans="1:7">
      <c r="A434" s="15"/>
      <c r="B434" s="790" t="s">
        <v>333</v>
      </c>
      <c r="C434" s="15"/>
      <c r="D434" s="986" t="s">
        <v>1439</v>
      </c>
      <c r="E434" s="986"/>
      <c r="F434" s="986"/>
      <c r="G434" s="15"/>
    </row>
    <row r="435" spans="1:7">
      <c r="A435" s="15"/>
      <c r="B435" s="15"/>
      <c r="C435" s="15"/>
      <c r="D435" s="986"/>
      <c r="E435" s="986"/>
      <c r="F435" s="986"/>
      <c r="G435" s="15"/>
    </row>
    <row r="436" spans="1:7">
      <c r="A436" s="15"/>
      <c r="B436" s="15"/>
      <c r="C436" s="15"/>
      <c r="D436" s="986"/>
      <c r="E436" s="986"/>
      <c r="F436" s="986"/>
      <c r="G436" s="15"/>
    </row>
    <row r="437" spans="1:7">
      <c r="A437" s="15"/>
      <c r="B437" s="15"/>
      <c r="C437" s="15"/>
      <c r="D437" s="986"/>
      <c r="E437" s="986"/>
      <c r="F437" s="986"/>
      <c r="G437" s="15"/>
    </row>
    <row r="438" spans="1:7">
      <c r="D438" s="986"/>
      <c r="E438" s="986"/>
      <c r="F438" s="986"/>
    </row>
    <row r="439" spans="1:7">
      <c r="D439" s="142"/>
      <c r="E439" s="142"/>
      <c r="F439" s="142"/>
    </row>
    <row r="440" spans="1:7">
      <c r="B440" s="751" t="s">
        <v>333</v>
      </c>
      <c r="D440" s="987" t="s">
        <v>1440</v>
      </c>
      <c r="E440" s="987"/>
      <c r="F440" s="987"/>
    </row>
    <row r="441" spans="1:7">
      <c r="A441" s="142"/>
      <c r="B441" s="142"/>
    </row>
    <row r="442" spans="1:7">
      <c r="A442" s="992" t="s">
        <v>1267</v>
      </c>
      <c r="B442" s="992"/>
      <c r="C442" s="992"/>
      <c r="D442" s="992"/>
      <c r="E442" s="992"/>
      <c r="F442" s="992"/>
      <c r="G442" s="992"/>
    </row>
    <row r="443" spans="1:7">
      <c r="A443" s="142"/>
      <c r="B443" s="142"/>
    </row>
    <row r="444" spans="1:7">
      <c r="D444" s="988" t="s">
        <v>1011</v>
      </c>
      <c r="E444" s="988"/>
      <c r="F444" s="988"/>
    </row>
    <row r="445" spans="1:7" s="43" customFormat="1" ht="14.25">
      <c r="A445" s="442"/>
      <c r="B445" s="442"/>
      <c r="C445" s="299"/>
      <c r="D445" s="989" t="s">
        <v>1441</v>
      </c>
      <c r="E445" s="989"/>
      <c r="F445" s="989"/>
      <c r="G445" s="137"/>
    </row>
    <row r="446" spans="1:7" s="43" customFormat="1" ht="14.25">
      <c r="A446" s="442"/>
      <c r="B446" s="442"/>
      <c r="C446" s="299"/>
      <c r="D446" s="804"/>
      <c r="E446" s="6"/>
      <c r="F446" s="6"/>
      <c r="G446" s="137"/>
    </row>
    <row r="447" spans="1:7" s="43" customFormat="1" ht="14.25">
      <c r="A447" s="287"/>
      <c r="B447" s="751" t="s">
        <v>333</v>
      </c>
      <c r="C447" s="299"/>
      <c r="D447" s="990" t="s">
        <v>1442</v>
      </c>
      <c r="E447" s="990"/>
      <c r="F447" s="990"/>
      <c r="G447" s="137"/>
    </row>
    <row r="448" spans="1:7" s="43" customFormat="1" ht="14.25">
      <c r="A448" s="287"/>
      <c r="B448" s="287"/>
      <c r="C448" s="299"/>
      <c r="D448" s="990"/>
      <c r="E448" s="990"/>
      <c r="F448" s="990"/>
      <c r="G448" s="137"/>
    </row>
    <row r="449" spans="1:7" s="43" customFormat="1" ht="14.25">
      <c r="A449" s="287"/>
      <c r="B449" s="287"/>
      <c r="C449" s="299"/>
      <c r="D449" s="802"/>
      <c r="E449" s="6"/>
      <c r="F449" s="6"/>
      <c r="G449" s="137"/>
    </row>
    <row r="450" spans="1:7">
      <c r="B450" s="751" t="s">
        <v>333</v>
      </c>
      <c r="D450" s="991" t="s">
        <v>1443</v>
      </c>
      <c r="E450" s="991"/>
      <c r="F450" s="991"/>
    </row>
    <row r="451" spans="1:7" ht="14.25">
      <c r="A451" s="287"/>
      <c r="D451" s="991"/>
      <c r="E451" s="991"/>
      <c r="F451" s="991"/>
    </row>
    <row r="452" spans="1:7" ht="14.25">
      <c r="A452" s="287"/>
      <c r="B452" s="287"/>
      <c r="D452" s="991"/>
      <c r="E452" s="991"/>
      <c r="F452" s="991"/>
    </row>
    <row r="453" spans="1:7" ht="14.25">
      <c r="A453" s="287"/>
      <c r="B453" s="287"/>
      <c r="D453" s="991"/>
      <c r="E453" s="991"/>
      <c r="F453" s="991"/>
    </row>
    <row r="454" spans="1:7">
      <c r="D454" s="750"/>
      <c r="E454" s="750"/>
      <c r="F454" s="750"/>
      <c r="G454" s="15"/>
    </row>
    <row r="455" spans="1:7" ht="14.25">
      <c r="A455" s="287"/>
      <c r="B455" s="751" t="s">
        <v>333</v>
      </c>
      <c r="D455" s="968" t="s">
        <v>1444</v>
      </c>
      <c r="E455" s="968"/>
      <c r="F455" s="968"/>
      <c r="G455" s="15"/>
    </row>
    <row r="456" spans="1:7" ht="14.25">
      <c r="A456" s="287"/>
      <c r="B456" s="287"/>
      <c r="D456" s="968"/>
      <c r="E456" s="968"/>
      <c r="F456" s="968"/>
      <c r="G456" s="15"/>
    </row>
    <row r="457" spans="1:7" ht="14.25">
      <c r="A457" s="287"/>
      <c r="D457" s="968"/>
      <c r="E457" s="968"/>
      <c r="F457" s="968"/>
      <c r="G457" s="15"/>
    </row>
    <row r="458" spans="1:7" ht="14.25">
      <c r="A458" s="287"/>
      <c r="B458" s="287"/>
      <c r="D458" s="750"/>
      <c r="E458" s="750"/>
      <c r="F458" s="750"/>
      <c r="G458" s="15"/>
    </row>
    <row r="459" spans="1:7" ht="14.25">
      <c r="A459" s="287"/>
      <c r="B459" s="790" t="s">
        <v>333</v>
      </c>
      <c r="D459" s="985" t="s">
        <v>1445</v>
      </c>
      <c r="E459" s="985"/>
      <c r="F459" s="985"/>
      <c r="G459" s="15"/>
    </row>
    <row r="460" spans="1:7" ht="14.25">
      <c r="A460" s="287"/>
      <c r="B460" s="287"/>
      <c r="D460" s="802"/>
      <c r="E460" s="6"/>
      <c r="F460" s="6"/>
      <c r="G460" s="15"/>
    </row>
    <row r="461" spans="1:7" ht="14.25">
      <c r="A461" s="287"/>
      <c r="B461" s="751" t="s">
        <v>333</v>
      </c>
      <c r="D461" s="970" t="s">
        <v>1446</v>
      </c>
      <c r="E461" s="970"/>
      <c r="F461" s="970"/>
      <c r="G461" s="15"/>
    </row>
    <row r="462" spans="1:7" ht="14.25">
      <c r="A462" s="287"/>
      <c r="D462" s="970"/>
      <c r="E462" s="970"/>
      <c r="F462" s="970"/>
      <c r="G462" s="15"/>
    </row>
    <row r="463" spans="1:7">
      <c r="A463" s="27"/>
      <c r="B463" s="747"/>
      <c r="D463" s="805"/>
      <c r="E463" s="6"/>
      <c r="F463" s="6"/>
      <c r="G463" s="15"/>
    </row>
    <row r="464" spans="1:7">
      <c r="A464" s="27"/>
      <c r="B464" s="790" t="s">
        <v>333</v>
      </c>
      <c r="D464" s="985" t="s">
        <v>1447</v>
      </c>
      <c r="E464" s="985"/>
      <c r="F464" s="985"/>
      <c r="G464" s="15"/>
    </row>
    <row r="465" spans="1:7" ht="14.25">
      <c r="A465" s="287"/>
      <c r="B465" s="287"/>
      <c r="D465" s="142"/>
    </row>
    <row r="466" spans="1:7">
      <c r="A466" s="992" t="s">
        <v>1268</v>
      </c>
      <c r="B466" s="992"/>
      <c r="C466" s="992"/>
      <c r="D466" s="992"/>
      <c r="E466" s="992"/>
      <c r="F466" s="992"/>
      <c r="G466" s="992"/>
    </row>
    <row r="467" spans="1:7" customFormat="1" ht="12" customHeight="1">
      <c r="A467" s="287"/>
      <c r="B467" s="287"/>
      <c r="C467" s="13"/>
      <c r="D467" s="161"/>
      <c r="E467" s="159"/>
      <c r="F467" s="159"/>
      <c r="G467" s="159"/>
    </row>
    <row r="468" spans="1:7" customFormat="1">
      <c r="A468" s="299"/>
      <c r="B468" s="299"/>
      <c r="C468" s="342"/>
      <c r="D468" s="993" t="s">
        <v>907</v>
      </c>
      <c r="E468" s="993"/>
      <c r="F468" s="993"/>
      <c r="G468" s="199"/>
    </row>
    <row r="469" spans="1:7" customFormat="1" ht="13.15" customHeight="1">
      <c r="A469" s="286"/>
      <c r="B469" s="286"/>
      <c r="C469" s="343"/>
      <c r="D469" s="994" t="s">
        <v>1324</v>
      </c>
      <c r="E469" s="994"/>
      <c r="F469" s="994"/>
      <c r="G469" s="159"/>
    </row>
    <row r="470" spans="1:7" customFormat="1">
      <c r="A470" s="286"/>
      <c r="B470" s="286"/>
      <c r="C470" s="343"/>
      <c r="D470" s="994"/>
      <c r="E470" s="994"/>
      <c r="F470" s="994"/>
      <c r="G470" s="159"/>
    </row>
    <row r="471" spans="1:7" customFormat="1">
      <c r="A471" s="286"/>
      <c r="B471" s="286"/>
      <c r="C471" s="343"/>
      <c r="D471" s="994"/>
      <c r="E471" s="994"/>
      <c r="F471" s="994"/>
      <c r="G471" s="159"/>
    </row>
    <row r="472" spans="1:7" customFormat="1">
      <c r="A472" s="286"/>
      <c r="B472" s="286"/>
      <c r="C472" s="343"/>
      <c r="D472" s="994"/>
      <c r="E472" s="994"/>
      <c r="F472" s="994"/>
      <c r="G472" s="159"/>
    </row>
    <row r="473" spans="1:7" customFormat="1">
      <c r="A473" s="286"/>
      <c r="B473" s="286"/>
      <c r="C473" s="343"/>
      <c r="D473" s="994"/>
      <c r="E473" s="994"/>
      <c r="F473" s="994"/>
      <c r="G473" s="159"/>
    </row>
    <row r="474" spans="1:7" customFormat="1">
      <c r="A474" s="286"/>
      <c r="B474" s="286"/>
      <c r="C474" s="343"/>
      <c r="D474" s="510"/>
      <c r="E474" s="159"/>
      <c r="F474" s="161"/>
      <c r="G474" s="159"/>
    </row>
    <row r="475" spans="1:7" customFormat="1" ht="14.45" customHeight="1">
      <c r="A475" s="287"/>
      <c r="B475" s="751" t="s">
        <v>333</v>
      </c>
      <c r="C475" s="343"/>
      <c r="D475" s="1034" t="s">
        <v>1310</v>
      </c>
      <c r="E475" s="1034"/>
      <c r="F475" s="1034"/>
      <c r="G475" s="159"/>
    </row>
    <row r="476" spans="1:7" customFormat="1">
      <c r="A476" s="286"/>
      <c r="B476" s="286"/>
      <c r="C476" s="343"/>
      <c r="D476" s="1034"/>
      <c r="E476" s="1034"/>
      <c r="F476" s="1034"/>
      <c r="G476" s="159"/>
    </row>
    <row r="477" spans="1:7" s="752" customFormat="1">
      <c r="A477" s="286"/>
      <c r="B477" s="286"/>
      <c r="C477" s="343"/>
      <c r="D477" s="1034"/>
      <c r="E477" s="1034"/>
      <c r="F477" s="1034"/>
      <c r="G477" s="159"/>
    </row>
    <row r="478" spans="1:7" s="752" customFormat="1">
      <c r="A478" s="286"/>
      <c r="B478" s="286"/>
      <c r="C478" s="343"/>
      <c r="D478" s="1034"/>
      <c r="E478" s="1034"/>
      <c r="F478" s="1034"/>
      <c r="G478" s="159"/>
    </row>
    <row r="479" spans="1:7" customFormat="1">
      <c r="A479" s="286"/>
      <c r="B479" s="286"/>
      <c r="C479" s="343"/>
      <c r="D479" s="1034"/>
      <c r="E479" s="1034"/>
      <c r="F479" s="1034"/>
      <c r="G479" s="159"/>
    </row>
    <row r="480" spans="1:7" customFormat="1">
      <c r="A480" s="286"/>
      <c r="B480" s="286"/>
      <c r="C480" s="343"/>
      <c r="D480" s="482"/>
      <c r="E480" s="159"/>
      <c r="F480" s="161"/>
      <c r="G480" s="159"/>
    </row>
    <row r="481" spans="1:7" customFormat="1" ht="14.45" customHeight="1">
      <c r="A481" s="287"/>
      <c r="B481" s="751" t="s">
        <v>333</v>
      </c>
      <c r="C481" s="343"/>
      <c r="D481" s="1034" t="s">
        <v>1313</v>
      </c>
      <c r="E481" s="1034"/>
      <c r="F481" s="1034"/>
      <c r="G481" s="159"/>
    </row>
    <row r="482" spans="1:7" customFormat="1">
      <c r="A482" s="286"/>
      <c r="B482" s="286"/>
      <c r="C482" s="343"/>
      <c r="D482" s="1034"/>
      <c r="E482" s="1034"/>
      <c r="F482" s="1034"/>
      <c r="G482" s="159"/>
    </row>
    <row r="483" spans="1:7" s="752" customFormat="1">
      <c r="A483" s="286"/>
      <c r="B483" s="286"/>
      <c r="C483" s="343"/>
      <c r="D483" s="1034"/>
      <c r="E483" s="1034"/>
      <c r="F483" s="1034"/>
      <c r="G483" s="159"/>
    </row>
    <row r="484" spans="1:7" customFormat="1">
      <c r="A484" s="286"/>
      <c r="B484" s="286"/>
      <c r="C484" s="343"/>
      <c r="D484" s="1034"/>
      <c r="E484" s="1034"/>
      <c r="F484" s="1034"/>
      <c r="G484" s="159"/>
    </row>
    <row r="485" spans="1:7" customFormat="1" ht="9.9499999999999993" customHeight="1">
      <c r="A485" s="286"/>
      <c r="B485" s="286"/>
      <c r="C485" s="343"/>
      <c r="D485" s="482"/>
      <c r="E485" s="159"/>
      <c r="F485" s="161"/>
      <c r="G485" s="159"/>
    </row>
    <row r="486" spans="1:7" customFormat="1" ht="14.45" customHeight="1">
      <c r="A486" s="287"/>
      <c r="B486" s="751" t="s">
        <v>333</v>
      </c>
      <c r="C486" s="343"/>
      <c r="D486" s="1034" t="s">
        <v>1311</v>
      </c>
      <c r="E486" s="1034"/>
      <c r="F486" s="1034"/>
      <c r="G486" s="159"/>
    </row>
    <row r="487" spans="1:7" customFormat="1">
      <c r="A487" s="286"/>
      <c r="B487" s="286"/>
      <c r="C487" s="343"/>
      <c r="D487" s="1034"/>
      <c r="E487" s="1034"/>
      <c r="F487" s="1034"/>
      <c r="G487" s="159"/>
    </row>
    <row r="488" spans="1:7" customFormat="1">
      <c r="A488" s="286"/>
      <c r="B488" s="286"/>
      <c r="C488" s="343"/>
      <c r="D488" s="1034"/>
      <c r="E488" s="1034"/>
      <c r="F488" s="1034"/>
      <c r="G488" s="159"/>
    </row>
    <row r="489" spans="1:7" s="752" customFormat="1">
      <c r="A489" s="286"/>
      <c r="B489" s="286"/>
      <c r="C489" s="343"/>
      <c r="D489" s="772"/>
      <c r="E489" s="772"/>
      <c r="F489" s="772"/>
      <c r="G489" s="159"/>
    </row>
    <row r="490" spans="1:7" customFormat="1" ht="14.45" customHeight="1">
      <c r="A490" s="287"/>
      <c r="B490" s="751" t="s">
        <v>333</v>
      </c>
      <c r="C490" s="343"/>
      <c r="D490" s="1034" t="s">
        <v>1312</v>
      </c>
      <c r="E490" s="1034"/>
      <c r="F490" s="1034"/>
      <c r="G490" s="159"/>
    </row>
    <row r="491" spans="1:7" customFormat="1">
      <c r="A491" s="286"/>
      <c r="B491" s="286"/>
      <c r="C491" s="343"/>
      <c r="D491" s="1034"/>
      <c r="E491" s="1034"/>
      <c r="F491" s="1034"/>
      <c r="G491" s="159"/>
    </row>
    <row r="492" spans="1:7" customFormat="1">
      <c r="A492" s="286"/>
      <c r="B492" s="286"/>
      <c r="C492" s="343"/>
      <c r="D492" s="1034"/>
      <c r="E492" s="1034"/>
      <c r="F492" s="1034"/>
      <c r="G492" s="159"/>
    </row>
    <row r="493" spans="1:7" customFormat="1">
      <c r="A493" s="286"/>
      <c r="B493" s="286"/>
      <c r="C493" s="343"/>
      <c r="D493" s="1034"/>
      <c r="E493" s="1034"/>
      <c r="F493" s="1034"/>
      <c r="G493" s="159"/>
    </row>
    <row r="494" spans="1:7" customFormat="1">
      <c r="A494" s="286"/>
      <c r="B494" s="286"/>
      <c r="C494" s="343"/>
      <c r="D494" s="1034"/>
      <c r="E494" s="1034"/>
      <c r="F494" s="1034"/>
      <c r="G494" s="159"/>
    </row>
    <row r="495" spans="1:7" customFormat="1">
      <c r="A495" s="286"/>
      <c r="B495" s="286"/>
      <c r="C495" s="343"/>
      <c r="D495" s="1034"/>
      <c r="E495" s="1034"/>
      <c r="F495" s="1034"/>
      <c r="G495" s="159"/>
    </row>
    <row r="496" spans="1:7" customFormat="1">
      <c r="A496" s="286"/>
      <c r="B496" s="286"/>
      <c r="C496" s="343"/>
      <c r="D496" s="1034"/>
      <c r="E496" s="1034"/>
      <c r="F496" s="1034"/>
      <c r="G496" s="159"/>
    </row>
    <row r="497" spans="1:7" customFormat="1">
      <c r="A497" s="526"/>
      <c r="B497" s="526"/>
      <c r="C497" s="525"/>
      <c r="D497" s="1034"/>
      <c r="E497" s="1034"/>
      <c r="F497" s="1034"/>
      <c r="G497" s="159"/>
    </row>
    <row r="498" spans="1:7" customFormat="1">
      <c r="A498" s="526"/>
      <c r="B498" s="526"/>
      <c r="C498" s="525"/>
      <c r="D498" s="1034"/>
      <c r="E498" s="1034"/>
      <c r="F498" s="1034"/>
      <c r="G498" s="159"/>
    </row>
    <row r="499" spans="1:7" customFormat="1">
      <c r="A499" s="526"/>
      <c r="B499" s="526"/>
      <c r="C499" s="525"/>
      <c r="D499" s="482"/>
      <c r="E499" s="159"/>
      <c r="F499" s="161"/>
      <c r="G499" s="159"/>
    </row>
    <row r="500" spans="1:7" customFormat="1" ht="13.15" customHeight="1">
      <c r="A500" s="526"/>
      <c r="B500" s="751" t="s">
        <v>333</v>
      </c>
      <c r="C500" s="525"/>
      <c r="D500" s="984" t="s">
        <v>1466</v>
      </c>
      <c r="E500" s="984"/>
      <c r="F500" s="984"/>
      <c r="G500" s="159"/>
    </row>
    <row r="501" spans="1:7" customFormat="1">
      <c r="A501" s="526"/>
      <c r="B501" s="526"/>
      <c r="C501" s="525"/>
      <c r="D501" s="984"/>
      <c r="E501" s="984"/>
      <c r="F501" s="984"/>
      <c r="G501" s="159"/>
    </row>
    <row r="502" spans="1:7" customFormat="1">
      <c r="A502" s="526"/>
      <c r="B502" s="526"/>
      <c r="C502" s="525"/>
      <c r="D502" s="984"/>
      <c r="E502" s="984"/>
      <c r="F502" s="984"/>
      <c r="G502" s="159"/>
    </row>
    <row r="503" spans="1:7" customFormat="1">
      <c r="A503" s="526"/>
      <c r="B503" s="526"/>
      <c r="C503" s="525"/>
      <c r="D503" s="984"/>
      <c r="E503" s="984"/>
      <c r="F503" s="984"/>
      <c r="G503" s="159"/>
    </row>
    <row r="504" spans="1:7" customFormat="1">
      <c r="A504" s="286"/>
      <c r="B504" s="286"/>
      <c r="C504" s="343"/>
      <c r="D504" s="984"/>
      <c r="E504" s="984"/>
      <c r="F504" s="984"/>
      <c r="G504" s="159"/>
    </row>
    <row r="505" spans="1:7" s="789" customFormat="1">
      <c r="A505" s="792"/>
      <c r="B505" s="792"/>
      <c r="C505" s="343"/>
      <c r="D505" s="813"/>
      <c r="E505" s="813"/>
      <c r="F505" s="813"/>
      <c r="G505" s="159"/>
    </row>
    <row r="506" spans="1:7" customFormat="1" ht="14.45" customHeight="1">
      <c r="A506" s="287"/>
      <c r="B506" s="751" t="s">
        <v>333</v>
      </c>
      <c r="C506" s="13"/>
      <c r="D506" s="1034" t="s">
        <v>1314</v>
      </c>
      <c r="E506" s="1034"/>
      <c r="F506" s="1034"/>
      <c r="G506" s="159"/>
    </row>
    <row r="507" spans="1:7" customFormat="1">
      <c r="A507" s="139"/>
      <c r="B507" s="748"/>
      <c r="C507" s="13"/>
      <c r="D507" s="1034"/>
      <c r="E507" s="1034"/>
      <c r="F507" s="1034"/>
      <c r="G507" s="159"/>
    </row>
    <row r="508" spans="1:7" customFormat="1">
      <c r="A508" s="139"/>
      <c r="B508" s="748"/>
      <c r="C508" s="13"/>
      <c r="D508" s="1034"/>
      <c r="E508" s="1034"/>
      <c r="F508" s="1034"/>
      <c r="G508" s="159"/>
    </row>
    <row r="509" spans="1:7" customFormat="1" ht="12" customHeight="1">
      <c r="A509" s="142"/>
      <c r="B509" s="142"/>
      <c r="C509" s="345"/>
      <c r="D509" s="142"/>
      <c r="E509" s="159"/>
      <c r="F509" s="344"/>
      <c r="G509" s="159"/>
    </row>
    <row r="510" spans="1:7">
      <c r="A510" s="992" t="s">
        <v>1269</v>
      </c>
      <c r="B510" s="992"/>
      <c r="C510" s="992"/>
      <c r="D510" s="992"/>
      <c r="E510" s="992"/>
      <c r="F510" s="992"/>
      <c r="G510" s="992"/>
    </row>
    <row r="511" spans="1:7">
      <c r="A511" s="142"/>
      <c r="B511" s="142"/>
      <c r="C511" s="292"/>
      <c r="F511" s="141"/>
    </row>
    <row r="512" spans="1:7">
      <c r="B512" s="1020" t="s">
        <v>513</v>
      </c>
      <c r="C512" s="1020"/>
      <c r="D512" s="1020"/>
      <c r="E512" s="1020"/>
      <c r="F512" s="1020"/>
    </row>
    <row r="513" spans="1:7">
      <c r="A513" s="142"/>
      <c r="B513" s="142"/>
      <c r="C513" s="292"/>
      <c r="D513" s="142"/>
      <c r="F513" s="142"/>
    </row>
    <row r="514" spans="1:7">
      <c r="A514" s="1042" t="s">
        <v>1270</v>
      </c>
      <c r="B514" s="1042"/>
      <c r="C514" s="1042"/>
      <c r="D514" s="1042"/>
      <c r="E514" s="1042"/>
      <c r="F514" s="1042"/>
      <c r="G514" s="1042"/>
    </row>
    <row r="515" spans="1:7">
      <c r="A515" s="142"/>
      <c r="B515" s="142"/>
      <c r="C515" s="292"/>
      <c r="D515" s="142"/>
      <c r="F515" s="142"/>
    </row>
    <row r="516" spans="1:7">
      <c r="C516" s="292"/>
      <c r="D516" s="995" t="s">
        <v>769</v>
      </c>
      <c r="E516" s="995"/>
      <c r="F516" s="995"/>
    </row>
    <row r="517" spans="1:7" s="754" customFormat="1">
      <c r="A517" s="771"/>
      <c r="B517" s="771"/>
      <c r="C517" s="292"/>
      <c r="D517" s="985" t="s">
        <v>1341</v>
      </c>
      <c r="E517" s="985"/>
      <c r="F517" s="985"/>
      <c r="G517" s="8"/>
    </row>
    <row r="518" spans="1:7" s="754" customFormat="1">
      <c r="A518" s="771"/>
      <c r="B518" s="771"/>
      <c r="C518" s="292"/>
      <c r="D518" s="776"/>
      <c r="E518" s="776"/>
      <c r="F518" s="776"/>
      <c r="G518" s="8"/>
    </row>
    <row r="519" spans="1:7" ht="13.15" customHeight="1">
      <c r="A519" s="287"/>
      <c r="B519" s="751" t="s">
        <v>333</v>
      </c>
      <c r="C519" s="292"/>
      <c r="D519" s="985" t="s">
        <v>1012</v>
      </c>
      <c r="E519" s="985"/>
      <c r="F519" s="985"/>
      <c r="G519" s="15"/>
    </row>
    <row r="520" spans="1:7" ht="13.15" customHeight="1">
      <c r="A520" s="292"/>
      <c r="B520" s="292"/>
      <c r="C520" s="292"/>
      <c r="D520" s="776"/>
      <c r="E520" s="749"/>
      <c r="F520" s="749"/>
      <c r="G520" s="15"/>
    </row>
    <row r="521" spans="1:7" ht="14.25">
      <c r="A521" s="287"/>
      <c r="B521" s="751" t="s">
        <v>333</v>
      </c>
      <c r="C521" s="292"/>
      <c r="D521" s="970" t="s">
        <v>1342</v>
      </c>
      <c r="E521" s="970"/>
      <c r="F521" s="970"/>
      <c r="G521" s="15"/>
    </row>
    <row r="522" spans="1:7">
      <c r="A522" s="292"/>
      <c r="B522" s="292"/>
      <c r="C522" s="292"/>
      <c r="D522" s="970"/>
      <c r="E522" s="970"/>
      <c r="F522" s="970"/>
      <c r="G522" s="15"/>
    </row>
    <row r="523" spans="1:7">
      <c r="A523" s="292"/>
      <c r="B523" s="292"/>
      <c r="C523" s="292"/>
      <c r="D523" s="142"/>
      <c r="E523" s="142"/>
      <c r="F523" s="142"/>
      <c r="G523" s="15"/>
    </row>
    <row r="524" spans="1:7" ht="14.25">
      <c r="A524" s="287"/>
      <c r="B524" s="751" t="s">
        <v>333</v>
      </c>
      <c r="C524" s="292"/>
      <c r="D524" s="970" t="s">
        <v>1343</v>
      </c>
      <c r="E524" s="970"/>
      <c r="F524" s="970"/>
      <c r="G524" s="15"/>
    </row>
    <row r="525" spans="1:7">
      <c r="A525" s="292"/>
      <c r="B525" s="292"/>
      <c r="C525" s="292"/>
      <c r="D525" s="970"/>
      <c r="E525" s="970"/>
      <c r="F525" s="970"/>
      <c r="G525" s="15"/>
    </row>
    <row r="526" spans="1:7">
      <c r="A526" s="292"/>
      <c r="B526" s="292"/>
      <c r="C526" s="292"/>
      <c r="D526" s="142"/>
      <c r="E526" s="142"/>
      <c r="F526" s="142"/>
      <c r="G526" s="15"/>
    </row>
    <row r="527" spans="1:7" ht="14.25">
      <c r="A527" s="287"/>
      <c r="B527" s="751" t="s">
        <v>333</v>
      </c>
      <c r="C527" s="292"/>
      <c r="D527" s="970" t="s">
        <v>1344</v>
      </c>
      <c r="E527" s="970"/>
      <c r="F527" s="970"/>
      <c r="G527" s="15"/>
    </row>
    <row r="528" spans="1:7">
      <c r="A528" s="292"/>
      <c r="B528" s="292"/>
      <c r="C528" s="292"/>
      <c r="D528" s="970"/>
      <c r="E528" s="970"/>
      <c r="F528" s="970"/>
      <c r="G528" s="15"/>
    </row>
    <row r="529" spans="1:7">
      <c r="A529" s="292"/>
      <c r="B529" s="292"/>
      <c r="C529" s="292"/>
      <c r="D529" s="142"/>
      <c r="E529" s="142"/>
      <c r="F529" s="142"/>
      <c r="G529" s="15"/>
    </row>
    <row r="530" spans="1:7" ht="14.25">
      <c r="A530" s="287"/>
      <c r="B530" s="751" t="s">
        <v>333</v>
      </c>
      <c r="C530" s="292"/>
      <c r="D530" s="970" t="s">
        <v>1345</v>
      </c>
      <c r="E530" s="970"/>
      <c r="F530" s="970"/>
      <c r="G530" s="15"/>
    </row>
    <row r="531" spans="1:7">
      <c r="A531" s="292"/>
      <c r="B531" s="292"/>
      <c r="C531" s="292"/>
      <c r="D531" s="970"/>
      <c r="E531" s="970"/>
      <c r="F531" s="970"/>
      <c r="G531" s="15"/>
    </row>
    <row r="532" spans="1:7">
      <c r="A532" s="292"/>
      <c r="B532" s="292"/>
      <c r="C532" s="292"/>
      <c r="D532" s="970"/>
      <c r="E532" s="970"/>
      <c r="F532" s="970"/>
      <c r="G532" s="15"/>
    </row>
    <row r="533" spans="1:7">
      <c r="A533" s="292"/>
      <c r="B533" s="292"/>
      <c r="C533" s="292"/>
      <c r="D533" s="142"/>
      <c r="E533" s="142"/>
      <c r="F533" s="142"/>
    </row>
    <row r="534" spans="1:7" ht="14.25">
      <c r="A534" s="287"/>
      <c r="B534" s="751" t="s">
        <v>333</v>
      </c>
      <c r="C534" s="292"/>
      <c r="D534" s="1007" t="s">
        <v>1467</v>
      </c>
      <c r="E534" s="1007"/>
      <c r="F534" s="1007"/>
    </row>
    <row r="535" spans="1:7">
      <c r="A535" s="292"/>
      <c r="B535" s="292"/>
      <c r="C535" s="292"/>
      <c r="D535" s="1007"/>
      <c r="E535" s="1007"/>
      <c r="F535" s="1007"/>
    </row>
    <row r="536" spans="1:7">
      <c r="A536" s="292"/>
      <c r="B536" s="292"/>
      <c r="C536" s="292"/>
      <c r="D536" s="142"/>
      <c r="E536" s="142"/>
      <c r="F536" s="142"/>
    </row>
    <row r="537" spans="1:7" ht="14.25">
      <c r="A537" s="287"/>
      <c r="B537" s="751" t="s">
        <v>333</v>
      </c>
      <c r="C537" s="292"/>
      <c r="D537" s="1007" t="s">
        <v>1346</v>
      </c>
      <c r="E537" s="1007"/>
      <c r="F537" s="1007"/>
    </row>
    <row r="538" spans="1:7">
      <c r="A538" s="292"/>
      <c r="B538" s="292"/>
      <c r="C538" s="292"/>
      <c r="D538" s="1007"/>
      <c r="E538" s="1007"/>
      <c r="F538" s="1007"/>
    </row>
    <row r="539" spans="1:7">
      <c r="A539" s="292"/>
      <c r="B539" s="292"/>
      <c r="C539" s="292"/>
      <c r="D539" s="142"/>
      <c r="E539" s="142"/>
      <c r="F539" s="142"/>
    </row>
    <row r="540" spans="1:7" ht="14.25">
      <c r="A540" s="287"/>
      <c r="B540" s="751" t="s">
        <v>333</v>
      </c>
      <c r="C540" s="292"/>
      <c r="D540" s="970" t="s">
        <v>1347</v>
      </c>
      <c r="E540" s="970"/>
      <c r="F540" s="970"/>
    </row>
    <row r="541" spans="1:7">
      <c r="A541" s="292"/>
      <c r="B541" s="292"/>
      <c r="C541" s="292"/>
      <c r="D541" s="970"/>
      <c r="E541" s="970"/>
      <c r="F541" s="970"/>
      <c r="G541" s="61"/>
    </row>
    <row r="542" spans="1:7">
      <c r="A542" s="292"/>
      <c r="B542" s="292"/>
      <c r="C542" s="292"/>
      <c r="D542" s="142"/>
      <c r="E542" s="142"/>
      <c r="F542" s="142"/>
      <c r="G542" s="61"/>
    </row>
    <row r="543" spans="1:7" ht="14.25">
      <c r="A543" s="287"/>
      <c r="B543" s="751" t="s">
        <v>333</v>
      </c>
      <c r="C543" s="292"/>
      <c r="D543" s="985" t="s">
        <v>1348</v>
      </c>
      <c r="E543" s="985"/>
      <c r="F543" s="985"/>
      <c r="G543" s="61"/>
    </row>
    <row r="544" spans="1:7">
      <c r="A544" s="27"/>
      <c r="B544" s="747"/>
      <c r="C544" s="292"/>
      <c r="D544" s="985" t="s">
        <v>938</v>
      </c>
      <c r="E544" s="985"/>
      <c r="F544" s="985"/>
      <c r="G544" s="61"/>
    </row>
    <row r="545" spans="1:7">
      <c r="A545" s="27"/>
      <c r="B545" s="747"/>
      <c r="C545" s="292"/>
      <c r="D545" s="6"/>
      <c r="E545" s="1003" t="s">
        <v>1349</v>
      </c>
      <c r="F545" s="1003"/>
      <c r="G545" s="61"/>
    </row>
    <row r="546" spans="1:7" ht="14.25">
      <c r="A546" s="287"/>
      <c r="B546" s="287"/>
      <c r="C546" s="292"/>
      <c r="E546" s="142"/>
      <c r="F546" s="142"/>
      <c r="G546" s="61"/>
    </row>
    <row r="547" spans="1:7" ht="14.25">
      <c r="A547" s="287"/>
      <c r="B547" s="751" t="s">
        <v>333</v>
      </c>
      <c r="C547" s="292"/>
      <c r="D547" s="1047" t="s">
        <v>1350</v>
      </c>
      <c r="E547" s="1047"/>
      <c r="F547" s="1047"/>
      <c r="G547" s="61"/>
    </row>
    <row r="548" spans="1:7">
      <c r="C548" s="292"/>
      <c r="D548" s="970" t="s">
        <v>1351</v>
      </c>
      <c r="E548" s="970"/>
      <c r="F548" s="970"/>
      <c r="G548" s="61"/>
    </row>
    <row r="549" spans="1:7">
      <c r="A549" s="292"/>
      <c r="B549" s="292"/>
      <c r="C549" s="292"/>
      <c r="D549" s="970"/>
      <c r="E549" s="970"/>
      <c r="F549" s="970"/>
      <c r="G549" s="61"/>
    </row>
    <row r="550" spans="1:7">
      <c r="A550" s="292"/>
      <c r="B550" s="292"/>
      <c r="C550" s="292"/>
      <c r="D550" s="970"/>
      <c r="E550" s="970"/>
      <c r="F550" s="970"/>
      <c r="G550" s="61"/>
    </row>
    <row r="551" spans="1:7">
      <c r="A551" s="292"/>
      <c r="B551" s="292"/>
      <c r="C551" s="292"/>
      <c r="D551" s="142"/>
      <c r="E551" s="142"/>
      <c r="F551" s="142"/>
      <c r="G551" s="61"/>
    </row>
    <row r="552" spans="1:7" ht="14.25">
      <c r="A552" s="287"/>
      <c r="B552" s="751" t="s">
        <v>333</v>
      </c>
      <c r="C552" s="292"/>
      <c r="D552" s="970" t="s">
        <v>1352</v>
      </c>
      <c r="E552" s="970"/>
      <c r="F552" s="970"/>
      <c r="G552" s="61"/>
    </row>
    <row r="553" spans="1:7" ht="14.25">
      <c r="A553" s="287"/>
      <c r="B553" s="287"/>
      <c r="C553" s="292"/>
      <c r="D553" s="970"/>
      <c r="E553" s="970"/>
      <c r="F553" s="970"/>
      <c r="G553" s="61"/>
    </row>
    <row r="554" spans="1:7" ht="14.25">
      <c r="A554" s="287"/>
      <c r="B554" s="287"/>
      <c r="C554" s="292"/>
      <c r="D554" s="970"/>
      <c r="E554" s="970"/>
      <c r="F554" s="970"/>
      <c r="G554" s="61"/>
    </row>
    <row r="555" spans="1:7" ht="14.25">
      <c r="A555" s="287"/>
      <c r="B555" s="287"/>
      <c r="C555" s="292"/>
      <c r="D555" s="970"/>
      <c r="E555" s="970"/>
      <c r="F555" s="970"/>
      <c r="G555" s="61"/>
    </row>
    <row r="556" spans="1:7" ht="14.25">
      <c r="A556" s="287"/>
      <c r="B556" s="287"/>
      <c r="C556" s="292"/>
      <c r="D556" s="142"/>
      <c r="E556" s="142"/>
      <c r="F556" s="142"/>
      <c r="G556" s="61"/>
    </row>
    <row r="557" spans="1:7">
      <c r="A557" s="992" t="s">
        <v>1271</v>
      </c>
      <c r="B557" s="992"/>
      <c r="C557" s="992"/>
      <c r="D557" s="992"/>
      <c r="E557" s="992"/>
      <c r="F557" s="992"/>
      <c r="G557" s="992"/>
    </row>
    <row r="558" spans="1:7">
      <c r="A558" s="292"/>
      <c r="B558" s="292"/>
      <c r="C558" s="292"/>
      <c r="E558" s="142"/>
      <c r="F558" s="142"/>
      <c r="G558" s="61"/>
    </row>
    <row r="559" spans="1:7" ht="12.75" customHeight="1">
      <c r="C559" s="281"/>
      <c r="D559" s="1021" t="s">
        <v>229</v>
      </c>
      <c r="E559" s="1021"/>
      <c r="F559" s="1021"/>
      <c r="G559" s="61"/>
    </row>
    <row r="560" spans="1:7">
      <c r="A560" s="286"/>
      <c r="B560" s="286"/>
      <c r="C560" s="286"/>
      <c r="D560" s="1015" t="s">
        <v>1295</v>
      </c>
      <c r="E560" s="1015"/>
      <c r="F560" s="1015"/>
      <c r="G560" s="61"/>
    </row>
    <row r="561" spans="1:7">
      <c r="A561" s="15"/>
      <c r="B561" s="15"/>
      <c r="C561" s="286"/>
      <c r="D561" s="415"/>
      <c r="G561" s="61"/>
    </row>
    <row r="562" spans="1:7">
      <c r="A562" s="286"/>
      <c r="B562" s="751" t="s">
        <v>333</v>
      </c>
      <c r="D562" s="1015" t="s">
        <v>1018</v>
      </c>
      <c r="E562" s="1015"/>
      <c r="F562" s="1015"/>
      <c r="G562" s="61"/>
    </row>
    <row r="563" spans="1:7">
      <c r="A563" s="27"/>
      <c r="B563" s="747"/>
      <c r="D563" s="356"/>
    </row>
    <row r="564" spans="1:7">
      <c r="A564" s="27"/>
      <c r="B564" s="751" t="s">
        <v>333</v>
      </c>
      <c r="D564" s="991" t="s">
        <v>1296</v>
      </c>
      <c r="E564" s="991"/>
      <c r="F564" s="991"/>
    </row>
    <row r="565" spans="1:7">
      <c r="A565" s="27"/>
      <c r="B565" s="747"/>
      <c r="D565" s="991"/>
      <c r="E565" s="991"/>
      <c r="F565" s="991"/>
    </row>
    <row r="566" spans="1:7">
      <c r="A566" s="27"/>
      <c r="B566" s="760"/>
      <c r="D566" s="991"/>
      <c r="E566" s="991"/>
      <c r="F566" s="991"/>
    </row>
    <row r="567" spans="1:7">
      <c r="A567" s="27"/>
      <c r="B567" s="747"/>
      <c r="D567" s="517"/>
    </row>
    <row r="568" spans="1:7" s="754" customFormat="1">
      <c r="A568" s="760"/>
      <c r="B568" s="751" t="s">
        <v>333</v>
      </c>
      <c r="C568" s="761"/>
      <c r="D568" s="991" t="s">
        <v>1297</v>
      </c>
      <c r="E568" s="991"/>
      <c r="F568" s="991"/>
      <c r="G568" s="8"/>
    </row>
    <row r="569" spans="1:7" s="754" customFormat="1">
      <c r="A569" s="760"/>
      <c r="B569" s="760"/>
      <c r="C569" s="761"/>
      <c r="D569" s="991"/>
      <c r="E569" s="991"/>
      <c r="F569" s="991"/>
      <c r="G569" s="8"/>
    </row>
    <row r="570" spans="1:7" s="754" customFormat="1">
      <c r="A570" s="760"/>
      <c r="B570" s="760"/>
      <c r="C570" s="761"/>
      <c r="D570" s="991"/>
      <c r="E570" s="991"/>
      <c r="F570" s="991"/>
      <c r="G570" s="8"/>
    </row>
    <row r="571" spans="1:7" s="754" customFormat="1">
      <c r="A571" s="760"/>
      <c r="B571" s="760"/>
      <c r="C571" s="761"/>
      <c r="D571" s="991"/>
      <c r="E571" s="991"/>
      <c r="F571" s="991"/>
      <c r="G571" s="8"/>
    </row>
    <row r="572" spans="1:7" s="754" customFormat="1">
      <c r="A572" s="760"/>
      <c r="B572" s="760"/>
      <c r="C572" s="761"/>
      <c r="D572" s="766"/>
      <c r="E572" s="766"/>
      <c r="F572" s="766"/>
      <c r="G572" s="8"/>
    </row>
    <row r="573" spans="1:7">
      <c r="A573" s="27"/>
      <c r="B573" s="751" t="s">
        <v>333</v>
      </c>
      <c r="D573" s="991" t="s">
        <v>1298</v>
      </c>
      <c r="E573" s="991"/>
      <c r="F573" s="991"/>
    </row>
    <row r="574" spans="1:7">
      <c r="A574" s="27"/>
      <c r="B574" s="747"/>
      <c r="D574" s="991"/>
      <c r="E574" s="991"/>
      <c r="F574" s="991"/>
    </row>
    <row r="575" spans="1:7">
      <c r="A575" s="27"/>
      <c r="B575" s="747"/>
      <c r="D575" s="415"/>
    </row>
    <row r="576" spans="1:7" s="754" customFormat="1">
      <c r="A576" s="760"/>
      <c r="B576" s="751" t="s">
        <v>333</v>
      </c>
      <c r="C576" s="761"/>
      <c r="D576" s="1015" t="s">
        <v>1299</v>
      </c>
      <c r="E576" s="1015"/>
      <c r="F576" s="1015"/>
      <c r="G576" s="8"/>
    </row>
    <row r="577" spans="1:7" s="754" customFormat="1">
      <c r="A577" s="760"/>
      <c r="B577" s="760"/>
      <c r="C577" s="761"/>
      <c r="D577" s="1015"/>
      <c r="E577" s="1015"/>
      <c r="F577" s="1015"/>
      <c r="G577" s="8"/>
    </row>
    <row r="578" spans="1:7" s="754" customFormat="1">
      <c r="A578" s="760"/>
      <c r="B578" s="760"/>
      <c r="C578" s="761"/>
      <c r="D578" s="415"/>
      <c r="E578" s="8"/>
      <c r="F578" s="8"/>
      <c r="G578" s="8"/>
    </row>
    <row r="579" spans="1:7" ht="14.25">
      <c r="A579" s="287"/>
      <c r="B579" s="751" t="s">
        <v>333</v>
      </c>
      <c r="D579" s="1015" t="s">
        <v>1013</v>
      </c>
      <c r="E579" s="1015"/>
      <c r="F579" s="1015"/>
    </row>
    <row r="580" spans="1:7" ht="14.25">
      <c r="A580" s="287"/>
      <c r="B580" s="287"/>
      <c r="D580" s="415"/>
    </row>
    <row r="581" spans="1:7" ht="14.25">
      <c r="A581" s="287"/>
      <c r="B581" s="751" t="s">
        <v>333</v>
      </c>
      <c r="D581" s="1015" t="s">
        <v>1300</v>
      </c>
      <c r="E581" s="1015"/>
      <c r="F581" s="1015"/>
    </row>
    <row r="582" spans="1:7" ht="14.25">
      <c r="A582" s="287"/>
      <c r="B582" s="287"/>
      <c r="D582" s="1015"/>
      <c r="E582" s="1015"/>
      <c r="F582" s="1015"/>
    </row>
    <row r="583" spans="1:7">
      <c r="D583" s="1015"/>
      <c r="E583" s="1015"/>
      <c r="F583" s="1015"/>
    </row>
    <row r="584" spans="1:7">
      <c r="D584" s="1015"/>
      <c r="E584" s="1015"/>
      <c r="F584" s="1015"/>
    </row>
    <row r="585" spans="1:7" s="754" customFormat="1">
      <c r="A585" s="761"/>
      <c r="B585" s="761"/>
      <c r="C585" s="761"/>
      <c r="D585" s="1015"/>
      <c r="E585" s="1015"/>
      <c r="F585" s="1015"/>
      <c r="G585" s="8"/>
    </row>
    <row r="586" spans="1:7" s="754" customFormat="1">
      <c r="A586" s="761"/>
      <c r="B586" s="761"/>
      <c r="C586" s="761"/>
      <c r="D586" s="1015"/>
      <c r="E586" s="1015"/>
      <c r="F586" s="1015"/>
      <c r="G586" s="8"/>
    </row>
    <row r="587" spans="1:7"/>
    <row r="588" spans="1:7">
      <c r="A588" s="992" t="s">
        <v>1272</v>
      </c>
      <c r="B588" s="992"/>
      <c r="C588" s="992"/>
      <c r="D588" s="992"/>
      <c r="E588" s="992"/>
      <c r="F588" s="992"/>
      <c r="G588" s="992"/>
    </row>
    <row r="589" spans="1:7"/>
    <row r="590" spans="1:7">
      <c r="D590" s="1009" t="s">
        <v>1386</v>
      </c>
      <c r="E590" s="1009"/>
      <c r="F590" s="1009"/>
    </row>
    <row r="591" spans="1:7">
      <c r="D591" s="1048" t="s">
        <v>1387</v>
      </c>
      <c r="E591" s="1048"/>
      <c r="F591" s="1048"/>
    </row>
    <row r="592" spans="1:7" s="791" customFormat="1">
      <c r="A592" s="777"/>
      <c r="B592" s="777"/>
      <c r="C592" s="777"/>
      <c r="D592" s="795"/>
      <c r="E592" s="794"/>
      <c r="F592" s="794"/>
      <c r="G592" s="8"/>
    </row>
    <row r="593" spans="1:7" s="43" customFormat="1" ht="14.25">
      <c r="A593" s="442"/>
      <c r="B593" s="751" t="s">
        <v>333</v>
      </c>
      <c r="C593" s="299"/>
      <c r="D593" s="1011" t="s">
        <v>1388</v>
      </c>
      <c r="E593" s="1011"/>
      <c r="F593" s="1011"/>
      <c r="G593" s="137"/>
    </row>
    <row r="594" spans="1:7">
      <c r="D594" s="1011"/>
      <c r="E594" s="1011"/>
      <c r="F594" s="1011"/>
    </row>
    <row r="595" spans="1:7">
      <c r="D595" s="1011"/>
      <c r="E595" s="1011"/>
      <c r="F595" s="1011"/>
    </row>
    <row r="596" spans="1:7"/>
    <row r="597" spans="1:7">
      <c r="A597" s="992" t="s">
        <v>1273</v>
      </c>
      <c r="B597" s="992"/>
      <c r="C597" s="992"/>
      <c r="D597" s="992"/>
      <c r="E597" s="992"/>
      <c r="F597" s="992"/>
      <c r="G597" s="992"/>
    </row>
    <row r="598" spans="1:7">
      <c r="A598" s="142"/>
      <c r="B598" s="142"/>
      <c r="G598" s="61"/>
    </row>
    <row r="599" spans="1:7">
      <c r="A599" s="283"/>
      <c r="B599" s="746"/>
      <c r="C599" s="281"/>
      <c r="D599" s="1049" t="s">
        <v>1389</v>
      </c>
      <c r="E599" s="1049"/>
      <c r="F599" s="1049"/>
      <c r="G599" s="61"/>
    </row>
    <row r="600" spans="1:7">
      <c r="A600" s="283"/>
      <c r="B600" s="746"/>
      <c r="C600" s="281"/>
      <c r="D600" s="1049"/>
      <c r="E600" s="1049"/>
      <c r="F600" s="1049"/>
      <c r="G600" s="61"/>
    </row>
    <row r="601" spans="1:7">
      <c r="C601" s="286"/>
      <c r="D601" s="1048" t="s">
        <v>1390</v>
      </c>
      <c r="E601" s="1048"/>
      <c r="F601" s="1048"/>
      <c r="G601" s="61"/>
    </row>
    <row r="602" spans="1:7" s="791" customFormat="1">
      <c r="A602" s="777"/>
      <c r="B602" s="777"/>
      <c r="C602" s="792"/>
      <c r="D602" s="796"/>
      <c r="E602" s="796"/>
      <c r="F602" s="796"/>
      <c r="G602" s="61"/>
    </row>
    <row r="603" spans="1:7">
      <c r="A603" s="27"/>
      <c r="B603" s="751" t="s">
        <v>333</v>
      </c>
      <c r="D603" s="1048" t="s">
        <v>496</v>
      </c>
      <c r="E603" s="1048"/>
      <c r="F603" s="1048"/>
      <c r="G603" s="61"/>
    </row>
    <row r="604" spans="1:7">
      <c r="C604" s="294"/>
      <c r="E604" s="15"/>
      <c r="G604" s="61"/>
    </row>
    <row r="605" spans="1:7">
      <c r="A605" s="27"/>
      <c r="B605" s="751" t="s">
        <v>333</v>
      </c>
      <c r="D605" s="1008" t="s">
        <v>1391</v>
      </c>
      <c r="E605" s="1008"/>
      <c r="F605" s="1008"/>
      <c r="G605" s="61"/>
    </row>
    <row r="606" spans="1:7">
      <c r="D606" s="1008"/>
      <c r="E606" s="1008"/>
      <c r="F606" s="1008"/>
      <c r="G606" s="61"/>
    </row>
    <row r="607" spans="1:7">
      <c r="D607" s="15"/>
      <c r="G607" s="61"/>
    </row>
    <row r="608" spans="1:7">
      <c r="B608" s="751" t="s">
        <v>333</v>
      </c>
      <c r="D608" s="1008" t="s">
        <v>1392</v>
      </c>
      <c r="E608" s="1008"/>
      <c r="F608" s="1008"/>
      <c r="G608" s="61"/>
    </row>
    <row r="609" spans="1:7">
      <c r="C609" s="294"/>
      <c r="D609" s="1008"/>
      <c r="E609" s="1008"/>
      <c r="F609" s="1008"/>
      <c r="G609" s="61"/>
    </row>
    <row r="610" spans="1:7">
      <c r="C610" s="294"/>
      <c r="G610" s="61"/>
    </row>
    <row r="611" spans="1:7">
      <c r="B611" s="751" t="s">
        <v>333</v>
      </c>
      <c r="C611" s="294"/>
      <c r="D611" s="1008" t="s">
        <v>1393</v>
      </c>
      <c r="E611" s="1008"/>
      <c r="F611" s="1008"/>
      <c r="G611" s="61"/>
    </row>
    <row r="612" spans="1:7">
      <c r="C612" s="294"/>
      <c r="D612" s="1008"/>
      <c r="E612" s="1008"/>
      <c r="F612" s="1008"/>
      <c r="G612" s="61"/>
    </row>
    <row r="613" spans="1:7">
      <c r="C613" s="294"/>
      <c r="G613" s="61"/>
    </row>
    <row r="614" spans="1:7">
      <c r="A614" s="992" t="s">
        <v>1274</v>
      </c>
      <c r="B614" s="992"/>
      <c r="C614" s="992"/>
      <c r="D614" s="992"/>
      <c r="E614" s="992"/>
      <c r="F614" s="992"/>
      <c r="G614" s="992"/>
    </row>
    <row r="615" spans="1:7">
      <c r="A615" s="293"/>
      <c r="B615" s="293"/>
      <c r="C615" s="293"/>
      <c r="G615" s="61"/>
    </row>
    <row r="616" spans="1:7">
      <c r="C616" s="27"/>
      <c r="D616" s="1009" t="s">
        <v>1394</v>
      </c>
      <c r="E616" s="1009"/>
      <c r="F616" s="1009"/>
      <c r="G616" s="61"/>
    </row>
    <row r="617" spans="1:7">
      <c r="A617" s="27"/>
      <c r="B617" s="747"/>
      <c r="C617" s="291"/>
      <c r="D617" s="54"/>
      <c r="G617" s="61"/>
    </row>
    <row r="618" spans="1:7" ht="14.25">
      <c r="A618" s="287"/>
      <c r="B618" s="751" t="s">
        <v>333</v>
      </c>
      <c r="C618" s="291"/>
      <c r="D618" s="1010" t="s">
        <v>1395</v>
      </c>
      <c r="E618" s="1010"/>
      <c r="F618" s="1010"/>
      <c r="G618" s="61"/>
    </row>
    <row r="619" spans="1:7">
      <c r="C619" s="291"/>
      <c r="D619" s="1010"/>
      <c r="E619" s="1010"/>
      <c r="F619" s="1010"/>
      <c r="G619" s="61"/>
    </row>
    <row r="620" spans="1:7">
      <c r="C620" s="291"/>
      <c r="D620" s="1010"/>
      <c r="E620" s="1010"/>
      <c r="F620" s="1010"/>
      <c r="G620" s="61"/>
    </row>
    <row r="621" spans="1:7">
      <c r="C621" s="291"/>
      <c r="D621" s="1010"/>
      <c r="E621" s="1010"/>
      <c r="F621" s="1010"/>
      <c r="G621" s="61"/>
    </row>
    <row r="622" spans="1:7">
      <c r="C622" s="291"/>
      <c r="D622" s="1010"/>
      <c r="E622" s="1010"/>
      <c r="F622" s="1010"/>
      <c r="G622" s="61"/>
    </row>
    <row r="623" spans="1:7">
      <c r="C623" s="291"/>
      <c r="D623" s="1010"/>
      <c r="E623" s="1010"/>
      <c r="F623" s="1010"/>
      <c r="G623" s="61"/>
    </row>
    <row r="624" spans="1:7" s="791" customFormat="1">
      <c r="A624" s="777"/>
      <c r="B624" s="777"/>
      <c r="C624" s="291"/>
      <c r="D624" s="797"/>
      <c r="E624" s="797"/>
      <c r="F624" s="797"/>
      <c r="G624" s="61"/>
    </row>
    <row r="625" spans="1:7" ht="14.25">
      <c r="A625" s="287"/>
      <c r="B625" s="751" t="s">
        <v>333</v>
      </c>
      <c r="C625" s="291"/>
      <c r="D625" s="1010" t="s">
        <v>1396</v>
      </c>
      <c r="E625" s="1010"/>
      <c r="F625" s="1010"/>
      <c r="G625" s="61"/>
    </row>
    <row r="626" spans="1:7">
      <c r="A626" s="292"/>
      <c r="B626" s="292"/>
      <c r="C626" s="292"/>
      <c r="D626" s="1010"/>
      <c r="E626" s="1010"/>
      <c r="F626" s="1010"/>
      <c r="G626" s="61"/>
    </row>
    <row r="627" spans="1:7">
      <c r="A627" s="292"/>
      <c r="B627" s="292"/>
      <c r="C627" s="292"/>
      <c r="D627" s="161"/>
      <c r="E627" s="155"/>
      <c r="F627" s="155"/>
      <c r="G627" s="61"/>
    </row>
    <row r="628" spans="1:7" ht="14.25">
      <c r="A628" s="287"/>
      <c r="B628" s="751" t="s">
        <v>333</v>
      </c>
      <c r="C628" s="292"/>
      <c r="D628" s="1011" t="s">
        <v>1397</v>
      </c>
      <c r="E628" s="1011"/>
      <c r="F628" s="1011"/>
      <c r="G628" s="61"/>
    </row>
    <row r="629" spans="1:7" ht="14.25">
      <c r="A629" s="287"/>
      <c r="B629" s="287"/>
      <c r="C629" s="292"/>
      <c r="D629" s="1011"/>
      <c r="E629" s="1011"/>
      <c r="F629" s="1011"/>
      <c r="G629" s="61"/>
    </row>
    <row r="630" spans="1:7" ht="14.25">
      <c r="A630" s="287"/>
      <c r="B630" s="287"/>
      <c r="C630" s="292"/>
      <c r="D630" s="1011"/>
      <c r="E630" s="1011"/>
      <c r="F630" s="1011"/>
      <c r="G630" s="61"/>
    </row>
    <row r="631" spans="1:7">
      <c r="A631" s="292"/>
      <c r="B631" s="292"/>
      <c r="C631" s="292"/>
      <c r="D631" s="1011"/>
      <c r="E631" s="1011"/>
      <c r="F631" s="1011"/>
      <c r="G631" s="61"/>
    </row>
    <row r="632" spans="1:7" s="791" customFormat="1">
      <c r="A632" s="292"/>
      <c r="B632" s="292"/>
      <c r="C632" s="292"/>
      <c r="D632" s="798"/>
      <c r="E632" s="798"/>
      <c r="F632" s="798"/>
      <c r="G632" s="61"/>
    </row>
    <row r="633" spans="1:7">
      <c r="A633" s="292"/>
      <c r="B633" s="751" t="s">
        <v>333</v>
      </c>
      <c r="C633" s="292"/>
      <c r="D633" s="1012" t="s">
        <v>1398</v>
      </c>
      <c r="E633" s="1012"/>
      <c r="F633" s="1012"/>
      <c r="G633" s="61"/>
    </row>
    <row r="634" spans="1:7">
      <c r="A634" s="292"/>
      <c r="B634" s="292"/>
      <c r="C634" s="292"/>
      <c r="D634" s="799"/>
      <c r="E634" s="799"/>
      <c r="F634" s="799"/>
      <c r="G634" s="61"/>
    </row>
    <row r="635" spans="1:7">
      <c r="A635" s="992" t="s">
        <v>1275</v>
      </c>
      <c r="B635" s="992"/>
      <c r="C635" s="992"/>
      <c r="D635" s="992"/>
      <c r="E635" s="992"/>
      <c r="F635" s="992"/>
      <c r="G635" s="992"/>
    </row>
    <row r="636" spans="1:7">
      <c r="A636" s="142"/>
      <c r="B636" s="142"/>
      <c r="C636" s="292"/>
      <c r="D636" s="155"/>
      <c r="E636" s="155"/>
      <c r="F636" s="155"/>
      <c r="G636" s="61"/>
    </row>
    <row r="637" spans="1:7">
      <c r="C637" s="293"/>
      <c r="D637" s="1013" t="s">
        <v>1448</v>
      </c>
      <c r="E637" s="1013"/>
      <c r="F637" s="1013"/>
      <c r="G637" s="61"/>
    </row>
    <row r="638" spans="1:7">
      <c r="A638" s="286"/>
      <c r="B638" s="286"/>
      <c r="C638" s="286"/>
      <c r="D638" s="1014" t="s">
        <v>1449</v>
      </c>
      <c r="E638" s="1014"/>
      <c r="F638" s="1014"/>
      <c r="G638" s="61"/>
    </row>
    <row r="639" spans="1:7" s="791" customFormat="1">
      <c r="A639" s="792"/>
      <c r="B639" s="792"/>
      <c r="C639" s="792"/>
      <c r="D639" s="806"/>
      <c r="E639" s="806"/>
      <c r="F639" s="806"/>
      <c r="G639" s="61"/>
    </row>
    <row r="640" spans="1:7" ht="14.45" customHeight="1">
      <c r="A640" s="287"/>
      <c r="B640" s="751" t="s">
        <v>333</v>
      </c>
      <c r="C640" s="292"/>
      <c r="D640" s="980" t="s">
        <v>1450</v>
      </c>
      <c r="E640" s="980"/>
      <c r="F640" s="980"/>
      <c r="G640" s="61"/>
    </row>
    <row r="641" spans="1:11" ht="14.25">
      <c r="A641" s="287"/>
      <c r="B641" s="287"/>
      <c r="C641" s="292"/>
      <c r="D641" s="980"/>
      <c r="E641" s="980"/>
      <c r="F641" s="980"/>
      <c r="G641" s="61"/>
    </row>
    <row r="642" spans="1:11" ht="14.25">
      <c r="A642" s="287"/>
      <c r="B642" s="287"/>
      <c r="C642" s="292"/>
      <c r="D642" s="980"/>
      <c r="E642" s="980"/>
      <c r="F642" s="980"/>
      <c r="G642" s="61"/>
    </row>
    <row r="643" spans="1:11" ht="14.25">
      <c r="A643" s="287"/>
      <c r="B643" s="287"/>
      <c r="C643" s="292"/>
      <c r="D643" s="980"/>
      <c r="E643" s="980"/>
      <c r="F643" s="980"/>
      <c r="G643" s="61"/>
    </row>
    <row r="644" spans="1:11" s="754" customFormat="1" ht="14.25">
      <c r="A644" s="287"/>
      <c r="B644" s="287"/>
      <c r="C644" s="292"/>
      <c r="D644" s="980"/>
      <c r="E644" s="980"/>
      <c r="F644" s="980"/>
      <c r="G644" s="61"/>
    </row>
    <row r="645" spans="1:11" s="791" customFormat="1" ht="14.25">
      <c r="A645" s="786"/>
      <c r="B645" s="786"/>
      <c r="C645" s="292"/>
      <c r="D645" s="808"/>
      <c r="E645" s="808"/>
      <c r="F645" s="808"/>
      <c r="G645" s="61"/>
    </row>
    <row r="646" spans="1:11" s="754" customFormat="1" ht="14.25">
      <c r="A646" s="287"/>
      <c r="B646" s="751" t="s">
        <v>333</v>
      </c>
      <c r="C646" s="292"/>
      <c r="D646" s="1031" t="s">
        <v>1294</v>
      </c>
      <c r="E646" s="1031"/>
      <c r="F646" s="1031"/>
      <c r="G646" s="61"/>
    </row>
    <row r="647" spans="1:11" s="754" customFormat="1" ht="14.25">
      <c r="A647" s="287"/>
      <c r="B647" s="287"/>
      <c r="C647" s="292"/>
      <c r="D647" s="1032" t="s">
        <v>1451</v>
      </c>
      <c r="E647" s="1032"/>
      <c r="F647" s="1032"/>
      <c r="G647" s="61"/>
    </row>
    <row r="648" spans="1:11" s="754" customFormat="1" ht="14.25">
      <c r="A648" s="287"/>
      <c r="B648" s="287"/>
      <c r="C648" s="292"/>
      <c r="D648" s="1032"/>
      <c r="E648" s="1032"/>
      <c r="F648" s="1032"/>
      <c r="G648" s="61"/>
    </row>
    <row r="649" spans="1:11" s="754" customFormat="1" ht="14.25">
      <c r="A649" s="287"/>
      <c r="B649" s="287"/>
      <c r="C649" s="292"/>
      <c r="D649" s="1032"/>
      <c r="E649" s="1032"/>
      <c r="F649" s="1032"/>
      <c r="G649" s="61"/>
    </row>
    <row r="650" spans="1:11" s="754" customFormat="1" ht="14.25">
      <c r="A650" s="287"/>
      <c r="B650" s="287"/>
      <c r="C650" s="292"/>
      <c r="D650" s="1032"/>
      <c r="E650" s="1032"/>
      <c r="F650" s="1032"/>
      <c r="G650" s="61"/>
    </row>
    <row r="651" spans="1:11" s="754" customFormat="1" ht="14.25">
      <c r="A651" s="287"/>
      <c r="B651" s="287"/>
      <c r="C651" s="292"/>
      <c r="D651" s="1032"/>
      <c r="E651" s="1032"/>
      <c r="F651" s="1032"/>
      <c r="G651" s="61"/>
    </row>
    <row r="652" spans="1:11" s="754" customFormat="1" ht="14.25">
      <c r="A652" s="287"/>
      <c r="B652" s="287"/>
      <c r="C652" s="292"/>
      <c r="D652" s="1033" t="s">
        <v>1452</v>
      </c>
      <c r="E652" s="1033"/>
      <c r="F652" s="1033"/>
      <c r="G652" s="61"/>
    </row>
    <row r="653" spans="1:11">
      <c r="A653" s="292"/>
      <c r="B653" s="292"/>
      <c r="C653" s="292"/>
      <c r="D653" s="155"/>
      <c r="E653" s="155"/>
      <c r="F653" s="155"/>
      <c r="G653" s="61"/>
    </row>
    <row r="654" spans="1:11">
      <c r="A654" s="992" t="s">
        <v>1276</v>
      </c>
      <c r="B654" s="992"/>
      <c r="C654" s="992"/>
      <c r="D654" s="992"/>
      <c r="E654" s="992"/>
      <c r="F654" s="992"/>
      <c r="G654" s="992"/>
      <c r="H654" s="295"/>
      <c r="I654" s="295"/>
      <c r="J654" s="295"/>
      <c r="K654" s="295"/>
    </row>
    <row r="655" spans="1:11" s="791" customFormat="1">
      <c r="A655" s="807"/>
      <c r="B655" s="807"/>
      <c r="C655" s="807"/>
      <c r="D655" s="807"/>
      <c r="E655" s="807"/>
      <c r="F655" s="807"/>
      <c r="G655" s="807"/>
      <c r="H655" s="295"/>
      <c r="I655" s="295"/>
      <c r="J655" s="295"/>
      <c r="K655" s="295"/>
    </row>
    <row r="656" spans="1:11">
      <c r="C656" s="293"/>
      <c r="D656" s="995" t="s">
        <v>107</v>
      </c>
      <c r="E656" s="995"/>
      <c r="F656" s="995"/>
      <c r="G656" s="61"/>
      <c r="H656" s="295"/>
      <c r="I656" s="295"/>
      <c r="J656" s="295"/>
      <c r="K656" s="295"/>
    </row>
    <row r="657" spans="1:11">
      <c r="A657" s="293"/>
      <c r="B657" s="293"/>
      <c r="C657" s="293"/>
      <c r="D657" s="995" t="s">
        <v>131</v>
      </c>
      <c r="E657" s="995"/>
      <c r="F657" s="995"/>
      <c r="G657" s="61"/>
      <c r="H657" s="295"/>
      <c r="I657" s="295"/>
      <c r="J657" s="295"/>
      <c r="K657" s="295"/>
    </row>
    <row r="658" spans="1:11">
      <c r="A658" s="286"/>
      <c r="B658" s="286"/>
      <c r="C658" s="286"/>
      <c r="D658" s="985" t="s">
        <v>1326</v>
      </c>
      <c r="E658" s="985"/>
      <c r="F658" s="985"/>
      <c r="G658" s="61"/>
      <c r="H658" s="295"/>
      <c r="I658" s="295"/>
      <c r="J658" s="295"/>
      <c r="K658" s="295"/>
    </row>
    <row r="659" spans="1:11">
      <c r="A659" s="286"/>
      <c r="B659" s="286"/>
      <c r="C659" s="286"/>
      <c r="G659" s="61"/>
      <c r="H659" s="295"/>
      <c r="I659" s="295"/>
      <c r="J659" s="295"/>
      <c r="K659" s="295"/>
    </row>
    <row r="660" spans="1:11" ht="14.25">
      <c r="A660" s="287"/>
      <c r="B660" s="751" t="s">
        <v>333</v>
      </c>
      <c r="C660" s="286"/>
      <c r="D660" s="985" t="s">
        <v>1014</v>
      </c>
      <c r="E660" s="985"/>
      <c r="F660" s="985"/>
      <c r="G660" s="61"/>
      <c r="H660" s="295"/>
      <c r="I660" s="295"/>
      <c r="J660" s="295"/>
      <c r="K660" s="295"/>
    </row>
    <row r="661" spans="1:11">
      <c r="A661" s="286"/>
      <c r="B661" s="286"/>
      <c r="C661" s="286"/>
      <c r="D661" s="985" t="s">
        <v>1026</v>
      </c>
      <c r="E661" s="985"/>
      <c r="F661" s="985"/>
      <c r="G661" s="61"/>
      <c r="H661" s="295"/>
      <c r="I661" s="295"/>
      <c r="J661" s="295"/>
      <c r="K661" s="295"/>
    </row>
    <row r="662" spans="1:11">
      <c r="A662" s="286"/>
      <c r="B662" s="286"/>
      <c r="C662" s="286"/>
      <c r="D662" s="6"/>
      <c r="E662" s="983" t="s">
        <v>1327</v>
      </c>
      <c r="F662" s="983"/>
      <c r="G662" s="61"/>
      <c r="H662" s="295"/>
      <c r="I662" s="295"/>
      <c r="J662" s="295"/>
      <c r="K662" s="295"/>
    </row>
    <row r="663" spans="1:11">
      <c r="A663" s="286"/>
      <c r="B663" s="286"/>
      <c r="C663" s="286"/>
      <c r="D663" s="6"/>
      <c r="E663" s="983"/>
      <c r="F663" s="983"/>
      <c r="G663" s="61"/>
      <c r="H663" s="295"/>
      <c r="I663" s="295"/>
      <c r="J663" s="295"/>
      <c r="K663" s="295"/>
    </row>
    <row r="664" spans="1:11">
      <c r="A664" s="286"/>
      <c r="B664" s="286"/>
      <c r="C664" s="286"/>
      <c r="D664" s="296"/>
      <c r="E664" s="142"/>
      <c r="G664" s="61"/>
      <c r="H664" s="295"/>
      <c r="I664" s="295"/>
      <c r="J664" s="295"/>
      <c r="K664" s="295"/>
    </row>
    <row r="665" spans="1:11" ht="14.25">
      <c r="A665" s="287"/>
      <c r="B665" s="751" t="s">
        <v>333</v>
      </c>
      <c r="C665" s="286"/>
      <c r="D665" s="970" t="s">
        <v>1328</v>
      </c>
      <c r="E665" s="970"/>
      <c r="F665" s="970"/>
      <c r="G665" s="61"/>
      <c r="H665" s="295"/>
      <c r="I665" s="295"/>
      <c r="J665" s="295"/>
      <c r="K665" s="295"/>
    </row>
    <row r="666" spans="1:11">
      <c r="A666" s="27"/>
      <c r="B666" s="747"/>
      <c r="C666" s="286"/>
      <c r="D666" s="970"/>
      <c r="E666" s="970"/>
      <c r="F666" s="970"/>
      <c r="G666" s="61"/>
      <c r="H666" s="295"/>
      <c r="I666" s="295"/>
      <c r="J666" s="295"/>
      <c r="K666" s="295"/>
    </row>
    <row r="667" spans="1:11">
      <c r="A667" s="286"/>
      <c r="B667" s="286"/>
      <c r="C667" s="286"/>
      <c r="D667" s="970"/>
      <c r="E667" s="970"/>
      <c r="F667" s="970"/>
      <c r="G667" s="61"/>
      <c r="H667" s="295"/>
      <c r="I667" s="295"/>
      <c r="J667" s="295"/>
      <c r="K667" s="295"/>
    </row>
    <row r="668" spans="1:11">
      <c r="A668" s="286"/>
      <c r="B668" s="286"/>
      <c r="C668" s="286"/>
      <c r="G668" s="61"/>
      <c r="H668" s="295"/>
      <c r="I668" s="295"/>
      <c r="J668" s="295"/>
      <c r="K668" s="295"/>
    </row>
    <row r="669" spans="1:11" ht="14.25">
      <c r="A669" s="287"/>
      <c r="B669" s="751" t="s">
        <v>333</v>
      </c>
      <c r="C669" s="286"/>
      <c r="D669" s="985" t="s">
        <v>1063</v>
      </c>
      <c r="E669" s="985"/>
      <c r="F669" s="985"/>
      <c r="G669" s="61"/>
      <c r="H669" s="295"/>
      <c r="I669" s="295"/>
      <c r="J669" s="295"/>
      <c r="K669" s="295"/>
    </row>
    <row r="670" spans="1:11" ht="14.25">
      <c r="A670" s="287"/>
      <c r="B670" s="287"/>
      <c r="C670" s="286"/>
      <c r="D670" s="985" t="s">
        <v>1026</v>
      </c>
      <c r="E670" s="985"/>
      <c r="F670" s="985"/>
      <c r="G670" s="61"/>
      <c r="H670" s="295"/>
      <c r="I670" s="295"/>
      <c r="J670" s="295"/>
      <c r="K670" s="295"/>
    </row>
    <row r="671" spans="1:11">
      <c r="A671" s="286"/>
      <c r="B671" s="286"/>
      <c r="C671" s="286"/>
      <c r="D671" s="6"/>
      <c r="E671" s="1003" t="s">
        <v>1329</v>
      </c>
      <c r="F671" s="1003"/>
      <c r="G671" s="61"/>
      <c r="H671" s="295"/>
      <c r="I671" s="295"/>
      <c r="J671" s="295"/>
      <c r="K671" s="295"/>
    </row>
    <row r="672" spans="1:11">
      <c r="A672" s="286"/>
      <c r="B672" s="286"/>
      <c r="C672" s="286"/>
      <c r="D672" s="54"/>
      <c r="G672" s="61"/>
      <c r="H672" s="295"/>
      <c r="I672" s="295"/>
      <c r="J672" s="295"/>
      <c r="K672" s="295"/>
    </row>
    <row r="673" spans="1:11" ht="14.25">
      <c r="A673" s="287"/>
      <c r="B673" s="751" t="s">
        <v>333</v>
      </c>
      <c r="C673" s="286"/>
      <c r="D673" s="1007" t="s">
        <v>1339</v>
      </c>
      <c r="E673" s="1007"/>
      <c r="F673" s="1007"/>
      <c r="G673" s="61"/>
      <c r="H673" s="295"/>
      <c r="I673" s="295"/>
      <c r="J673" s="295"/>
      <c r="K673" s="295"/>
    </row>
    <row r="674" spans="1:11">
      <c r="A674" s="286"/>
      <c r="B674" s="286"/>
      <c r="C674" s="286"/>
      <c r="D674" s="1007"/>
      <c r="E674" s="1007"/>
      <c r="F674" s="1007"/>
      <c r="G674" s="61"/>
      <c r="H674" s="295"/>
      <c r="I674" s="295"/>
      <c r="J674" s="295"/>
      <c r="K674" s="295"/>
    </row>
    <row r="675" spans="1:11">
      <c r="A675" s="286"/>
      <c r="B675" s="286"/>
      <c r="C675" s="286"/>
      <c r="D675" s="1007"/>
      <c r="E675" s="1007"/>
      <c r="F675" s="1007"/>
      <c r="G675" s="61"/>
      <c r="H675" s="295"/>
      <c r="I675" s="295"/>
      <c r="J675" s="295"/>
      <c r="K675" s="295"/>
    </row>
    <row r="676" spans="1:11">
      <c r="A676" s="286"/>
      <c r="B676" s="286"/>
      <c r="C676" s="286"/>
      <c r="D676" s="1007"/>
      <c r="E676" s="1007"/>
      <c r="F676" s="1007"/>
      <c r="G676" s="61"/>
      <c r="H676" s="295"/>
      <c r="I676" s="295"/>
      <c r="J676" s="295"/>
      <c r="K676" s="295"/>
    </row>
    <row r="677" spans="1:11">
      <c r="A677" s="286"/>
      <c r="B677" s="286"/>
      <c r="C677" s="286"/>
      <c r="D677" s="1007"/>
      <c r="E677" s="1007"/>
      <c r="F677" s="1007"/>
      <c r="G677" s="61"/>
      <c r="H677" s="295"/>
      <c r="I677" s="295"/>
      <c r="J677" s="295"/>
      <c r="K677" s="295"/>
    </row>
    <row r="678" spans="1:11" s="43" customFormat="1">
      <c r="A678" s="526"/>
      <c r="B678" s="526"/>
      <c r="C678" s="526"/>
      <c r="D678" s="1007"/>
      <c r="E678" s="1007"/>
      <c r="F678" s="1007"/>
      <c r="G678" s="64"/>
      <c r="H678" s="298"/>
      <c r="I678" s="298"/>
      <c r="J678" s="298"/>
      <c r="K678" s="298"/>
    </row>
    <row r="679" spans="1:11" s="43" customFormat="1">
      <c r="A679" s="526"/>
      <c r="B679" s="526"/>
      <c r="C679" s="526"/>
      <c r="D679" s="773"/>
      <c r="E679" s="773"/>
      <c r="F679" s="773"/>
      <c r="G679" s="64"/>
      <c r="H679" s="298"/>
      <c r="I679" s="298"/>
      <c r="J679" s="298"/>
      <c r="K679" s="298"/>
    </row>
    <row r="680" spans="1:11" ht="14.25">
      <c r="A680" s="287"/>
      <c r="B680" s="751" t="s">
        <v>333</v>
      </c>
      <c r="C680" s="286"/>
      <c r="D680" s="1007" t="s">
        <v>1330</v>
      </c>
      <c r="E680" s="1007"/>
      <c r="F680" s="1007"/>
      <c r="G680" s="61"/>
      <c r="H680" s="295"/>
      <c r="I680" s="295"/>
      <c r="J680" s="295"/>
      <c r="K680" s="295"/>
    </row>
    <row r="681" spans="1:11">
      <c r="A681" s="286"/>
      <c r="B681" s="286"/>
      <c r="C681" s="286"/>
      <c r="D681" s="1007"/>
      <c r="E681" s="1007"/>
      <c r="F681" s="1007"/>
      <c r="G681" s="61"/>
      <c r="H681" s="295"/>
      <c r="I681" s="295"/>
      <c r="J681" s="295"/>
      <c r="K681" s="295"/>
    </row>
    <row r="682" spans="1:11">
      <c r="A682" s="286"/>
      <c r="B682" s="286"/>
      <c r="C682" s="286"/>
      <c r="D682" s="1007"/>
      <c r="E682" s="1007"/>
      <c r="F682" s="1007"/>
      <c r="G682" s="61"/>
      <c r="H682" s="295"/>
      <c r="I682" s="295"/>
      <c r="J682" s="295"/>
      <c r="K682" s="295"/>
    </row>
    <row r="683" spans="1:11" ht="15" customHeight="1">
      <c r="A683" s="286"/>
      <c r="B683" s="286"/>
      <c r="C683" s="286"/>
      <c r="D683" s="1007"/>
      <c r="E683" s="1007"/>
      <c r="F683" s="1007"/>
      <c r="G683" s="61"/>
      <c r="H683" s="295"/>
      <c r="I683" s="295"/>
      <c r="J683" s="295"/>
      <c r="K683" s="295"/>
    </row>
    <row r="684" spans="1:11" ht="15" customHeight="1">
      <c r="A684" s="286"/>
      <c r="B684" s="286"/>
      <c r="C684" s="286"/>
      <c r="D684" s="1007"/>
      <c r="E684" s="1007"/>
      <c r="F684" s="1007"/>
      <c r="G684" s="61"/>
      <c r="H684" s="295"/>
      <c r="I684" s="295"/>
      <c r="J684" s="295"/>
      <c r="K684" s="295"/>
    </row>
    <row r="685" spans="1:11">
      <c r="A685" s="286"/>
      <c r="B685" s="286"/>
      <c r="C685" s="286"/>
      <c r="D685" s="1007"/>
      <c r="E685" s="1007"/>
      <c r="F685" s="1007"/>
      <c r="G685" s="61"/>
      <c r="H685" s="295"/>
      <c r="I685" s="295"/>
      <c r="J685" s="295"/>
      <c r="K685" s="295"/>
    </row>
    <row r="686" spans="1:11">
      <c r="A686" s="286"/>
      <c r="B686" s="286"/>
      <c r="C686" s="286"/>
      <c r="D686" s="1007"/>
      <c r="E686" s="1007"/>
      <c r="F686" s="1007"/>
      <c r="G686" s="61"/>
      <c r="H686" s="295"/>
      <c r="I686" s="295"/>
      <c r="J686" s="295"/>
      <c r="K686" s="295"/>
    </row>
    <row r="687" spans="1:11">
      <c r="A687" s="286"/>
      <c r="B687" s="286"/>
      <c r="C687" s="286"/>
      <c r="D687" s="1007"/>
      <c r="E687" s="1007"/>
      <c r="F687" s="1007"/>
      <c r="G687" s="61"/>
      <c r="H687" s="295"/>
      <c r="I687" s="295"/>
      <c r="J687" s="295"/>
      <c r="K687" s="295"/>
    </row>
    <row r="688" spans="1:11" ht="15" customHeight="1">
      <c r="A688" s="286"/>
      <c r="B688" s="286"/>
      <c r="C688" s="286"/>
      <c r="D688" s="1007"/>
      <c r="E688" s="1007"/>
      <c r="F688" s="1007"/>
      <c r="G688" s="61"/>
      <c r="H688" s="295"/>
      <c r="I688" s="295"/>
      <c r="J688" s="295"/>
      <c r="K688" s="295"/>
    </row>
    <row r="689" spans="1:11">
      <c r="A689" s="286"/>
      <c r="B689" s="286"/>
      <c r="C689" s="286"/>
      <c r="D689" s="1007"/>
      <c r="E689" s="1007"/>
      <c r="F689" s="1007"/>
      <c r="G689" s="61"/>
      <c r="H689" s="295"/>
      <c r="I689" s="295"/>
      <c r="J689" s="295"/>
      <c r="K689" s="295"/>
    </row>
    <row r="690" spans="1:11">
      <c r="A690" s="286"/>
      <c r="B690" s="286"/>
      <c r="C690" s="286"/>
      <c r="D690" s="1007"/>
      <c r="E690" s="1007"/>
      <c r="F690" s="1007"/>
      <c r="G690" s="61"/>
      <c r="H690" s="295"/>
      <c r="I690" s="295"/>
      <c r="J690" s="295"/>
      <c r="K690" s="295"/>
    </row>
    <row r="691" spans="1:11">
      <c r="A691" s="286"/>
      <c r="B691" s="286"/>
      <c r="C691" s="286"/>
      <c r="D691" s="1007"/>
      <c r="E691" s="1007"/>
      <c r="F691" s="1007"/>
      <c r="G691" s="61"/>
      <c r="H691" s="295"/>
      <c r="I691" s="295"/>
      <c r="J691" s="295"/>
      <c r="K691" s="295"/>
    </row>
    <row r="692" spans="1:11" s="754" customFormat="1">
      <c r="A692" s="286"/>
      <c r="B692" s="286"/>
      <c r="C692" s="286"/>
      <c r="D692" s="773"/>
      <c r="E692" s="773"/>
      <c r="F692" s="773"/>
      <c r="G692" s="61"/>
      <c r="H692" s="295"/>
      <c r="I692" s="295"/>
      <c r="J692" s="295"/>
      <c r="K692" s="295"/>
    </row>
    <row r="693" spans="1:11" ht="14.25">
      <c r="A693" s="287"/>
      <c r="B693" s="751" t="s">
        <v>333</v>
      </c>
      <c r="C693" s="286"/>
      <c r="D693" s="1007" t="s">
        <v>1340</v>
      </c>
      <c r="E693" s="1007"/>
      <c r="F693" s="1007"/>
      <c r="G693" s="61"/>
      <c r="H693" s="295"/>
      <c r="I693" s="295"/>
      <c r="J693" s="295"/>
      <c r="K693" s="295"/>
    </row>
    <row r="694" spans="1:11">
      <c r="A694" s="286"/>
      <c r="B694" s="286"/>
      <c r="C694" s="286"/>
      <c r="D694" s="1007"/>
      <c r="E694" s="1007"/>
      <c r="F694" s="1007"/>
      <c r="G694" s="61"/>
      <c r="H694" s="295"/>
      <c r="I694" s="295"/>
      <c r="J694" s="295"/>
      <c r="K694" s="295"/>
    </row>
    <row r="695" spans="1:11">
      <c r="A695" s="286"/>
      <c r="B695" s="286"/>
      <c r="C695" s="286"/>
      <c r="D695" s="1007"/>
      <c r="E695" s="1007"/>
      <c r="F695" s="1007"/>
      <c r="G695" s="61"/>
      <c r="H695" s="295"/>
      <c r="I695" s="295"/>
      <c r="J695" s="295"/>
      <c r="K695" s="295"/>
    </row>
    <row r="696" spans="1:11" s="754" customFormat="1">
      <c r="A696" s="286"/>
      <c r="B696" s="286"/>
      <c r="C696" s="286"/>
      <c r="D696" s="773"/>
      <c r="E696" s="773"/>
      <c r="F696" s="773"/>
      <c r="G696" s="61"/>
      <c r="H696" s="295"/>
      <c r="I696" s="295"/>
      <c r="J696" s="295"/>
      <c r="K696" s="295"/>
    </row>
    <row r="697" spans="1:11" s="754" customFormat="1">
      <c r="A697" s="286"/>
      <c r="B697" s="751" t="s">
        <v>333</v>
      </c>
      <c r="C697" s="286"/>
      <c r="D697" s="1007" t="s">
        <v>1337</v>
      </c>
      <c r="E697" s="1007"/>
      <c r="F697" s="1007"/>
      <c r="G697" s="61"/>
      <c r="H697" s="295"/>
      <c r="I697" s="295"/>
      <c r="J697" s="295"/>
      <c r="K697" s="295"/>
    </row>
    <row r="698" spans="1:11" s="754" customFormat="1">
      <c r="A698" s="286"/>
      <c r="B698" s="286"/>
      <c r="C698" s="286"/>
      <c r="D698" s="1007"/>
      <c r="E698" s="1007"/>
      <c r="F698" s="1007"/>
      <c r="G698" s="61"/>
      <c r="H698" s="295"/>
      <c r="I698" s="295"/>
      <c r="J698" s="295"/>
      <c r="K698" s="295"/>
    </row>
    <row r="699" spans="1:11" s="754" customFormat="1">
      <c r="A699" s="286"/>
      <c r="B699" s="286"/>
      <c r="C699" s="286"/>
      <c r="D699" s="773"/>
      <c r="E699" s="773"/>
      <c r="F699" s="773"/>
      <c r="G699" s="61"/>
      <c r="H699" s="295"/>
      <c r="I699" s="295"/>
      <c r="J699" s="295"/>
      <c r="K699" s="295"/>
    </row>
    <row r="700" spans="1:11" s="754" customFormat="1">
      <c r="A700" s="286"/>
      <c r="B700" s="751" t="s">
        <v>333</v>
      </c>
      <c r="C700" s="286"/>
      <c r="D700" s="1007" t="s">
        <v>1338</v>
      </c>
      <c r="E700" s="1007"/>
      <c r="F700" s="1007"/>
      <c r="G700" s="61"/>
      <c r="H700" s="295"/>
      <c r="I700" s="295"/>
      <c r="J700" s="295"/>
      <c r="K700" s="295"/>
    </row>
    <row r="701" spans="1:11" s="754" customFormat="1">
      <c r="A701" s="286"/>
      <c r="B701" s="286"/>
      <c r="C701" s="286"/>
      <c r="D701" s="1007"/>
      <c r="E701" s="1007"/>
      <c r="F701" s="1007"/>
      <c r="G701" s="61"/>
      <c r="H701" s="295"/>
      <c r="I701" s="295"/>
      <c r="J701" s="295"/>
      <c r="K701" s="295"/>
    </row>
    <row r="702" spans="1:11" s="754" customFormat="1">
      <c r="A702" s="286"/>
      <c r="B702" s="286"/>
      <c r="C702" s="286"/>
      <c r="D702" s="1007"/>
      <c r="E702" s="1007"/>
      <c r="F702" s="1007"/>
      <c r="G702" s="61"/>
      <c r="H702" s="295"/>
      <c r="I702" s="295"/>
      <c r="J702" s="295"/>
      <c r="K702" s="295"/>
    </row>
    <row r="703" spans="1:11" s="754" customFormat="1">
      <c r="A703" s="286"/>
      <c r="B703" s="286"/>
      <c r="C703" s="286"/>
      <c r="D703" s="773"/>
      <c r="E703" s="773"/>
      <c r="F703" s="773"/>
      <c r="G703" s="61"/>
      <c r="H703" s="295"/>
      <c r="I703" s="295"/>
      <c r="J703" s="295"/>
      <c r="K703" s="295"/>
    </row>
    <row r="704" spans="1:11">
      <c r="A704" s="286"/>
      <c r="B704" s="751" t="s">
        <v>333</v>
      </c>
      <c r="C704" s="286"/>
      <c r="D704" s="1007" t="s">
        <v>1331</v>
      </c>
      <c r="E704" s="1007"/>
      <c r="F704" s="1007"/>
      <c r="G704" s="61"/>
      <c r="H704" s="295"/>
      <c r="I704" s="295"/>
      <c r="J704" s="295"/>
      <c r="K704" s="295"/>
    </row>
    <row r="705" spans="1:11">
      <c r="A705" s="286"/>
      <c r="B705" s="286"/>
      <c r="C705" s="286"/>
      <c r="D705" s="1007"/>
      <c r="E705" s="1007"/>
      <c r="F705" s="1007"/>
      <c r="G705" s="61"/>
      <c r="H705" s="295"/>
      <c r="I705" s="295"/>
      <c r="J705" s="295"/>
      <c r="K705" s="295"/>
    </row>
    <row r="706" spans="1:11">
      <c r="A706" s="286"/>
      <c r="B706" s="286"/>
      <c r="C706" s="286"/>
      <c r="D706" s="1007"/>
      <c r="E706" s="1007"/>
      <c r="F706" s="1007"/>
      <c r="G706" s="61"/>
      <c r="H706" s="295"/>
      <c r="I706" s="295"/>
      <c r="J706" s="295"/>
      <c r="K706" s="295"/>
    </row>
    <row r="707" spans="1:11">
      <c r="A707" s="286"/>
      <c r="B707" s="286"/>
      <c r="C707" s="286"/>
      <c r="D707" s="137"/>
      <c r="G707" s="61"/>
      <c r="H707" s="295"/>
      <c r="I707" s="295"/>
      <c r="J707" s="295"/>
      <c r="K707" s="295"/>
    </row>
    <row r="708" spans="1:11">
      <c r="A708" s="286"/>
      <c r="B708" s="751" t="s">
        <v>333</v>
      </c>
      <c r="C708" s="286"/>
      <c r="D708" s="1007" t="s">
        <v>1332</v>
      </c>
      <c r="E708" s="1007"/>
      <c r="F708" s="1007"/>
      <c r="G708" s="61"/>
      <c r="H708" s="295"/>
      <c r="I708" s="295"/>
      <c r="J708" s="295"/>
      <c r="K708" s="295"/>
    </row>
    <row r="709" spans="1:11">
      <c r="A709" s="286"/>
      <c r="B709" s="286"/>
      <c r="C709" s="286"/>
      <c r="D709" s="1007"/>
      <c r="E709" s="1007"/>
      <c r="F709" s="1007"/>
      <c r="G709" s="61"/>
      <c r="H709" s="295"/>
      <c r="I709" s="295"/>
      <c r="J709" s="295"/>
      <c r="K709" s="295"/>
    </row>
    <row r="710" spans="1:11">
      <c r="A710" s="286"/>
      <c r="B710" s="286"/>
      <c r="C710" s="286"/>
      <c r="D710" s="1007"/>
      <c r="E710" s="1007"/>
      <c r="F710" s="1007"/>
      <c r="G710" s="61"/>
      <c r="H710" s="295"/>
      <c r="I710" s="295"/>
      <c r="J710" s="295"/>
      <c r="K710" s="295"/>
    </row>
    <row r="711" spans="1:11">
      <c r="A711" s="286"/>
      <c r="B711" s="286"/>
      <c r="C711" s="286"/>
      <c r="D711" s="15"/>
      <c r="G711" s="61"/>
      <c r="H711" s="295"/>
      <c r="I711" s="295"/>
      <c r="J711" s="295"/>
      <c r="K711" s="295"/>
    </row>
    <row r="712" spans="1:11" ht="14.25">
      <c r="A712" s="287"/>
      <c r="B712" s="751" t="s">
        <v>333</v>
      </c>
      <c r="C712" s="286"/>
      <c r="D712" s="970" t="s">
        <v>1333</v>
      </c>
      <c r="E712" s="970"/>
      <c r="F712" s="970"/>
      <c r="G712" s="61"/>
      <c r="H712" s="295"/>
      <c r="I712" s="295"/>
      <c r="J712" s="295"/>
      <c r="K712" s="295"/>
    </row>
    <row r="713" spans="1:11">
      <c r="A713" s="286"/>
      <c r="B713" s="286"/>
      <c r="C713" s="286"/>
      <c r="D713" s="970"/>
      <c r="E713" s="970"/>
      <c r="F713" s="970"/>
      <c r="G713" s="61"/>
      <c r="H713" s="295"/>
      <c r="I713" s="295"/>
      <c r="J713" s="295"/>
      <c r="K713" s="295"/>
    </row>
    <row r="714" spans="1:11">
      <c r="A714" s="286"/>
      <c r="B714" s="286"/>
      <c r="C714" s="286"/>
      <c r="D714" s="970"/>
      <c r="E714" s="970"/>
      <c r="F714" s="970"/>
      <c r="G714" s="61"/>
      <c r="H714" s="295"/>
      <c r="I714" s="295"/>
      <c r="J714" s="295"/>
      <c r="K714" s="295"/>
    </row>
    <row r="715" spans="1:11">
      <c r="A715" s="286"/>
      <c r="B715" s="286"/>
      <c r="C715" s="286"/>
      <c r="D715" s="970"/>
      <c r="E715" s="970"/>
      <c r="F715" s="970"/>
      <c r="G715" s="61"/>
      <c r="H715" s="295"/>
      <c r="I715" s="295"/>
      <c r="J715" s="295"/>
      <c r="K715" s="295"/>
    </row>
    <row r="716" spans="1:11">
      <c r="A716" s="286"/>
      <c r="B716" s="286"/>
      <c r="C716" s="286"/>
      <c r="D716" s="289"/>
      <c r="G716" s="61"/>
      <c r="H716" s="295"/>
      <c r="I716" s="295"/>
      <c r="J716" s="295"/>
      <c r="K716" s="295"/>
    </row>
    <row r="717" spans="1:11" ht="14.25">
      <c r="A717" s="287"/>
      <c r="B717" s="751" t="s">
        <v>333</v>
      </c>
      <c r="C717" s="286"/>
      <c r="D717" s="1007" t="s">
        <v>1472</v>
      </c>
      <c r="E717" s="1007"/>
      <c r="F717" s="1007"/>
      <c r="G717" s="61"/>
      <c r="H717" s="295"/>
      <c r="I717" s="295"/>
      <c r="J717" s="295"/>
      <c r="K717" s="295"/>
    </row>
    <row r="718" spans="1:11">
      <c r="A718" s="286"/>
      <c r="B718" s="286"/>
      <c r="C718" s="286"/>
      <c r="D718" s="1007"/>
      <c r="E718" s="1007"/>
      <c r="F718" s="1007"/>
      <c r="G718" s="61"/>
      <c r="H718" s="295"/>
      <c r="I718" s="295"/>
      <c r="J718" s="295"/>
      <c r="K718" s="295"/>
    </row>
    <row r="719" spans="1:11">
      <c r="A719" s="286"/>
      <c r="B719" s="286"/>
      <c r="C719" s="286"/>
      <c r="D719" s="1007"/>
      <c r="E719" s="1007"/>
      <c r="F719" s="1007"/>
      <c r="G719" s="61"/>
      <c r="H719" s="295"/>
      <c r="I719" s="295"/>
      <c r="J719" s="295"/>
      <c r="K719" s="295"/>
    </row>
    <row r="720" spans="1:11">
      <c r="A720" s="286"/>
      <c r="B720" s="286"/>
      <c r="C720" s="286"/>
      <c r="D720" s="1007"/>
      <c r="E720" s="1007"/>
      <c r="F720" s="1007"/>
      <c r="G720" s="61"/>
      <c r="H720" s="295"/>
      <c r="I720" s="295"/>
      <c r="J720" s="295"/>
      <c r="K720" s="295"/>
    </row>
    <row r="721" spans="1:11">
      <c r="A721" s="286"/>
      <c r="B721" s="286"/>
      <c r="C721" s="286"/>
      <c r="D721" s="1007"/>
      <c r="E721" s="1007"/>
      <c r="F721" s="1007"/>
      <c r="G721" s="61"/>
      <c r="H721" s="295"/>
      <c r="I721" s="295"/>
      <c r="J721" s="295"/>
      <c r="K721" s="295"/>
    </row>
    <row r="722" spans="1:11">
      <c r="A722" s="286"/>
      <c r="B722" s="286"/>
      <c r="C722" s="286"/>
      <c r="D722" s="1007"/>
      <c r="E722" s="1007"/>
      <c r="F722" s="1007"/>
      <c r="G722" s="61"/>
      <c r="H722" s="295"/>
      <c r="I722" s="295"/>
      <c r="J722" s="295"/>
      <c r="K722" s="295"/>
    </row>
    <row r="723" spans="1:11">
      <c r="A723" s="286"/>
      <c r="B723" s="286"/>
      <c r="C723" s="286"/>
      <c r="D723" s="1007"/>
      <c r="E723" s="1007"/>
      <c r="F723" s="1007"/>
      <c r="G723" s="61"/>
      <c r="H723" s="295"/>
      <c r="I723" s="295"/>
      <c r="J723" s="295"/>
      <c r="K723" s="295"/>
    </row>
    <row r="724" spans="1:11">
      <c r="A724" s="286"/>
      <c r="B724" s="286"/>
      <c r="C724" s="286"/>
      <c r="D724" s="1040" t="s">
        <v>1334</v>
      </c>
      <c r="E724" s="1040"/>
      <c r="F724" s="1040"/>
      <c r="G724" s="61"/>
      <c r="H724" s="295"/>
      <c r="I724" s="295"/>
      <c r="J724" s="295"/>
      <c r="K724" s="295"/>
    </row>
    <row r="725" spans="1:11" s="754" customFormat="1">
      <c r="A725" s="286"/>
      <c r="B725" s="286"/>
      <c r="C725" s="286"/>
      <c r="D725" s="586"/>
      <c r="E725" s="8"/>
      <c r="F725" s="8"/>
      <c r="G725" s="61"/>
      <c r="H725" s="295"/>
      <c r="I725" s="295"/>
      <c r="J725" s="295"/>
      <c r="K725" s="295"/>
    </row>
    <row r="726" spans="1:11">
      <c r="A726" s="1042" t="s">
        <v>1277</v>
      </c>
      <c r="B726" s="1042"/>
      <c r="C726" s="1042"/>
      <c r="D726" s="1042"/>
      <c r="E726" s="1042"/>
      <c r="F726" s="1042"/>
      <c r="G726" s="1042"/>
      <c r="H726" s="295"/>
      <c r="I726" s="295"/>
      <c r="J726" s="295"/>
      <c r="K726" s="295"/>
    </row>
    <row r="727" spans="1:11">
      <c r="A727" s="286"/>
      <c r="B727" s="286"/>
      <c r="C727" s="286"/>
      <c r="D727" s="289"/>
      <c r="G727" s="297"/>
      <c r="H727" s="295"/>
      <c r="I727" s="295"/>
      <c r="J727" s="295"/>
      <c r="K727" s="295"/>
    </row>
    <row r="728" spans="1:11" ht="13.15" customHeight="1">
      <c r="C728" s="286"/>
      <c r="D728" s="1021" t="s">
        <v>1301</v>
      </c>
      <c r="E728" s="1021"/>
      <c r="F728" s="1021"/>
      <c r="G728" s="297"/>
      <c r="H728" s="295"/>
      <c r="I728" s="295"/>
      <c r="J728" s="295"/>
      <c r="K728" s="295"/>
    </row>
    <row r="729" spans="1:11">
      <c r="A729" s="286"/>
      <c r="B729" s="286"/>
      <c r="C729" s="286"/>
      <c r="D729" s="1038" t="s">
        <v>1302</v>
      </c>
      <c r="E729" s="1038"/>
      <c r="F729" s="1038"/>
      <c r="G729" s="297"/>
      <c r="H729" s="295"/>
      <c r="I729" s="295"/>
      <c r="J729" s="295"/>
      <c r="K729" s="295"/>
    </row>
    <row r="730" spans="1:11">
      <c r="A730" s="286"/>
      <c r="B730" s="286"/>
      <c r="C730" s="286"/>
      <c r="G730" s="297"/>
      <c r="H730" s="295"/>
      <c r="I730" s="295"/>
      <c r="J730" s="295"/>
      <c r="K730" s="295"/>
    </row>
    <row r="731" spans="1:11" s="43" customFormat="1" ht="14.25">
      <c r="A731" s="287"/>
      <c r="B731" s="751" t="s">
        <v>333</v>
      </c>
      <c r="C731" s="139"/>
      <c r="D731" s="970" t="s">
        <v>1303</v>
      </c>
      <c r="E731" s="970"/>
      <c r="F731" s="970"/>
      <c r="G731" s="297"/>
      <c r="H731" s="298"/>
      <c r="I731" s="298"/>
      <c r="J731" s="298"/>
      <c r="K731" s="298"/>
    </row>
    <row r="732" spans="1:11" s="43" customFormat="1" ht="10.5" customHeight="1">
      <c r="A732" s="139"/>
      <c r="B732" s="748"/>
      <c r="C732" s="139"/>
      <c r="D732" s="970"/>
      <c r="E732" s="970"/>
      <c r="F732" s="970"/>
      <c r="G732" s="297"/>
      <c r="H732" s="298"/>
      <c r="I732" s="298"/>
      <c r="J732" s="298"/>
      <c r="K732" s="298"/>
    </row>
    <row r="733" spans="1:11" s="43" customFormat="1">
      <c r="A733" s="139"/>
      <c r="B733" s="748"/>
      <c r="C733" s="139"/>
      <c r="D733" s="970"/>
      <c r="E733" s="970"/>
      <c r="F733" s="970"/>
      <c r="G733" s="297"/>
      <c r="H733" s="298"/>
      <c r="I733" s="298"/>
      <c r="J733" s="298"/>
      <c r="K733" s="298"/>
    </row>
    <row r="734" spans="1:11">
      <c r="D734" s="970"/>
      <c r="E734" s="970"/>
      <c r="F734" s="970"/>
      <c r="G734" s="297"/>
      <c r="H734" s="295"/>
      <c r="I734" s="295"/>
      <c r="J734" s="295"/>
      <c r="K734" s="295"/>
    </row>
    <row r="735" spans="1:11">
      <c r="A735" s="299"/>
      <c r="B735" s="299"/>
      <c r="C735" s="299"/>
      <c r="D735" s="970"/>
      <c r="E735" s="970"/>
      <c r="F735" s="970"/>
      <c r="G735" s="301"/>
      <c r="H735" s="295"/>
      <c r="I735" s="295"/>
      <c r="J735" s="295"/>
      <c r="K735" s="295"/>
    </row>
    <row r="736" spans="1:11" ht="15.6" customHeight="1">
      <c r="A736" s="299"/>
      <c r="B736" s="299"/>
      <c r="C736" s="299"/>
      <c r="D736" s="970"/>
      <c r="E736" s="970"/>
      <c r="F736" s="970"/>
      <c r="G736" s="301"/>
      <c r="H736" s="295"/>
      <c r="I736" s="295"/>
      <c r="J736" s="295"/>
      <c r="K736" s="295"/>
    </row>
    <row r="737" spans="1:11">
      <c r="A737" s="299"/>
      <c r="B737" s="299"/>
      <c r="C737" s="299"/>
      <c r="D737" s="415"/>
      <c r="E737" s="300"/>
      <c r="F737" s="300"/>
      <c r="G737" s="301"/>
      <c r="H737" s="295"/>
      <c r="I737" s="295"/>
      <c r="J737" s="295"/>
      <c r="K737" s="295"/>
    </row>
    <row r="738" spans="1:11" s="448" customFormat="1" ht="14.25">
      <c r="A738" s="446"/>
      <c r="B738" s="751" t="s">
        <v>333</v>
      </c>
      <c r="C738" s="447"/>
      <c r="D738" s="968" t="s">
        <v>1304</v>
      </c>
      <c r="E738" s="968"/>
      <c r="F738" s="968"/>
      <c r="G738" s="341"/>
    </row>
    <row r="739" spans="1:11" s="448" customFormat="1">
      <c r="A739" s="447"/>
      <c r="B739" s="447"/>
      <c r="C739" s="447"/>
      <c r="D739" s="968"/>
      <c r="E739" s="968"/>
      <c r="F739" s="968"/>
      <c r="G739" s="341"/>
    </row>
    <row r="740" spans="1:11" s="448" customFormat="1">
      <c r="A740" s="447"/>
      <c r="B740" s="447"/>
      <c r="C740" s="447"/>
      <c r="D740" s="968"/>
      <c r="E740" s="968"/>
      <c r="F740" s="968"/>
      <c r="G740" s="341"/>
    </row>
    <row r="741" spans="1:11" s="448" customFormat="1">
      <c r="A741" s="447"/>
      <c r="B741" s="447"/>
      <c r="C741" s="447"/>
      <c r="D741" s="968"/>
      <c r="E741" s="968"/>
      <c r="F741" s="968"/>
      <c r="G741" s="341"/>
    </row>
    <row r="742" spans="1:11" s="448" customFormat="1">
      <c r="A742" s="447"/>
      <c r="B742" s="447"/>
      <c r="C742" s="447"/>
      <c r="D742" s="415"/>
      <c r="E742" s="341"/>
      <c r="F742" s="341"/>
      <c r="G742" s="341"/>
    </row>
    <row r="743" spans="1:11" s="448" customFormat="1" ht="14.25">
      <c r="A743" s="287"/>
      <c r="B743" s="751" t="s">
        <v>333</v>
      </c>
      <c r="C743" s="447"/>
      <c r="D743" s="1039" t="s">
        <v>1305</v>
      </c>
      <c r="E743" s="1039"/>
      <c r="F743" s="1039"/>
      <c r="G743" s="341"/>
    </row>
    <row r="744" spans="1:11" s="448" customFormat="1">
      <c r="A744" s="447"/>
      <c r="B744" s="447"/>
      <c r="C744" s="447"/>
      <c r="D744" s="1039"/>
      <c r="E744" s="1039"/>
      <c r="F744" s="1039"/>
      <c r="G744" s="341"/>
    </row>
    <row r="745" spans="1:11" s="448" customFormat="1">
      <c r="A745" s="447"/>
      <c r="B745" s="447"/>
      <c r="C745" s="447"/>
      <c r="D745" s="1039"/>
      <c r="E745" s="1039"/>
      <c r="F745" s="1039"/>
      <c r="G745" s="341"/>
    </row>
    <row r="746" spans="1:11">
      <c r="A746" s="299"/>
      <c r="B746" s="299"/>
      <c r="C746" s="299"/>
      <c r="D746" s="415"/>
      <c r="E746" s="300"/>
      <c r="F746" s="300"/>
      <c r="G746" s="301"/>
      <c r="H746" s="295"/>
      <c r="I746" s="295"/>
      <c r="J746" s="295"/>
      <c r="K746" s="295"/>
    </row>
    <row r="747" spans="1:11" ht="14.25">
      <c r="A747" s="287"/>
      <c r="B747" s="751" t="s">
        <v>333</v>
      </c>
      <c r="C747" s="299"/>
      <c r="D747" s="968" t="s">
        <v>1306</v>
      </c>
      <c r="E747" s="968"/>
      <c r="F747" s="968"/>
      <c r="G747" s="301"/>
      <c r="H747" s="295"/>
      <c r="I747" s="295"/>
      <c r="J747" s="295"/>
      <c r="K747" s="295"/>
    </row>
    <row r="748" spans="1:11">
      <c r="A748" s="299"/>
      <c r="B748" s="299"/>
      <c r="C748" s="299"/>
      <c r="D748" s="968"/>
      <c r="E748" s="968"/>
      <c r="F748" s="968"/>
      <c r="G748" s="301"/>
      <c r="H748" s="295"/>
      <c r="I748" s="295"/>
      <c r="J748" s="295"/>
      <c r="K748" s="295"/>
    </row>
    <row r="749" spans="1:11" s="754" customFormat="1">
      <c r="A749" s="299"/>
      <c r="B749" s="299"/>
      <c r="C749" s="299"/>
      <c r="D749" s="767"/>
      <c r="E749" s="767"/>
      <c r="F749" s="767"/>
      <c r="G749" s="301"/>
      <c r="H749" s="295"/>
      <c r="I749" s="295"/>
      <c r="J749" s="295"/>
      <c r="K749" s="295"/>
    </row>
    <row r="750" spans="1:11" s="754" customFormat="1">
      <c r="A750" s="299"/>
      <c r="B750" s="751" t="s">
        <v>333</v>
      </c>
      <c r="C750" s="299"/>
      <c r="D750" s="968" t="s">
        <v>1307</v>
      </c>
      <c r="E750" s="968"/>
      <c r="F750" s="968"/>
      <c r="G750" s="301"/>
      <c r="H750" s="295"/>
      <c r="I750" s="295"/>
      <c r="J750" s="295"/>
      <c r="K750" s="295"/>
    </row>
    <row r="751" spans="1:11" s="754" customFormat="1">
      <c r="A751" s="299"/>
      <c r="B751" s="299"/>
      <c r="C751" s="299"/>
      <c r="D751" s="968"/>
      <c r="E751" s="968"/>
      <c r="F751" s="968"/>
      <c r="G751" s="301"/>
      <c r="H751" s="295"/>
      <c r="I751" s="295"/>
      <c r="J751" s="295"/>
      <c r="K751" s="295"/>
    </row>
    <row r="752" spans="1:11" s="754" customFormat="1">
      <c r="A752" s="299"/>
      <c r="B752" s="299"/>
      <c r="C752" s="299"/>
      <c r="D752" s="968"/>
      <c r="E752" s="968"/>
      <c r="F752" s="968"/>
      <c r="G752" s="301"/>
      <c r="H752" s="295"/>
      <c r="I752" s="295"/>
      <c r="J752" s="295"/>
      <c r="K752" s="295"/>
    </row>
    <row r="753" spans="1:11" s="754" customFormat="1">
      <c r="A753" s="299"/>
      <c r="B753" s="299"/>
      <c r="C753" s="299"/>
      <c r="D753" s="767"/>
      <c r="E753" s="767"/>
      <c r="F753" s="767"/>
      <c r="G753" s="301"/>
      <c r="H753" s="295"/>
      <c r="I753" s="295"/>
      <c r="J753" s="295"/>
      <c r="K753" s="295"/>
    </row>
    <row r="754" spans="1:11">
      <c r="A754" s="1044" t="s">
        <v>1308</v>
      </c>
      <c r="B754" s="1044"/>
      <c r="C754" s="1044"/>
      <c r="D754" s="1044"/>
      <c r="E754" s="1044"/>
      <c r="F754" s="1044"/>
      <c r="G754" s="1044"/>
    </row>
    <row r="755" spans="1:11">
      <c r="A755" s="286"/>
      <c r="B755" s="286"/>
      <c r="C755" s="286"/>
      <c r="D755" s="302"/>
      <c r="F755" s="155"/>
      <c r="G755" s="297"/>
    </row>
    <row r="756" spans="1:11">
      <c r="A756" s="299"/>
      <c r="B756" s="299"/>
      <c r="C756" s="481"/>
      <c r="D756" s="1045" t="s">
        <v>1292</v>
      </c>
      <c r="E756" s="1045"/>
      <c r="F756" s="1045"/>
      <c r="G756" s="297"/>
    </row>
    <row r="757" spans="1:11">
      <c r="A757" s="552"/>
      <c r="B757" s="552"/>
      <c r="C757" s="551"/>
      <c r="D757" s="1035" t="s">
        <v>1309</v>
      </c>
      <c r="E757" s="1035"/>
      <c r="F757" s="1035"/>
      <c r="G757" s="297"/>
    </row>
    <row r="758" spans="1:11">
      <c r="A758" s="299"/>
      <c r="B758" s="299"/>
      <c r="C758" s="481"/>
      <c r="D758" s="765"/>
      <c r="E758" s="765"/>
      <c r="F758" s="765"/>
      <c r="G758" s="297"/>
    </row>
    <row r="759" spans="1:11" ht="14.25">
      <c r="A759" s="287"/>
      <c r="B759" s="751" t="s">
        <v>333</v>
      </c>
      <c r="C759" s="481"/>
      <c r="D759" s="1036" t="s">
        <v>1152</v>
      </c>
      <c r="E759" s="1036"/>
      <c r="F759" s="1036"/>
      <c r="G759" s="297"/>
    </row>
    <row r="760" spans="1:11">
      <c r="A760" s="299"/>
      <c r="B760" s="299"/>
      <c r="C760" s="481"/>
      <c r="D760" s="764"/>
      <c r="E760" s="1037" t="s">
        <v>1293</v>
      </c>
      <c r="F760" s="1037"/>
      <c r="G760" s="297"/>
    </row>
    <row r="761" spans="1:11">
      <c r="A761" s="293"/>
      <c r="B761" s="293"/>
      <c r="C761" s="293"/>
      <c r="D761" s="142"/>
      <c r="F761" s="61"/>
      <c r="G761" s="297"/>
    </row>
    <row r="762" spans="1:11">
      <c r="A762" s="1041" t="s">
        <v>514</v>
      </c>
      <c r="B762" s="1041"/>
      <c r="C762" s="1041"/>
      <c r="D762" s="1041"/>
      <c r="E762" s="1041"/>
      <c r="F762" s="1041"/>
      <c r="G762" s="1041"/>
    </row>
    <row r="763" spans="1:11">
      <c r="A763" s="281"/>
      <c r="B763" s="745"/>
      <c r="C763" s="292"/>
      <c r="D763" s="297"/>
      <c r="E763" s="297"/>
      <c r="F763" s="297"/>
      <c r="G763" s="297"/>
    </row>
    <row r="764" spans="1:11">
      <c r="A764" s="142"/>
      <c r="B764" s="1043" t="s">
        <v>1151</v>
      </c>
      <c r="C764" s="1043"/>
      <c r="D764" s="1043"/>
      <c r="E764" s="1043"/>
      <c r="F764" s="1043"/>
      <c r="G764" s="297"/>
    </row>
    <row r="765" spans="1:11">
      <c r="A765" s="27"/>
      <c r="B765" s="747"/>
      <c r="G765" s="297"/>
    </row>
    <row r="766" spans="1:11">
      <c r="A766" s="1041" t="s">
        <v>515</v>
      </c>
      <c r="B766" s="1041"/>
      <c r="C766" s="1041"/>
      <c r="D766" s="1041"/>
      <c r="E766" s="1041"/>
      <c r="F766" s="1041"/>
      <c r="G766" s="1041"/>
    </row>
    <row r="767" spans="1:11">
      <c r="A767" s="281"/>
      <c r="B767" s="745"/>
      <c r="C767" s="281"/>
      <c r="D767" s="289"/>
      <c r="G767" s="297"/>
    </row>
    <row r="768" spans="1:11">
      <c r="A768" s="142"/>
      <c r="B768" s="987" t="s">
        <v>513</v>
      </c>
      <c r="C768" s="987"/>
      <c r="D768" s="987"/>
      <c r="E768" s="987"/>
      <c r="F768" s="987"/>
      <c r="G768" s="297"/>
    </row>
    <row r="769" spans="1:7" ht="14.25">
      <c r="A769" s="287"/>
      <c r="B769" s="287"/>
      <c r="D769" s="142"/>
      <c r="E769" s="142"/>
      <c r="F769" s="297"/>
      <c r="G769" s="297"/>
    </row>
    <row r="770" spans="1:7">
      <c r="A770" s="1041" t="s">
        <v>516</v>
      </c>
      <c r="B770" s="1041"/>
      <c r="C770" s="1041"/>
      <c r="D770" s="1041"/>
      <c r="E770" s="1041"/>
      <c r="F770" s="1041"/>
      <c r="G770" s="1041"/>
    </row>
    <row r="771" spans="1:7">
      <c r="C771" s="286"/>
      <c r="D771" s="285"/>
      <c r="E771" s="142"/>
      <c r="F771" s="297"/>
      <c r="G771" s="297"/>
    </row>
    <row r="772" spans="1:7">
      <c r="A772" s="142"/>
      <c r="B772" s="987" t="s">
        <v>513</v>
      </c>
      <c r="C772" s="987"/>
      <c r="D772" s="987"/>
      <c r="E772" s="987"/>
      <c r="F772" s="987"/>
      <c r="G772" s="297"/>
    </row>
    <row r="773" spans="1:7">
      <c r="A773" s="142"/>
      <c r="B773" s="142"/>
      <c r="C773" s="292"/>
      <c r="D773" s="297"/>
      <c r="E773" s="297"/>
      <c r="F773" s="297"/>
      <c r="G773" s="297"/>
    </row>
    <row r="774" spans="1:7">
      <c r="A774" s="1041" t="s">
        <v>517</v>
      </c>
      <c r="B774" s="1041"/>
      <c r="C774" s="1041"/>
      <c r="D774" s="1041"/>
      <c r="E774" s="1041"/>
      <c r="F774" s="1041"/>
      <c r="G774" s="1041"/>
    </row>
    <row r="775" spans="1:7">
      <c r="A775" s="142"/>
      <c r="B775" s="142"/>
    </row>
    <row r="776" spans="1:7">
      <c r="A776" s="142"/>
      <c r="B776" s="987" t="s">
        <v>513</v>
      </c>
      <c r="C776" s="987"/>
      <c r="D776" s="987"/>
      <c r="E776" s="987"/>
      <c r="F776" s="987"/>
    </row>
    <row r="777" spans="1:7">
      <c r="A777" s="292"/>
      <c r="B777" s="292"/>
      <c r="C777" s="292"/>
      <c r="D777" s="284"/>
      <c r="F777" s="297"/>
    </row>
    <row r="778" spans="1:7">
      <c r="A778" s="1041" t="s">
        <v>518</v>
      </c>
      <c r="B778" s="1041"/>
      <c r="C778" s="1041"/>
      <c r="D778" s="1041"/>
      <c r="E778" s="1041"/>
      <c r="F778" s="1041"/>
      <c r="G778" s="1041"/>
    </row>
    <row r="779" spans="1:7">
      <c r="A779" s="142"/>
      <c r="B779" s="142"/>
    </row>
    <row r="780" spans="1:7">
      <c r="A780" s="142"/>
      <c r="B780" s="987" t="s">
        <v>513</v>
      </c>
      <c r="C780" s="987"/>
      <c r="D780" s="987"/>
      <c r="E780" s="987"/>
      <c r="F780" s="987"/>
    </row>
    <row r="781" spans="1:7">
      <c r="A781" s="292"/>
      <c r="B781" s="292"/>
      <c r="C781" s="292"/>
      <c r="D781" s="284"/>
      <c r="F781" s="297"/>
    </row>
    <row r="782" spans="1:7">
      <c r="A782" s="1041" t="s">
        <v>519</v>
      </c>
      <c r="B782" s="1041"/>
      <c r="C782" s="1041"/>
      <c r="D782" s="1041"/>
      <c r="E782" s="1041"/>
      <c r="F782" s="1041"/>
      <c r="G782" s="1041"/>
    </row>
    <row r="783" spans="1:7">
      <c r="A783" s="142"/>
      <c r="B783" s="142"/>
    </row>
    <row r="784" spans="1:7">
      <c r="A784" s="142"/>
      <c r="B784" s="987" t="s">
        <v>513</v>
      </c>
      <c r="C784" s="987"/>
      <c r="D784" s="987"/>
      <c r="E784" s="987"/>
      <c r="F784" s="987"/>
    </row>
    <row r="785" spans="1:7">
      <c r="A785" s="291"/>
      <c r="B785" s="291"/>
      <c r="C785" s="291"/>
      <c r="D785" s="303"/>
      <c r="E785" s="61"/>
      <c r="F785" s="61"/>
      <c r="G785" s="61"/>
    </row>
    <row r="786" spans="1:7">
      <c r="A786" s="1041" t="s">
        <v>204</v>
      </c>
      <c r="B786" s="1041"/>
      <c r="C786" s="1041"/>
      <c r="D786" s="1041"/>
      <c r="E786" s="1041"/>
      <c r="F786" s="1041"/>
      <c r="G786" s="1041"/>
    </row>
    <row r="787" spans="1:7">
      <c r="A787" s="142"/>
      <c r="B787" s="142"/>
    </row>
    <row r="788" spans="1:7">
      <c r="A788" s="142"/>
      <c r="B788" s="987" t="s">
        <v>513</v>
      </c>
      <c r="C788" s="987"/>
      <c r="D788" s="987"/>
      <c r="E788" s="987"/>
      <c r="F788" s="987"/>
    </row>
    <row r="789" spans="1:7">
      <c r="A789" s="142"/>
      <c r="B789" s="142"/>
      <c r="D789" s="284"/>
    </row>
    <row r="790" spans="1:7">
      <c r="A790" s="1041" t="s">
        <v>1001</v>
      </c>
      <c r="B790" s="1041"/>
      <c r="C790" s="1041"/>
      <c r="D790" s="1041"/>
      <c r="E790" s="1041"/>
      <c r="F790" s="1041"/>
      <c r="G790" s="1041"/>
    </row>
    <row r="791" spans="1:7">
      <c r="A791" s="142"/>
      <c r="B791" s="142"/>
    </row>
    <row r="792" spans="1:7">
      <c r="A792" s="142"/>
      <c r="B792" s="987" t="s">
        <v>513</v>
      </c>
      <c r="C792" s="987"/>
      <c r="D792" s="987"/>
      <c r="E792" s="987"/>
      <c r="F792" s="987"/>
      <c r="G792" s="15"/>
    </row>
    <row r="793" spans="1:7">
      <c r="A793" s="281"/>
      <c r="B793" s="745"/>
      <c r="C793" s="281"/>
      <c r="E793" s="15"/>
      <c r="F793" s="15"/>
      <c r="G793" s="15"/>
    </row>
    <row r="794" spans="1:7" ht="14.25">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5" sqref="A5"/>
    </sheetView>
  </sheetViews>
  <sheetFormatPr defaultColWidth="0" defaultRowHeight="12.4" customHeight="1" zeroHeight="1"/>
  <cols>
    <col min="1" max="10" width="9.140625" style="794" customWidth="1"/>
    <col min="11" max="16384" width="8.85546875" style="794" hidden="1"/>
  </cols>
  <sheetData>
    <row r="1" spans="1:10" ht="14.25" customHeight="1"/>
    <row r="2" spans="1:10" ht="15.75">
      <c r="A2" s="1050" t="s">
        <v>1573</v>
      </c>
      <c r="B2" s="1051"/>
      <c r="C2" s="1051"/>
      <c r="D2" s="1051"/>
      <c r="E2" s="1051"/>
      <c r="F2" s="1051"/>
      <c r="G2" s="1051"/>
      <c r="H2" s="1051"/>
      <c r="I2" s="1051"/>
      <c r="J2" s="1051"/>
    </row>
    <row r="3" spans="1:10" ht="15.75">
      <c r="A3" s="1055" t="s">
        <v>731</v>
      </c>
      <c r="B3" s="1056"/>
      <c r="C3" s="1056"/>
      <c r="D3" s="1056"/>
      <c r="E3" s="1056"/>
      <c r="F3" s="1056"/>
      <c r="G3" s="1056"/>
      <c r="H3" s="1056"/>
      <c r="I3" s="1056"/>
      <c r="J3" s="1056"/>
    </row>
    <row r="4" spans="1:10" ht="15">
      <c r="A4" s="1057" t="s">
        <v>1539</v>
      </c>
      <c r="B4" s="1056"/>
      <c r="C4" s="1056"/>
      <c r="D4" s="1056"/>
      <c r="E4" s="1056"/>
      <c r="F4" s="1056"/>
      <c r="G4" s="1056"/>
      <c r="H4" s="1056"/>
      <c r="I4" s="1056"/>
      <c r="J4" s="1056"/>
    </row>
    <row r="5" spans="1:10" ht="12.75"/>
    <row r="6" spans="1:10" ht="12.75">
      <c r="A6" s="1052" t="s">
        <v>1516</v>
      </c>
      <c r="B6" s="1053"/>
      <c r="C6" s="1053"/>
      <c r="D6" s="1053"/>
      <c r="E6" s="1053"/>
      <c r="F6" s="1053"/>
      <c r="G6" s="1053"/>
      <c r="H6" s="1053"/>
      <c r="I6" s="1053"/>
      <c r="J6" s="1053"/>
    </row>
    <row r="7" spans="1:10" ht="12.75">
      <c r="A7" s="1053"/>
      <c r="B7" s="1053"/>
      <c r="C7" s="1053"/>
      <c r="D7" s="1053"/>
      <c r="E7" s="1053"/>
      <c r="F7" s="1053"/>
      <c r="G7" s="1053"/>
      <c r="H7" s="1053"/>
      <c r="I7" s="1053"/>
      <c r="J7" s="1053"/>
    </row>
    <row r="8" spans="1:10" ht="12.75">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2.75">
      <c r="A10" s="845"/>
      <c r="B10" s="845"/>
      <c r="C10" s="845"/>
      <c r="D10" s="845"/>
      <c r="E10" s="845"/>
      <c r="F10" s="845"/>
      <c r="G10" s="845"/>
      <c r="H10" s="845"/>
      <c r="I10" s="845"/>
      <c r="J10" s="845"/>
    </row>
    <row r="11" spans="1:10" ht="12.75">
      <c r="A11" s="1058" t="s">
        <v>1517</v>
      </c>
      <c r="B11" s="1059"/>
      <c r="C11" s="1059"/>
      <c r="D11" s="1059"/>
      <c r="E11" s="1059"/>
      <c r="F11" s="1059"/>
      <c r="G11" s="1059"/>
      <c r="H11" s="1059"/>
      <c r="I11" s="1059"/>
      <c r="J11" s="1059"/>
    </row>
    <row r="12" spans="1:10" ht="12.75">
      <c r="A12" s="1059"/>
      <c r="B12" s="1059"/>
      <c r="C12" s="1059"/>
      <c r="D12" s="1059"/>
      <c r="E12" s="1059"/>
      <c r="F12" s="1059"/>
      <c r="G12" s="1059"/>
      <c r="H12" s="1059"/>
      <c r="I12" s="1059"/>
      <c r="J12" s="1059"/>
    </row>
    <row r="13" spans="1:10" ht="12.75">
      <c r="A13" s="1059"/>
      <c r="B13" s="1059"/>
      <c r="C13" s="1059"/>
      <c r="D13" s="1059"/>
      <c r="E13" s="1059"/>
      <c r="F13" s="1059"/>
      <c r="G13" s="1059"/>
      <c r="H13" s="1059"/>
      <c r="I13" s="1059"/>
      <c r="J13" s="1059"/>
    </row>
    <row r="14" spans="1:10" ht="12.75"/>
    <row r="15" spans="1:10" ht="12.75" customHeight="1">
      <c r="A15" s="1060" t="s">
        <v>1518</v>
      </c>
      <c r="B15" s="1060"/>
      <c r="C15" s="1060"/>
      <c r="D15" s="1060"/>
      <c r="E15" s="1060"/>
      <c r="F15" s="1060"/>
      <c r="G15" s="1060"/>
      <c r="H15" s="1060"/>
      <c r="I15" s="1060"/>
      <c r="J15" s="1060"/>
    </row>
    <row r="16" spans="1:10" ht="12.75">
      <c r="A16" s="1060"/>
      <c r="B16" s="1060"/>
      <c r="C16" s="1060"/>
      <c r="D16" s="1060"/>
      <c r="E16" s="1060"/>
      <c r="F16" s="1060"/>
      <c r="G16" s="1060"/>
      <c r="H16" s="1060"/>
      <c r="I16" s="1060"/>
      <c r="J16" s="1060"/>
    </row>
    <row r="17" spans="1:10" ht="12.75">
      <c r="A17" s="1060"/>
      <c r="B17" s="1060"/>
      <c r="C17" s="1060"/>
      <c r="D17" s="1060"/>
      <c r="E17" s="1060"/>
      <c r="F17" s="1060"/>
      <c r="G17" s="1060"/>
      <c r="H17" s="1060"/>
      <c r="I17" s="1060"/>
      <c r="J17" s="1060"/>
    </row>
    <row r="18" spans="1:10" ht="12.75">
      <c r="A18" s="1061"/>
      <c r="B18" s="1061"/>
      <c r="C18" s="1061"/>
      <c r="D18" s="1061"/>
      <c r="E18" s="1061"/>
      <c r="F18" s="1061"/>
      <c r="G18" s="1061"/>
      <c r="H18" s="1061"/>
      <c r="I18" s="1061"/>
      <c r="J18" s="1061"/>
    </row>
    <row r="19" spans="1:10" ht="12.75">
      <c r="A19" s="1061"/>
      <c r="B19" s="1061"/>
      <c r="C19" s="1061"/>
      <c r="D19" s="1061"/>
      <c r="E19" s="1061"/>
      <c r="F19" s="1061"/>
      <c r="G19" s="1061"/>
      <c r="H19" s="1061"/>
      <c r="I19" s="1061"/>
      <c r="J19" s="1061"/>
    </row>
    <row r="20" spans="1:10" ht="12.75">
      <c r="A20" s="1061"/>
      <c r="B20" s="1061"/>
      <c r="C20" s="1061"/>
      <c r="D20" s="1061"/>
      <c r="E20" s="1061"/>
      <c r="F20" s="1061"/>
      <c r="G20" s="1061"/>
      <c r="H20" s="1061"/>
      <c r="I20" s="1061"/>
      <c r="J20" s="1061"/>
    </row>
    <row r="21" spans="1:10" ht="12.75">
      <c r="A21" s="846" t="s">
        <v>1519</v>
      </c>
      <c r="B21" s="845"/>
      <c r="C21" s="845"/>
      <c r="D21" s="845"/>
      <c r="E21" s="845"/>
      <c r="F21" s="845"/>
      <c r="G21" s="845"/>
      <c r="H21" s="845"/>
      <c r="I21" s="845"/>
      <c r="J21" s="845"/>
    </row>
    <row r="22" spans="1:10" ht="12.75">
      <c r="A22" s="847" t="s">
        <v>270</v>
      </c>
      <c r="B22" s="847"/>
      <c r="C22" s="847"/>
      <c r="D22" s="847"/>
      <c r="E22" s="847"/>
      <c r="F22" s="847"/>
      <c r="G22" s="847"/>
      <c r="H22" s="847"/>
      <c r="I22" s="847"/>
      <c r="J22" s="847"/>
    </row>
    <row r="23" spans="1:10" ht="12.75">
      <c r="A23" s="1062" t="s">
        <v>1520</v>
      </c>
      <c r="B23" s="1056"/>
      <c r="C23" s="1056"/>
      <c r="D23" s="1056"/>
      <c r="E23" s="105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2" t="s">
        <v>1521</v>
      </c>
      <c r="B60" s="1053"/>
      <c r="C60" s="1053"/>
      <c r="D60" s="1053"/>
      <c r="E60" s="1053"/>
      <c r="F60" s="1053"/>
      <c r="G60" s="1053"/>
      <c r="H60" s="1053"/>
      <c r="I60" s="1053"/>
      <c r="J60" s="1053"/>
    </row>
    <row r="61" spans="1:10" ht="12.75">
      <c r="A61" s="1053"/>
      <c r="B61" s="1053"/>
      <c r="C61" s="1053"/>
      <c r="D61" s="1053"/>
      <c r="E61" s="1053"/>
      <c r="F61" s="1053"/>
      <c r="G61" s="1053"/>
      <c r="H61" s="1053"/>
      <c r="I61" s="1053"/>
      <c r="J61" s="1053"/>
    </row>
    <row r="62" spans="1:10" ht="12.75">
      <c r="A62" s="1053"/>
      <c r="B62" s="1053"/>
      <c r="C62" s="1053"/>
      <c r="D62" s="1053"/>
      <c r="E62" s="1053"/>
      <c r="F62" s="1053"/>
      <c r="G62" s="1053"/>
      <c r="H62" s="1053"/>
      <c r="I62" s="1053"/>
      <c r="J62" s="1053"/>
    </row>
    <row r="63" spans="1:10" ht="12.75"/>
    <row r="64" spans="1:10" ht="12.75">
      <c r="A64" s="744" t="s">
        <v>1520</v>
      </c>
    </row>
    <row r="65" spans="1:9" ht="12.75"/>
    <row r="66" spans="1:9" ht="12.75"/>
    <row r="67" spans="1:9" ht="12.75"/>
    <row r="68" spans="1:9" ht="12.75"/>
    <row r="69" spans="1:9" ht="12.75"/>
    <row r="70" spans="1:9" ht="12.75"/>
    <row r="71" spans="1:9" ht="12.75"/>
    <row r="72" spans="1:9" ht="12.75"/>
    <row r="73" spans="1:9" ht="12.75"/>
    <row r="74" spans="1:9" ht="12.75"/>
    <row r="75" spans="1:9" ht="12.75">
      <c r="A75" s="1054" t="s">
        <v>1522</v>
      </c>
      <c r="B75" s="1054"/>
      <c r="C75" s="1054"/>
      <c r="D75" s="1054"/>
      <c r="E75" s="1054"/>
      <c r="F75" s="1054"/>
      <c r="G75" s="1054"/>
      <c r="H75" s="1054"/>
      <c r="I75" s="1054"/>
    </row>
    <row r="76" spans="1:9" ht="12.75">
      <c r="A76" s="972" t="s">
        <v>1183</v>
      </c>
      <c r="B76" s="972"/>
      <c r="C76" s="972"/>
      <c r="D76" s="972"/>
      <c r="E76" s="972"/>
    </row>
    <row r="77" spans="1:9" ht="12.75">
      <c r="A77" s="972" t="s">
        <v>1523</v>
      </c>
      <c r="B77" s="972"/>
      <c r="C77" s="972"/>
      <c r="D77" s="972"/>
      <c r="E77" s="972"/>
    </row>
    <row r="78" spans="1:9" ht="12.75"/>
    <row r="79" spans="1:9" ht="12.75"/>
    <row r="80" spans="1:9" ht="12.75"/>
    <row r="81" ht="12.75"/>
    <row r="82" ht="12.4" customHeight="1"/>
    <row r="83" ht="12.4" customHeight="1"/>
  </sheetData>
  <sheetProtection password="E2FF"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04"/>
  <sheetViews>
    <sheetView showGridLines="0" zoomScaleNormal="100" zoomScaleSheetLayoutView="100" workbookViewId="0">
      <selection activeCell="B15" sqref="B15"/>
    </sheetView>
  </sheetViews>
  <sheetFormatPr defaultColWidth="0" defaultRowHeight="12.75" zeroHeight="1"/>
  <cols>
    <col min="1" max="1" width="3.5703125" style="862" customWidth="1"/>
    <col min="2" max="2" width="13.5703125" style="862" customWidth="1"/>
    <col min="3" max="3" width="2.5703125" style="862" customWidth="1"/>
    <col min="4" max="5" width="3.5703125" style="863" customWidth="1"/>
    <col min="6" max="6" width="65.5703125" style="863" customWidth="1"/>
    <col min="7" max="7" width="1.5703125" style="863" customWidth="1"/>
    <col min="8" max="8" width="3.5703125" style="864" hidden="1" customWidth="1"/>
    <col min="9" max="9" width="14" style="864" hidden="1" customWidth="1"/>
    <col min="10" max="16384" width="8.85546875" style="864" hidden="1"/>
  </cols>
  <sheetData>
    <row r="1" spans="1:9"/>
    <row r="2" spans="1:9">
      <c r="A2" s="1067" t="s">
        <v>1540</v>
      </c>
      <c r="B2" s="1067"/>
      <c r="C2" s="1068"/>
      <c r="D2" s="1068"/>
      <c r="E2" s="1068"/>
      <c r="F2" s="1068"/>
      <c r="G2" s="1068"/>
    </row>
    <row r="3" spans="1:9">
      <c r="A3" s="1075" t="s">
        <v>1541</v>
      </c>
      <c r="B3" s="1075"/>
      <c r="C3" s="1076"/>
      <c r="D3" s="1076"/>
      <c r="E3" s="1076"/>
      <c r="F3" s="1076"/>
      <c r="G3" s="1076"/>
      <c r="I3" s="765" t="s">
        <v>1258</v>
      </c>
    </row>
    <row r="4" spans="1:9">
      <c r="A4" s="1075" t="s">
        <v>1542</v>
      </c>
      <c r="B4" s="1075"/>
      <c r="C4" s="1076"/>
      <c r="D4" s="1076"/>
      <c r="E4" s="1076"/>
      <c r="F4" s="1076"/>
      <c r="G4" s="1076"/>
      <c r="I4" s="765"/>
    </row>
    <row r="5" spans="1:9" s="865" customFormat="1">
      <c r="A5" s="1071"/>
      <c r="B5" s="1071"/>
      <c r="C5" s="1072"/>
      <c r="D5" s="1072"/>
      <c r="E5" s="1072"/>
      <c r="F5" s="1072"/>
      <c r="G5" s="1072"/>
      <c r="I5" s="765" t="s">
        <v>1259</v>
      </c>
    </row>
    <row r="6" spans="1:9" s="865" customFormat="1">
      <c r="A6" s="1069" t="s">
        <v>1368</v>
      </c>
      <c r="B6" s="1069"/>
      <c r="C6" s="1070"/>
      <c r="D6" s="1070"/>
      <c r="E6" s="1070"/>
      <c r="F6" s="1070"/>
      <c r="G6" s="1070"/>
    </row>
    <row r="7" spans="1:9" s="865" customFormat="1">
      <c r="A7" s="1069" t="s">
        <v>1369</v>
      </c>
      <c r="B7" s="1069"/>
      <c r="C7" s="1070"/>
      <c r="D7" s="1070"/>
      <c r="E7" s="1070"/>
      <c r="F7" s="1070"/>
      <c r="G7" s="1070"/>
    </row>
    <row r="8" spans="1:9">
      <c r="A8" s="866"/>
      <c r="B8" s="866"/>
      <c r="C8" s="867"/>
      <c r="D8" s="867"/>
      <c r="E8" s="867"/>
      <c r="F8" s="867"/>
    </row>
    <row r="9" spans="1:9">
      <c r="A9" s="1028" t="s">
        <v>1371</v>
      </c>
      <c r="B9" s="1028"/>
      <c r="C9" s="1028"/>
      <c r="D9" s="1028"/>
      <c r="E9" s="1028"/>
      <c r="F9" s="1028"/>
      <c r="G9" s="1028"/>
    </row>
    <row r="10" spans="1:9">
      <c r="A10" s="867"/>
      <c r="B10" s="867"/>
      <c r="E10" s="868"/>
    </row>
    <row r="11" spans="1:9" ht="13.7" customHeight="1">
      <c r="C11" s="867"/>
      <c r="D11" s="1090" t="s">
        <v>1370</v>
      </c>
      <c r="E11" s="1090"/>
      <c r="F11" s="1090"/>
    </row>
    <row r="12" spans="1:9">
      <c r="C12" s="867"/>
      <c r="D12" s="1090"/>
      <c r="E12" s="1090"/>
      <c r="F12" s="1090"/>
    </row>
    <row r="13" spans="1:9">
      <c r="A13" s="869"/>
      <c r="B13" s="869"/>
      <c r="C13" s="869"/>
      <c r="D13" s="1012" t="s">
        <v>1353</v>
      </c>
      <c r="E13" s="1012"/>
      <c r="F13" s="1012"/>
    </row>
    <row r="14" spans="1:9">
      <c r="A14" s="869"/>
      <c r="B14" s="869"/>
      <c r="C14" s="869"/>
      <c r="D14" s="870"/>
    </row>
    <row r="15" spans="1:9" ht="14.25">
      <c r="A15" s="871"/>
      <c r="B15" s="872" t="s">
        <v>333</v>
      </c>
      <c r="C15" s="873"/>
      <c r="D15" s="1010" t="s">
        <v>1354</v>
      </c>
      <c r="E15" s="1010"/>
      <c r="F15" s="1010"/>
    </row>
    <row r="16" spans="1:9">
      <c r="A16" s="869"/>
      <c r="B16" s="869"/>
      <c r="C16" s="873"/>
      <c r="D16" s="1010"/>
      <c r="E16" s="1010"/>
      <c r="F16" s="1010"/>
    </row>
    <row r="17" spans="1:7">
      <c r="A17" s="869"/>
      <c r="B17" s="869"/>
      <c r="C17" s="873"/>
      <c r="D17" s="1010"/>
      <c r="E17" s="1010"/>
      <c r="F17" s="1010"/>
    </row>
    <row r="18" spans="1:7">
      <c r="A18" s="869"/>
      <c r="B18" s="869"/>
      <c r="C18" s="869"/>
    </row>
    <row r="19" spans="1:7" ht="14.25">
      <c r="A19" s="871"/>
      <c r="B19" s="872" t="s">
        <v>333</v>
      </c>
      <c r="D19" s="1036" t="s">
        <v>1355</v>
      </c>
      <c r="E19" s="1036"/>
      <c r="F19" s="1036"/>
    </row>
    <row r="20" spans="1:7" ht="14.25">
      <c r="A20" s="871"/>
      <c r="B20" s="871"/>
      <c r="D20" s="874"/>
    </row>
    <row r="21" spans="1:7" ht="14.25">
      <c r="A21" s="871"/>
      <c r="B21" s="872" t="s">
        <v>333</v>
      </c>
      <c r="D21" s="1010" t="s">
        <v>1356</v>
      </c>
      <c r="E21" s="1010"/>
      <c r="F21" s="1010"/>
    </row>
    <row r="22" spans="1:7" ht="14.25">
      <c r="A22" s="871"/>
      <c r="B22" s="871"/>
      <c r="D22" s="1010"/>
      <c r="E22" s="1010"/>
      <c r="F22" s="1010"/>
    </row>
    <row r="23" spans="1:7"/>
    <row r="24" spans="1:7" ht="14.25">
      <c r="A24" s="871"/>
      <c r="B24" s="872" t="s">
        <v>333</v>
      </c>
      <c r="D24" s="1064" t="s">
        <v>1357</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65" customFormat="1">
      <c r="A29" s="875"/>
      <c r="B29" s="875"/>
      <c r="C29" s="875"/>
      <c r="D29" s="805"/>
      <c r="E29" s="876"/>
      <c r="F29" s="876"/>
      <c r="G29" s="876"/>
    </row>
    <row r="30" spans="1:7" s="865" customFormat="1">
      <c r="A30" s="875"/>
      <c r="B30" s="872" t="s">
        <v>333</v>
      </c>
      <c r="C30" s="875"/>
      <c r="D30" s="1011" t="s">
        <v>1358</v>
      </c>
      <c r="E30" s="1011"/>
      <c r="F30" s="1011"/>
      <c r="G30" s="876"/>
    </row>
    <row r="31" spans="1:7" s="865" customFormat="1">
      <c r="A31" s="875"/>
      <c r="B31" s="875"/>
      <c r="C31" s="875"/>
      <c r="D31" s="1011"/>
      <c r="E31" s="1011"/>
      <c r="F31" s="1011"/>
      <c r="G31" s="876"/>
    </row>
    <row r="32" spans="1:7" ht="14.25">
      <c r="A32" s="871"/>
      <c r="B32" s="871"/>
      <c r="D32" s="877"/>
    </row>
    <row r="33" spans="1:6" ht="14.45" customHeight="1">
      <c r="A33" s="871"/>
      <c r="B33" s="872" t="s">
        <v>333</v>
      </c>
      <c r="D33" s="1011" t="s">
        <v>1574</v>
      </c>
      <c r="E33" s="1011"/>
      <c r="F33" s="1011"/>
    </row>
    <row r="34" spans="1:6" ht="14.25">
      <c r="A34" s="871"/>
      <c r="B34" s="871"/>
      <c r="D34" s="1011"/>
      <c r="E34" s="1011"/>
      <c r="F34" s="1011"/>
    </row>
    <row r="35" spans="1:6" ht="14.25">
      <c r="A35" s="871"/>
      <c r="B35" s="871"/>
      <c r="D35" s="1011"/>
      <c r="E35" s="1011"/>
      <c r="F35" s="1011"/>
    </row>
    <row r="36" spans="1:6" ht="14.25">
      <c r="A36" s="871"/>
      <c r="B36" s="871"/>
      <c r="D36" s="1011"/>
      <c r="E36" s="1011"/>
      <c r="F36" s="1011"/>
    </row>
    <row r="37" spans="1:6" ht="14.25">
      <c r="A37" s="871"/>
      <c r="B37" s="871"/>
      <c r="D37" s="864"/>
    </row>
    <row r="38" spans="1:6" ht="14.25">
      <c r="A38" s="871"/>
      <c r="B38" s="872" t="s">
        <v>333</v>
      </c>
      <c r="D38" s="1011" t="s">
        <v>1360</v>
      </c>
      <c r="E38" s="1011"/>
      <c r="F38" s="1011"/>
    </row>
    <row r="39" spans="1:6" ht="14.25">
      <c r="A39" s="871"/>
      <c r="B39" s="871"/>
      <c r="D39" s="1011"/>
      <c r="E39" s="1011"/>
      <c r="F39" s="1011"/>
    </row>
    <row r="40" spans="1:6" ht="14.25">
      <c r="A40" s="871"/>
      <c r="B40" s="871"/>
      <c r="D40" s="1011"/>
      <c r="E40" s="1011"/>
      <c r="F40" s="1011"/>
    </row>
    <row r="41" spans="1:6" ht="14.25">
      <c r="A41" s="871"/>
      <c r="B41" s="871"/>
      <c r="D41" s="1011"/>
      <c r="E41" s="1011"/>
      <c r="F41" s="1011"/>
    </row>
    <row r="42" spans="1:6" ht="14.25">
      <c r="A42" s="871"/>
      <c r="B42" s="871"/>
      <c r="D42" s="1011"/>
      <c r="E42" s="1011"/>
      <c r="F42" s="1011"/>
    </row>
    <row r="43" spans="1:6" ht="14.25">
      <c r="A43" s="871"/>
      <c r="B43" s="871"/>
      <c r="D43" s="854"/>
      <c r="E43" s="854"/>
      <c r="F43" s="854"/>
    </row>
    <row r="44" spans="1:6" ht="14.25">
      <c r="A44" s="871"/>
      <c r="B44" s="872" t="s">
        <v>333</v>
      </c>
      <c r="D44" s="1011" t="s">
        <v>1361</v>
      </c>
      <c r="E44" s="1011"/>
      <c r="F44" s="1011"/>
    </row>
    <row r="45" spans="1:6" ht="14.25">
      <c r="A45" s="871"/>
      <c r="B45" s="871"/>
      <c r="D45" s="1011"/>
      <c r="E45" s="1011"/>
      <c r="F45" s="1011"/>
    </row>
    <row r="46" spans="1:6" ht="14.25">
      <c r="A46" s="871"/>
      <c r="B46" s="871"/>
      <c r="D46" s="1011"/>
      <c r="E46" s="1011"/>
      <c r="F46" s="1011"/>
    </row>
    <row r="47" spans="1:6" ht="23.25" customHeight="1">
      <c r="A47" s="871"/>
      <c r="B47" s="871"/>
      <c r="D47" s="1011"/>
      <c r="E47" s="1011"/>
      <c r="F47" s="1011"/>
    </row>
    <row r="48" spans="1:6" ht="14.25">
      <c r="A48" s="871"/>
      <c r="B48" s="871"/>
      <c r="D48" s="859"/>
    </row>
    <row r="49" spans="1:7" ht="14.45" customHeight="1">
      <c r="A49" s="871"/>
      <c r="B49" s="872" t="s">
        <v>333</v>
      </c>
      <c r="D49" s="1011" t="s">
        <v>1362</v>
      </c>
      <c r="E49" s="1011"/>
      <c r="F49" s="1011"/>
    </row>
    <row r="50" spans="1:7" ht="14.25">
      <c r="A50" s="871"/>
      <c r="B50" s="871"/>
      <c r="D50" s="1011"/>
      <c r="E50" s="1011"/>
      <c r="F50" s="1011"/>
    </row>
    <row r="51" spans="1:7" ht="14.25">
      <c r="A51" s="871"/>
      <c r="B51" s="871"/>
      <c r="D51" s="1011"/>
      <c r="E51" s="1011"/>
      <c r="F51" s="1011"/>
    </row>
    <row r="52" spans="1:7" s="684" customFormat="1" ht="14.25">
      <c r="A52" s="871"/>
      <c r="B52" s="871"/>
      <c r="C52" s="878"/>
      <c r="D52" s="876"/>
      <c r="E52" s="765"/>
      <c r="F52" s="765"/>
      <c r="G52" s="765"/>
    </row>
    <row r="53" spans="1:7" s="684" customFormat="1" ht="14.25">
      <c r="A53" s="879"/>
      <c r="B53" s="872" t="s">
        <v>333</v>
      </c>
      <c r="C53" s="880"/>
      <c r="D53" s="1011" t="s">
        <v>1363</v>
      </c>
      <c r="E53" s="1011"/>
      <c r="F53" s="1011"/>
      <c r="G53" s="765"/>
    </row>
    <row r="54" spans="1:7" s="684" customFormat="1" ht="14.25">
      <c r="A54" s="879"/>
      <c r="B54" s="879"/>
      <c r="C54" s="880"/>
      <c r="D54" s="1011"/>
      <c r="E54" s="1011"/>
      <c r="F54" s="1011"/>
      <c r="G54" s="765"/>
    </row>
    <row r="55" spans="1:7" s="865" customFormat="1">
      <c r="A55" s="875"/>
      <c r="B55" s="875"/>
      <c r="C55" s="875"/>
      <c r="D55" s="805"/>
      <c r="E55" s="876"/>
      <c r="F55" s="876"/>
      <c r="G55" s="876"/>
    </row>
    <row r="56" spans="1:7" ht="14.25">
      <c r="A56" s="871"/>
      <c r="B56" s="872" t="s">
        <v>333</v>
      </c>
      <c r="D56" s="1011" t="s">
        <v>1364</v>
      </c>
      <c r="E56" s="1011"/>
      <c r="F56" s="1011"/>
    </row>
    <row r="57" spans="1:7">
      <c r="D57" s="1011"/>
      <c r="E57" s="1011"/>
      <c r="F57" s="1011"/>
    </row>
    <row r="58" spans="1:7">
      <c r="D58" s="1011"/>
      <c r="E58" s="1011"/>
      <c r="F58" s="1011"/>
    </row>
    <row r="59" spans="1:7">
      <c r="D59" s="765"/>
    </row>
    <row r="60" spans="1:7" ht="14.25">
      <c r="A60" s="871"/>
      <c r="B60" s="872" t="s">
        <v>333</v>
      </c>
      <c r="D60" s="1011" t="s">
        <v>1365</v>
      </c>
      <c r="E60" s="1011"/>
      <c r="F60" s="1011"/>
    </row>
    <row r="61" spans="1:7">
      <c r="D61" s="1011"/>
      <c r="E61" s="1011"/>
      <c r="F61" s="1011"/>
    </row>
    <row r="62" spans="1:7"/>
    <row r="63" spans="1:7" ht="14.25">
      <c r="A63" s="871"/>
      <c r="B63" s="872" t="s">
        <v>333</v>
      </c>
      <c r="D63" s="1011" t="s">
        <v>1366</v>
      </c>
      <c r="E63" s="1011"/>
      <c r="F63" s="1011"/>
    </row>
    <row r="64" spans="1:7">
      <c r="D64" s="1011"/>
      <c r="E64" s="1011"/>
      <c r="F64" s="1011"/>
    </row>
    <row r="65" spans="1:7">
      <c r="D65" s="1011"/>
      <c r="E65" s="1011"/>
      <c r="F65" s="1011"/>
    </row>
    <row r="66" spans="1:7">
      <c r="D66" s="864"/>
    </row>
    <row r="67" spans="1:7" ht="14.25">
      <c r="A67" s="871"/>
      <c r="B67" s="872" t="s">
        <v>333</v>
      </c>
      <c r="D67" s="1010" t="s">
        <v>1367</v>
      </c>
      <c r="E67" s="1010"/>
      <c r="F67" s="1010"/>
    </row>
    <row r="68" spans="1:7">
      <c r="D68" s="1010"/>
      <c r="E68" s="1010"/>
      <c r="F68" s="1010"/>
    </row>
    <row r="69" spans="1:7" ht="14.25">
      <c r="A69" s="871"/>
      <c r="B69" s="871"/>
      <c r="D69" s="874"/>
    </row>
    <row r="70" spans="1:7">
      <c r="A70" s="992" t="s">
        <v>1260</v>
      </c>
      <c r="B70" s="992"/>
      <c r="C70" s="992"/>
      <c r="D70" s="992"/>
      <c r="E70" s="992"/>
      <c r="F70" s="992"/>
      <c r="G70" s="992"/>
    </row>
    <row r="71" spans="1:7"/>
    <row r="72" spans="1:7">
      <c r="C72" s="881"/>
      <c r="D72" s="1081" t="s">
        <v>1372</v>
      </c>
      <c r="E72" s="1081"/>
      <c r="F72" s="1081"/>
    </row>
    <row r="73" spans="1:7">
      <c r="A73" s="874"/>
      <c r="B73" s="874"/>
      <c r="D73" s="1010" t="s">
        <v>1399</v>
      </c>
      <c r="E73" s="1010"/>
      <c r="F73" s="1010"/>
    </row>
    <row r="74" spans="1:7">
      <c r="A74" s="874"/>
      <c r="B74" s="874"/>
    </row>
    <row r="75" spans="1:7" ht="14.25">
      <c r="A75" s="871"/>
      <c r="B75" s="872" t="s">
        <v>333</v>
      </c>
      <c r="D75" s="1010" t="s">
        <v>1373</v>
      </c>
      <c r="E75" s="1010"/>
      <c r="F75" s="1010"/>
    </row>
    <row r="76" spans="1:7" ht="14.25">
      <c r="A76" s="871"/>
      <c r="B76" s="871"/>
      <c r="D76" s="1010"/>
      <c r="E76" s="1010"/>
      <c r="F76" s="1010"/>
    </row>
    <row r="77" spans="1:7" ht="14.25">
      <c r="A77" s="871"/>
      <c r="B77" s="871"/>
      <c r="D77" s="1010"/>
      <c r="E77" s="1010"/>
      <c r="F77" s="1010"/>
    </row>
    <row r="78" spans="1:7" ht="14.25">
      <c r="A78" s="871"/>
      <c r="B78" s="871"/>
      <c r="D78" s="1010"/>
      <c r="E78" s="1010"/>
      <c r="F78" s="1010"/>
    </row>
    <row r="79" spans="1:7" ht="14.25">
      <c r="A79" s="871"/>
      <c r="B79" s="871"/>
      <c r="D79" s="1010"/>
      <c r="E79" s="1010"/>
      <c r="F79" s="1010"/>
    </row>
    <row r="80" spans="1:7" ht="14.25">
      <c r="A80" s="871"/>
      <c r="B80" s="871"/>
      <c r="D80" s="1010"/>
      <c r="E80" s="1010"/>
      <c r="F80" s="1010"/>
    </row>
    <row r="81" spans="1:6" ht="14.25">
      <c r="A81" s="871"/>
      <c r="B81" s="871"/>
      <c r="D81" s="858"/>
      <c r="E81" s="858"/>
      <c r="F81" s="858"/>
    </row>
    <row r="82" spans="1:6" ht="14.45" customHeight="1">
      <c r="A82" s="871"/>
      <c r="B82" s="872" t="s">
        <v>333</v>
      </c>
      <c r="D82" s="1001" t="s">
        <v>1531</v>
      </c>
      <c r="E82" s="1001"/>
      <c r="F82" s="1001"/>
    </row>
    <row r="83" spans="1:6" ht="14.25">
      <c r="A83" s="871"/>
      <c r="B83" s="871"/>
      <c r="D83" s="1001"/>
      <c r="E83" s="1001"/>
      <c r="F83" s="1001"/>
    </row>
    <row r="84" spans="1:6" ht="14.25">
      <c r="A84" s="871"/>
      <c r="B84" s="871"/>
      <c r="D84" s="1001"/>
      <c r="E84" s="1001"/>
      <c r="F84" s="1001"/>
    </row>
    <row r="85" spans="1:6" ht="14.25">
      <c r="A85" s="871"/>
      <c r="B85" s="871"/>
      <c r="D85" s="1001"/>
      <c r="E85" s="1001"/>
      <c r="F85" s="1001"/>
    </row>
    <row r="86" spans="1:6" ht="14.25">
      <c r="A86" s="871"/>
      <c r="B86" s="871"/>
      <c r="D86" s="1001"/>
      <c r="E86" s="1001"/>
      <c r="F86" s="1001"/>
    </row>
    <row r="87" spans="1:6" ht="14.25">
      <c r="A87" s="871"/>
      <c r="B87" s="871"/>
      <c r="D87" s="1001"/>
      <c r="E87" s="1001"/>
      <c r="F87" s="1001"/>
    </row>
    <row r="88" spans="1:6" ht="14.25">
      <c r="A88" s="871"/>
      <c r="B88" s="871"/>
      <c r="D88" s="1001"/>
      <c r="E88" s="1001"/>
      <c r="F88" s="1001"/>
    </row>
    <row r="89" spans="1:6" ht="14.25">
      <c r="A89" s="871"/>
      <c r="B89" s="871"/>
      <c r="D89" s="1001"/>
      <c r="E89" s="1001"/>
      <c r="F89" s="1001"/>
    </row>
    <row r="90" spans="1:6" ht="14.25">
      <c r="A90" s="871"/>
      <c r="B90" s="871"/>
      <c r="D90" s="1001"/>
      <c r="E90" s="1001"/>
      <c r="F90" s="1001"/>
    </row>
    <row r="91" spans="1:6" ht="14.25">
      <c r="A91" s="871"/>
      <c r="B91" s="871"/>
      <c r="D91" s="1001"/>
      <c r="E91" s="1001"/>
      <c r="F91" s="1001"/>
    </row>
    <row r="92" spans="1:6" ht="14.25">
      <c r="A92" s="871"/>
      <c r="B92" s="871"/>
      <c r="D92" s="1001"/>
      <c r="E92" s="1001"/>
      <c r="F92" s="1001"/>
    </row>
    <row r="93" spans="1:6" ht="14.25">
      <c r="A93" s="871"/>
      <c r="B93" s="871"/>
      <c r="D93" s="1001"/>
      <c r="E93" s="1001"/>
      <c r="F93" s="1001"/>
    </row>
    <row r="94" spans="1:6" ht="14.25">
      <c r="A94" s="871"/>
      <c r="B94" s="871"/>
      <c r="D94" s="1001"/>
      <c r="E94" s="1001"/>
      <c r="F94" s="1001"/>
    </row>
    <row r="95" spans="1:6" ht="14.25">
      <c r="A95" s="871"/>
      <c r="B95" s="871"/>
      <c r="D95" s="1001"/>
      <c r="E95" s="1001"/>
      <c r="F95" s="1001"/>
    </row>
    <row r="96" spans="1:6" ht="14.25">
      <c r="A96" s="871"/>
      <c r="B96" s="872" t="s">
        <v>333</v>
      </c>
      <c r="D96" s="1010" t="s">
        <v>1374</v>
      </c>
      <c r="E96" s="1010"/>
      <c r="F96" s="1010"/>
    </row>
    <row r="97" spans="1:11" ht="14.25">
      <c r="A97" s="871"/>
      <c r="B97" s="871"/>
      <c r="D97" s="1010"/>
      <c r="E97" s="1010"/>
      <c r="F97" s="1010"/>
    </row>
    <row r="98" spans="1:11" ht="14.25">
      <c r="A98" s="871"/>
      <c r="B98" s="871"/>
      <c r="D98" s="1010"/>
      <c r="E98" s="1010"/>
      <c r="F98" s="1010"/>
    </row>
    <row r="99" spans="1:11" ht="14.25">
      <c r="A99" s="871"/>
      <c r="B99" s="871"/>
      <c r="D99" s="1010"/>
      <c r="E99" s="1010"/>
      <c r="F99" s="1010"/>
    </row>
    <row r="100" spans="1:11" ht="14.25">
      <c r="A100" s="871"/>
      <c r="B100" s="871"/>
      <c r="D100" s="1010"/>
      <c r="E100" s="1010"/>
      <c r="F100" s="1010"/>
    </row>
    <row r="101" spans="1:11" ht="14.25">
      <c r="A101" s="871"/>
      <c r="B101" s="871"/>
      <c r="D101" s="1010"/>
      <c r="E101" s="1010"/>
      <c r="F101" s="1010"/>
    </row>
    <row r="102" spans="1:11" ht="14.25">
      <c r="A102" s="871"/>
      <c r="B102" s="871"/>
      <c r="D102" s="1010"/>
      <c r="E102" s="1010"/>
      <c r="F102" s="1010"/>
    </row>
    <row r="103" spans="1:11" ht="14.25">
      <c r="A103" s="871"/>
      <c r="B103" s="871"/>
      <c r="D103" s="1010"/>
      <c r="E103" s="1010"/>
      <c r="F103" s="1010"/>
    </row>
    <row r="104" spans="1:11" ht="14.25">
      <c r="A104" s="871"/>
      <c r="B104" s="871"/>
      <c r="D104" s="858"/>
      <c r="E104" s="858"/>
      <c r="F104" s="858"/>
    </row>
    <row r="105" spans="1:11" ht="14.25">
      <c r="A105" s="879"/>
      <c r="B105" s="872" t="s">
        <v>333</v>
      </c>
      <c r="C105" s="882"/>
      <c r="D105" s="1082" t="s">
        <v>1375</v>
      </c>
      <c r="E105" s="1082"/>
      <c r="F105" s="1082"/>
      <c r="G105" s="883"/>
      <c r="H105" s="884"/>
      <c r="I105" s="884"/>
      <c r="J105" s="884"/>
      <c r="K105" s="884"/>
    </row>
    <row r="106" spans="1:11" ht="14.25">
      <c r="A106" s="871"/>
      <c r="B106" s="871"/>
      <c r="C106" s="885"/>
      <c r="D106" s="1082"/>
      <c r="E106" s="1082"/>
      <c r="F106" s="1082"/>
      <c r="G106" s="883"/>
      <c r="H106" s="884"/>
      <c r="I106" s="884"/>
      <c r="J106" s="884"/>
      <c r="K106" s="884"/>
    </row>
    <row r="107" spans="1:11" ht="14.25">
      <c r="A107" s="871"/>
      <c r="B107" s="871"/>
      <c r="C107" s="885"/>
      <c r="D107" s="1082"/>
      <c r="E107" s="1082"/>
      <c r="F107" s="1082"/>
      <c r="G107" s="883"/>
      <c r="H107" s="884"/>
      <c r="I107" s="884"/>
      <c r="J107" s="884"/>
      <c r="K107" s="884"/>
    </row>
    <row r="108" spans="1:11" ht="14.25">
      <c r="A108" s="871"/>
      <c r="B108" s="871"/>
      <c r="C108" s="885"/>
      <c r="D108" s="1082"/>
      <c r="E108" s="1082"/>
      <c r="F108" s="1082"/>
      <c r="G108" s="883"/>
      <c r="H108" s="884"/>
      <c r="I108" s="884"/>
      <c r="J108" s="884"/>
      <c r="K108" s="884"/>
    </row>
    <row r="109" spans="1:11" ht="14.25">
      <c r="A109" s="871"/>
      <c r="B109" s="871"/>
      <c r="C109" s="885"/>
      <c r="D109" s="1082"/>
      <c r="E109" s="1082"/>
      <c r="F109" s="1082"/>
      <c r="G109" s="883"/>
      <c r="H109" s="884"/>
      <c r="I109" s="884"/>
      <c r="J109" s="884"/>
      <c r="K109" s="884"/>
    </row>
    <row r="110" spans="1:11">
      <c r="C110" s="794"/>
      <c r="D110" s="1082"/>
      <c r="E110" s="1082"/>
      <c r="F110" s="1082"/>
      <c r="G110" s="794"/>
      <c r="H110" s="794"/>
      <c r="I110" s="794"/>
      <c r="J110" s="794"/>
      <c r="K110" s="794"/>
    </row>
    <row r="111" spans="1:11">
      <c r="C111" s="794"/>
      <c r="D111" s="1082"/>
      <c r="E111" s="1082"/>
      <c r="F111" s="1082"/>
      <c r="G111" s="794"/>
      <c r="H111" s="794"/>
      <c r="I111" s="794"/>
      <c r="J111" s="794"/>
      <c r="K111" s="794"/>
    </row>
    <row r="112" spans="1:11">
      <c r="C112" s="794"/>
      <c r="D112" s="886"/>
      <c r="E112" s="794"/>
      <c r="F112" s="794"/>
      <c r="G112" s="794"/>
      <c r="H112" s="794"/>
      <c r="I112" s="794"/>
      <c r="J112" s="794"/>
      <c r="K112" s="794"/>
    </row>
    <row r="113" spans="1:11" ht="14.25">
      <c r="A113" s="871"/>
      <c r="B113" s="872" t="s">
        <v>333</v>
      </c>
      <c r="C113" s="794"/>
      <c r="D113" s="1030" t="s">
        <v>1376</v>
      </c>
      <c r="E113" s="1030"/>
      <c r="F113" s="1030"/>
      <c r="G113" s="794"/>
      <c r="H113" s="794"/>
      <c r="I113" s="794"/>
      <c r="J113" s="794"/>
      <c r="K113" s="794"/>
    </row>
    <row r="114" spans="1:11" ht="14.25">
      <c r="A114" s="871"/>
      <c r="B114" s="871"/>
      <c r="C114" s="794"/>
      <c r="D114" s="1030"/>
      <c r="E114" s="1030"/>
      <c r="F114" s="1030"/>
      <c r="G114" s="794"/>
      <c r="H114" s="794"/>
      <c r="I114" s="794"/>
      <c r="J114" s="794"/>
      <c r="K114" s="794"/>
    </row>
    <row r="115" spans="1:11"/>
    <row r="116" spans="1:11" ht="14.25">
      <c r="A116" s="871"/>
      <c r="B116" s="872" t="s">
        <v>333</v>
      </c>
      <c r="C116" s="878"/>
      <c r="D116" s="1010" t="s">
        <v>1377</v>
      </c>
      <c r="E116" s="1010"/>
      <c r="F116" s="1010"/>
    </row>
    <row r="117" spans="1:11">
      <c r="C117" s="878"/>
      <c r="D117" s="1010"/>
      <c r="E117" s="1010"/>
      <c r="F117" s="1010"/>
    </row>
    <row r="118" spans="1:11">
      <c r="C118" s="878"/>
      <c r="D118" s="1010"/>
      <c r="E118" s="1010"/>
      <c r="F118" s="1010"/>
    </row>
    <row r="119" spans="1:11">
      <c r="C119" s="878"/>
      <c r="D119" s="1010"/>
      <c r="E119" s="1010"/>
      <c r="F119" s="1010"/>
    </row>
    <row r="120" spans="1:11">
      <c r="C120" s="878"/>
      <c r="D120" s="1010"/>
      <c r="E120" s="1010"/>
      <c r="F120" s="1010"/>
    </row>
    <row r="121" spans="1:11">
      <c r="C121" s="878"/>
      <c r="D121" s="744"/>
      <c r="E121" s="744"/>
      <c r="F121" s="744"/>
    </row>
    <row r="122" spans="1:11" s="794" customFormat="1" ht="14.25">
      <c r="A122" s="871"/>
      <c r="B122" s="872" t="s">
        <v>333</v>
      </c>
      <c r="C122" s="878"/>
      <c r="D122" s="1011" t="s">
        <v>1378</v>
      </c>
      <c r="E122" s="1011"/>
      <c r="F122" s="1011"/>
      <c r="G122" s="744"/>
    </row>
    <row r="123" spans="1:11" s="890" customFormat="1" ht="13.7" customHeight="1">
      <c r="A123" s="887"/>
      <c r="B123" s="887"/>
      <c r="C123" s="888"/>
      <c r="D123" s="1011"/>
      <c r="E123" s="1011"/>
      <c r="F123" s="1011"/>
      <c r="G123" s="889"/>
    </row>
    <row r="124" spans="1:11" s="794" customFormat="1" ht="13.7" customHeight="1">
      <c r="A124" s="862"/>
      <c r="B124" s="862"/>
      <c r="C124" s="878"/>
      <c r="D124" s="1011"/>
      <c r="E124" s="1011"/>
      <c r="F124" s="1011"/>
      <c r="G124" s="744"/>
    </row>
    <row r="125" spans="1:11" s="794" customFormat="1" ht="13.7" customHeight="1">
      <c r="A125" s="862"/>
      <c r="B125" s="862"/>
      <c r="C125" s="878"/>
      <c r="D125" s="1011"/>
      <c r="E125" s="1011"/>
      <c r="F125" s="1011"/>
      <c r="G125" s="744"/>
    </row>
    <row r="126" spans="1:11" s="794" customFormat="1" ht="13.7" customHeight="1">
      <c r="A126" s="862"/>
      <c r="B126" s="862"/>
      <c r="C126" s="878"/>
      <c r="D126" s="1011"/>
      <c r="E126" s="1011"/>
      <c r="F126" s="1011"/>
      <c r="G126" s="744"/>
    </row>
    <row r="127" spans="1:11" s="794" customFormat="1" ht="13.7" customHeight="1">
      <c r="A127" s="891"/>
      <c r="B127" s="891"/>
      <c r="C127" s="878"/>
      <c r="D127" s="1011"/>
      <c r="E127" s="1011"/>
      <c r="F127" s="1011"/>
      <c r="G127" s="744"/>
    </row>
    <row r="128" spans="1:11" s="684" customFormat="1" ht="13.7" customHeight="1">
      <c r="A128" s="875"/>
      <c r="B128" s="875"/>
      <c r="C128" s="880"/>
      <c r="D128" s="1011"/>
      <c r="E128" s="1011"/>
      <c r="F128" s="1011"/>
      <c r="G128" s="765"/>
    </row>
    <row r="129" spans="1:7" s="684" customFormat="1" ht="13.7" customHeight="1">
      <c r="A129" s="875"/>
      <c r="B129" s="875"/>
      <c r="C129" s="880"/>
      <c r="D129" s="1011"/>
      <c r="E129" s="1011"/>
      <c r="F129" s="1011"/>
      <c r="G129" s="765"/>
    </row>
    <row r="130" spans="1:7" s="794" customFormat="1" ht="13.7" customHeight="1">
      <c r="A130" s="862"/>
      <c r="B130" s="862"/>
      <c r="C130" s="878"/>
      <c r="D130" s="1011"/>
      <c r="E130" s="1011"/>
      <c r="F130" s="1011"/>
      <c r="G130" s="744"/>
    </row>
    <row r="131" spans="1:7" s="794" customFormat="1" ht="13.7" customHeight="1">
      <c r="A131" s="862"/>
      <c r="B131" s="862"/>
      <c r="C131" s="878"/>
      <c r="D131" s="1011"/>
      <c r="E131" s="1011"/>
      <c r="F131" s="1011"/>
      <c r="G131" s="744"/>
    </row>
    <row r="132" spans="1:7" s="794" customFormat="1" ht="13.7" customHeight="1">
      <c r="A132" s="862"/>
      <c r="B132" s="862"/>
      <c r="C132" s="878"/>
      <c r="D132" s="1011"/>
      <c r="E132" s="1011"/>
      <c r="F132" s="1011"/>
      <c r="G132" s="744"/>
    </row>
    <row r="133" spans="1:7" s="794" customFormat="1" ht="13.7" customHeight="1">
      <c r="A133" s="862"/>
      <c r="B133" s="862"/>
      <c r="C133" s="878"/>
      <c r="D133" s="1011"/>
      <c r="E133" s="1011"/>
      <c r="F133" s="1011"/>
      <c r="G133" s="744"/>
    </row>
    <row r="134" spans="1:7" s="794" customFormat="1" ht="13.7" customHeight="1">
      <c r="A134" s="862"/>
      <c r="B134" s="862"/>
      <c r="C134" s="878"/>
      <c r="D134" s="870"/>
      <c r="E134" s="859"/>
      <c r="F134" s="859"/>
      <c r="G134" s="744"/>
    </row>
    <row r="135" spans="1:7" s="794" customFormat="1" ht="13.7" customHeight="1">
      <c r="A135" s="862"/>
      <c r="B135" s="872" t="s">
        <v>333</v>
      </c>
      <c r="C135" s="878"/>
      <c r="D135" s="1078" t="s">
        <v>1494</v>
      </c>
      <c r="E135" s="1078"/>
      <c r="F135" s="1078"/>
      <c r="G135" s="744"/>
    </row>
    <row r="136" spans="1:7" s="794" customFormat="1" ht="13.7" customHeight="1">
      <c r="A136" s="862"/>
      <c r="B136" s="862"/>
      <c r="C136" s="878"/>
      <c r="D136" s="1078"/>
      <c r="E136" s="1078"/>
      <c r="F136" s="1078"/>
      <c r="G136" s="744"/>
    </row>
    <row r="137" spans="1:7" s="794" customFormat="1" ht="13.7" customHeight="1">
      <c r="A137" s="862"/>
      <c r="B137" s="862"/>
      <c r="C137" s="878"/>
      <c r="D137" s="1078"/>
      <c r="E137" s="1078"/>
      <c r="F137" s="1078"/>
      <c r="G137" s="744"/>
    </row>
    <row r="138" spans="1:7" s="794" customFormat="1" ht="13.7" customHeight="1">
      <c r="A138" s="862"/>
      <c r="B138" s="862"/>
      <c r="C138" s="878"/>
      <c r="D138" s="1078"/>
      <c r="E138" s="1078"/>
      <c r="F138" s="1078"/>
      <c r="G138" s="744"/>
    </row>
    <row r="139" spans="1:7" s="794" customFormat="1" ht="13.7" customHeight="1">
      <c r="A139" s="862"/>
      <c r="B139" s="862"/>
      <c r="C139" s="878"/>
      <c r="D139" s="1078"/>
      <c r="E139" s="1078"/>
      <c r="F139" s="1078"/>
      <c r="G139" s="744"/>
    </row>
    <row r="140" spans="1:7" s="794" customFormat="1" ht="13.7" customHeight="1">
      <c r="A140" s="862"/>
      <c r="B140" s="862"/>
      <c r="C140" s="878"/>
      <c r="D140" s="1078"/>
      <c r="E140" s="1078"/>
      <c r="F140" s="1078"/>
      <c r="G140" s="744"/>
    </row>
    <row r="141" spans="1:7" s="794" customFormat="1" ht="13.7" customHeight="1">
      <c r="A141" s="862"/>
      <c r="B141" s="862"/>
      <c r="C141" s="878"/>
      <c r="D141" s="1078"/>
      <c r="E141" s="1078"/>
      <c r="F141" s="1078"/>
      <c r="G141" s="744"/>
    </row>
    <row r="142" spans="1:7" s="794" customFormat="1" ht="13.7" customHeight="1">
      <c r="A142" s="862"/>
      <c r="B142" s="862"/>
      <c r="C142" s="878"/>
      <c r="D142" s="1078"/>
      <c r="E142" s="1078"/>
      <c r="F142" s="1078"/>
      <c r="G142" s="744"/>
    </row>
    <row r="143" spans="1:7" s="794" customFormat="1" ht="13.7" customHeight="1">
      <c r="A143" s="862"/>
      <c r="B143" s="862"/>
      <c r="C143" s="878"/>
      <c r="D143" s="1078"/>
      <c r="E143" s="1078"/>
      <c r="F143" s="1078"/>
      <c r="G143" s="744"/>
    </row>
    <row r="144" spans="1:7" s="794" customFormat="1" ht="13.7" customHeight="1">
      <c r="A144" s="862"/>
      <c r="B144" s="862"/>
      <c r="C144" s="878"/>
      <c r="D144" s="1078"/>
      <c r="E144" s="1078"/>
      <c r="F144" s="1078"/>
      <c r="G144" s="744"/>
    </row>
    <row r="145" spans="1:7" s="794" customFormat="1" ht="13.7" customHeight="1">
      <c r="A145" s="862"/>
      <c r="B145" s="862"/>
      <c r="C145" s="878"/>
      <c r="D145" s="1078"/>
      <c r="E145" s="1078"/>
      <c r="F145" s="1078"/>
      <c r="G145" s="744"/>
    </row>
    <row r="146" spans="1:7" s="794" customFormat="1" ht="13.7" customHeight="1">
      <c r="A146" s="862"/>
      <c r="B146" s="862"/>
      <c r="C146" s="878"/>
      <c r="D146" s="1078"/>
      <c r="E146" s="1078"/>
      <c r="F146" s="1078"/>
      <c r="G146" s="744"/>
    </row>
    <row r="147" spans="1:7" s="794" customFormat="1" ht="13.7" customHeight="1">
      <c r="A147" s="862"/>
      <c r="B147" s="862"/>
      <c r="C147" s="878"/>
      <c r="D147" s="1078"/>
      <c r="E147" s="1078"/>
      <c r="F147" s="1078"/>
      <c r="G147" s="744"/>
    </row>
    <row r="148" spans="1:7" s="794" customFormat="1" ht="13.7" customHeight="1">
      <c r="A148" s="862"/>
      <c r="B148" s="862"/>
      <c r="C148" s="878"/>
      <c r="D148" s="1078"/>
      <c r="E148" s="1078"/>
      <c r="F148" s="1078"/>
      <c r="G148" s="744"/>
    </row>
    <row r="149" spans="1:7" s="794" customFormat="1" ht="13.7" customHeight="1">
      <c r="A149" s="862"/>
      <c r="B149" s="862"/>
      <c r="C149" s="878"/>
      <c r="D149" s="1078"/>
      <c r="E149" s="1078"/>
      <c r="F149" s="1078"/>
      <c r="G149" s="744"/>
    </row>
    <row r="150" spans="1:7" s="794" customFormat="1" ht="13.7" customHeight="1">
      <c r="A150" s="862"/>
      <c r="B150" s="862"/>
      <c r="C150" s="878"/>
      <c r="D150" s="1078"/>
      <c r="E150" s="1078"/>
      <c r="F150" s="1078"/>
      <c r="G150" s="744"/>
    </row>
    <row r="151" spans="1:7" s="794" customFormat="1" ht="13.7" customHeight="1">
      <c r="A151" s="862"/>
      <c r="B151" s="862"/>
      <c r="C151" s="878"/>
      <c r="D151" s="1078"/>
      <c r="E151" s="1078"/>
      <c r="F151" s="1078"/>
      <c r="G151" s="744"/>
    </row>
    <row r="152" spans="1:7" s="794" customFormat="1" ht="13.7" customHeight="1">
      <c r="A152" s="862"/>
      <c r="B152" s="862"/>
      <c r="C152" s="878"/>
      <c r="D152" s="1078"/>
      <c r="E152" s="1078"/>
      <c r="F152" s="1078"/>
      <c r="G152" s="744"/>
    </row>
    <row r="153" spans="1:7" s="794" customFormat="1" ht="13.7" customHeight="1">
      <c r="A153" s="862"/>
      <c r="B153" s="862"/>
      <c r="C153" s="878"/>
      <c r="D153" s="1079" t="s">
        <v>1547</v>
      </c>
      <c r="E153" s="1079"/>
      <c r="F153" s="1079"/>
      <c r="G153" s="941"/>
    </row>
    <row r="154" spans="1:7" s="794" customFormat="1" ht="13.7" customHeight="1">
      <c r="A154" s="862"/>
      <c r="B154" s="862"/>
      <c r="C154" s="878"/>
      <c r="D154" s="1077"/>
      <c r="E154" s="1077"/>
      <c r="F154" s="1077"/>
      <c r="G154" s="1077"/>
    </row>
    <row r="155" spans="1:7" s="794" customFormat="1" ht="14.45" customHeight="1">
      <c r="A155" s="891"/>
      <c r="B155" s="872" t="s">
        <v>333</v>
      </c>
      <c r="C155" s="892"/>
      <c r="D155" s="984" t="s">
        <v>1596</v>
      </c>
      <c r="E155" s="984"/>
      <c r="F155" s="984"/>
      <c r="G155" s="893"/>
    </row>
    <row r="156" spans="1:7" s="794" customFormat="1" ht="14.45" customHeight="1">
      <c r="A156" s="891"/>
      <c r="B156" s="891"/>
      <c r="C156" s="892"/>
      <c r="D156" s="984"/>
      <c r="E156" s="984"/>
      <c r="F156" s="984"/>
      <c r="G156" s="893"/>
    </row>
    <row r="157" spans="1:7" s="794" customFormat="1" ht="13.7" customHeight="1">
      <c r="A157" s="891"/>
      <c r="B157" s="891"/>
      <c r="C157" s="892"/>
      <c r="D157" s="984"/>
      <c r="E157" s="984"/>
      <c r="F157" s="984"/>
      <c r="G157" s="893"/>
    </row>
    <row r="158" spans="1:7" s="794" customFormat="1" ht="13.7" customHeight="1">
      <c r="A158" s="891"/>
      <c r="B158" s="891"/>
      <c r="C158" s="892"/>
      <c r="D158" s="870"/>
      <c r="E158" s="892"/>
      <c r="F158" s="892"/>
      <c r="G158" s="893"/>
    </row>
    <row r="159" spans="1:7" s="794" customFormat="1" ht="13.7" customHeight="1">
      <c r="A159" s="891"/>
      <c r="B159" s="872" t="s">
        <v>333</v>
      </c>
      <c r="C159" s="892"/>
      <c r="D159" s="982" t="s">
        <v>1380</v>
      </c>
      <c r="E159" s="982"/>
      <c r="F159" s="982"/>
      <c r="G159" s="893"/>
    </row>
    <row r="160" spans="1:7" s="794" customFormat="1" ht="13.7" customHeight="1">
      <c r="A160" s="891"/>
      <c r="B160" s="891"/>
      <c r="C160" s="892"/>
      <c r="D160" s="982"/>
      <c r="E160" s="982"/>
      <c r="F160" s="982"/>
      <c r="G160" s="893"/>
    </row>
    <row r="161" spans="1:7" s="794" customFormat="1" ht="13.7" customHeight="1">
      <c r="A161" s="891"/>
      <c r="B161" s="891"/>
      <c r="C161" s="892"/>
      <c r="D161" s="982"/>
      <c r="E161" s="982"/>
      <c r="F161" s="982"/>
      <c r="G161" s="893"/>
    </row>
    <row r="162" spans="1:7" s="794" customFormat="1" ht="13.7" customHeight="1">
      <c r="A162" s="891"/>
      <c r="B162" s="891"/>
      <c r="C162" s="892"/>
      <c r="D162" s="982"/>
      <c r="E162" s="982"/>
      <c r="F162" s="982"/>
      <c r="G162" s="893"/>
    </row>
    <row r="163" spans="1:7" s="794" customFormat="1" ht="13.7" customHeight="1">
      <c r="A163" s="862"/>
      <c r="B163" s="862"/>
      <c r="C163" s="878"/>
      <c r="D163" s="859"/>
      <c r="E163" s="859"/>
      <c r="F163" s="859"/>
      <c r="G163" s="744"/>
    </row>
    <row r="164" spans="1:7" s="794" customFormat="1" ht="13.7" customHeight="1">
      <c r="A164" s="862"/>
      <c r="B164" s="872" t="s">
        <v>333</v>
      </c>
      <c r="C164" s="878"/>
      <c r="D164" s="1015" t="s">
        <v>1381</v>
      </c>
      <c r="E164" s="1015"/>
      <c r="F164" s="1015"/>
      <c r="G164" s="744"/>
    </row>
    <row r="165" spans="1:7" s="794" customFormat="1" ht="13.7" customHeight="1">
      <c r="A165" s="862"/>
      <c r="B165" s="862"/>
      <c r="C165" s="878"/>
      <c r="D165" s="1015"/>
      <c r="E165" s="1015"/>
      <c r="F165" s="1015"/>
      <c r="G165" s="744"/>
    </row>
    <row r="166" spans="1:7" s="794" customFormat="1" ht="13.7" customHeight="1">
      <c r="A166" s="862"/>
      <c r="B166" s="862"/>
      <c r="C166" s="878"/>
      <c r="D166" s="1015"/>
      <c r="E166" s="1015"/>
      <c r="F166" s="1015"/>
      <c r="G166" s="744"/>
    </row>
    <row r="167" spans="1:7" s="794" customFormat="1" ht="13.7" customHeight="1">
      <c r="A167" s="894"/>
      <c r="B167" s="894"/>
      <c r="C167" s="878"/>
      <c r="D167" s="863"/>
      <c r="E167" s="859"/>
      <c r="F167" s="859"/>
      <c r="G167" s="744"/>
    </row>
    <row r="168" spans="1:7">
      <c r="A168" s="992" t="s">
        <v>1261</v>
      </c>
      <c r="B168" s="992"/>
      <c r="C168" s="992"/>
      <c r="D168" s="992"/>
      <c r="E168" s="992"/>
      <c r="F168" s="992"/>
      <c r="G168" s="992"/>
    </row>
    <row r="169" spans="1:7" ht="12" customHeight="1">
      <c r="D169" s="874"/>
      <c r="E169" s="874"/>
      <c r="F169" s="874"/>
    </row>
    <row r="170" spans="1:7">
      <c r="B170" s="1074" t="s">
        <v>513</v>
      </c>
      <c r="C170" s="1074"/>
      <c r="D170" s="1074"/>
      <c r="E170" s="1074"/>
      <c r="F170" s="1074"/>
    </row>
    <row r="171" spans="1:7" ht="12" customHeight="1">
      <c r="A171" s="867"/>
      <c r="B171" s="867"/>
      <c r="C171" s="867"/>
    </row>
    <row r="172" spans="1:7">
      <c r="A172" s="992" t="s">
        <v>1262</v>
      </c>
      <c r="B172" s="992"/>
      <c r="C172" s="992"/>
      <c r="D172" s="992"/>
      <c r="E172" s="992"/>
      <c r="F172" s="992"/>
      <c r="G172" s="992"/>
    </row>
    <row r="173" spans="1:7" ht="12" customHeight="1">
      <c r="A173" s="895"/>
      <c r="B173" s="895"/>
      <c r="C173" s="896"/>
      <c r="D173" s="897"/>
      <c r="E173" s="898"/>
      <c r="F173" s="897"/>
      <c r="G173" s="897"/>
    </row>
    <row r="174" spans="1:7" ht="13.7" customHeight="1">
      <c r="A174" s="895"/>
      <c r="B174" s="895"/>
      <c r="C174" s="896"/>
      <c r="D174" s="1016" t="s">
        <v>1384</v>
      </c>
      <c r="E174" s="1016"/>
      <c r="F174" s="1016"/>
      <c r="G174" s="897"/>
    </row>
    <row r="175" spans="1:7">
      <c r="A175" s="895"/>
      <c r="B175" s="895"/>
      <c r="C175" s="896"/>
      <c r="D175" s="1016"/>
      <c r="E175" s="1016"/>
      <c r="F175" s="1016"/>
      <c r="G175" s="897"/>
    </row>
    <row r="176" spans="1:7">
      <c r="A176" s="895"/>
      <c r="B176" s="895"/>
      <c r="C176" s="896"/>
      <c r="D176" s="1017" t="s">
        <v>1532</v>
      </c>
      <c r="E176" s="1017"/>
      <c r="F176" s="1017"/>
      <c r="G176" s="897"/>
    </row>
    <row r="177" spans="1:7" ht="12" customHeight="1">
      <c r="A177" s="895"/>
      <c r="B177" s="895"/>
      <c r="C177" s="896"/>
      <c r="D177" s="897"/>
      <c r="E177" s="898"/>
      <c r="F177" s="897"/>
      <c r="G177" s="897"/>
    </row>
    <row r="178" spans="1:7" ht="14.25">
      <c r="A178" s="871"/>
      <c r="B178" s="872" t="s">
        <v>333</v>
      </c>
      <c r="C178" s="896"/>
      <c r="D178" s="1010" t="s">
        <v>1383</v>
      </c>
      <c r="E178" s="1010"/>
      <c r="F178" s="1010"/>
      <c r="G178" s="897"/>
    </row>
    <row r="179" spans="1:7" ht="14.25">
      <c r="A179" s="871"/>
      <c r="B179" s="871"/>
      <c r="C179" s="896"/>
      <c r="D179" s="1010"/>
      <c r="E179" s="1010"/>
      <c r="F179" s="1010"/>
      <c r="G179" s="897"/>
    </row>
    <row r="180" spans="1:7" ht="14.25">
      <c r="A180" s="871"/>
      <c r="B180" s="871"/>
      <c r="C180" s="896"/>
      <c r="D180" s="1010"/>
      <c r="E180" s="1010"/>
      <c r="F180" s="1010"/>
      <c r="G180" s="897"/>
    </row>
    <row r="181" spans="1:7">
      <c r="A181" s="896"/>
      <c r="B181" s="896"/>
      <c r="C181" s="896"/>
      <c r="D181" s="1010"/>
      <c r="E181" s="1010"/>
      <c r="F181" s="1010"/>
    </row>
    <row r="182" spans="1:7">
      <c r="A182" s="896"/>
      <c r="B182" s="896"/>
      <c r="C182" s="896"/>
      <c r="D182" s="877"/>
      <c r="E182" s="897"/>
      <c r="F182" s="897"/>
    </row>
    <row r="183" spans="1:7">
      <c r="A183" s="896"/>
      <c r="B183" s="896"/>
      <c r="C183" s="896"/>
      <c r="D183" s="982" t="s">
        <v>1278</v>
      </c>
      <c r="E183" s="982"/>
      <c r="F183" s="982"/>
    </row>
    <row r="184" spans="1:7">
      <c r="A184" s="896"/>
      <c r="B184" s="896"/>
      <c r="C184" s="896"/>
      <c r="D184" s="982"/>
      <c r="E184" s="982"/>
      <c r="F184" s="982"/>
    </row>
    <row r="185" spans="1:7">
      <c r="A185" s="896"/>
      <c r="B185" s="896"/>
      <c r="C185" s="896"/>
      <c r="D185" s="852"/>
      <c r="E185" s="852"/>
      <c r="F185" s="852"/>
    </row>
    <row r="186" spans="1:7" s="684" customFormat="1" ht="14.25">
      <c r="A186" s="871"/>
      <c r="B186" s="872" t="s">
        <v>333</v>
      </c>
      <c r="C186" s="880"/>
      <c r="D186" s="1010" t="s">
        <v>1576</v>
      </c>
      <c r="E186" s="1010"/>
      <c r="F186" s="1010"/>
      <c r="G186" s="765"/>
    </row>
    <row r="187" spans="1:7" s="684" customFormat="1" ht="14.45" customHeight="1">
      <c r="A187" s="871"/>
      <c r="C187" s="880"/>
      <c r="D187" s="1010"/>
      <c r="E187" s="1010"/>
      <c r="F187" s="1010"/>
      <c r="G187" s="765"/>
    </row>
    <row r="188" spans="1:7" s="684" customFormat="1" ht="14.25">
      <c r="A188" s="871"/>
      <c r="B188" s="896"/>
      <c r="C188" s="880"/>
      <c r="D188" s="1010"/>
      <c r="E188" s="1010"/>
      <c r="F188" s="1010"/>
      <c r="G188" s="765"/>
    </row>
    <row r="189" spans="1:7" s="684" customFormat="1" ht="14.25">
      <c r="A189" s="871"/>
      <c r="B189" s="896"/>
      <c r="C189" s="880"/>
      <c r="D189" s="1010"/>
      <c r="E189" s="1010"/>
      <c r="F189" s="1010"/>
      <c r="G189" s="765"/>
    </row>
    <row r="190" spans="1:7">
      <c r="A190" s="896"/>
      <c r="B190" s="896"/>
      <c r="C190" s="896"/>
      <c r="D190" s="852"/>
      <c r="E190" s="852"/>
      <c r="F190" s="852"/>
    </row>
    <row r="191" spans="1:7">
      <c r="A191" s="992" t="s">
        <v>1263</v>
      </c>
      <c r="B191" s="992"/>
      <c r="C191" s="992"/>
      <c r="D191" s="992"/>
      <c r="E191" s="992"/>
      <c r="F191" s="992"/>
      <c r="G191" s="992"/>
    </row>
    <row r="192" spans="1:7" ht="12" customHeight="1">
      <c r="D192" s="874"/>
      <c r="E192" s="874"/>
      <c r="F192" s="874"/>
    </row>
    <row r="193" spans="1:6">
      <c r="C193" s="881"/>
      <c r="D193" s="1073" t="s">
        <v>226</v>
      </c>
      <c r="E193" s="1073"/>
      <c r="F193" s="1073"/>
    </row>
    <row r="194" spans="1:6">
      <c r="A194" s="867"/>
      <c r="B194" s="867"/>
      <c r="C194" s="867"/>
      <c r="D194" s="1085" t="s">
        <v>1406</v>
      </c>
      <c r="E194" s="1085"/>
      <c r="F194" s="1085"/>
    </row>
    <row r="195" spans="1:6" ht="12" customHeight="1">
      <c r="A195" s="894"/>
      <c r="B195" s="894"/>
      <c r="C195" s="894"/>
    </row>
    <row r="196" spans="1:6" ht="13.7" customHeight="1">
      <c r="A196" s="894"/>
      <c r="C196" s="894"/>
      <c r="D196" s="1009" t="s">
        <v>623</v>
      </c>
      <c r="E196" s="1009"/>
      <c r="F196" s="1009"/>
    </row>
    <row r="197" spans="1:6" ht="14.25">
      <c r="A197" s="871"/>
      <c r="B197" s="872" t="s">
        <v>333</v>
      </c>
      <c r="D197" s="1010" t="s">
        <v>1400</v>
      </c>
      <c r="E197" s="1010"/>
      <c r="F197" s="1010"/>
    </row>
    <row r="198" spans="1:6" ht="14.25">
      <c r="A198" s="871"/>
      <c r="B198" s="871"/>
      <c r="D198" s="1010"/>
      <c r="E198" s="1010"/>
      <c r="F198" s="1010"/>
    </row>
    <row r="199" spans="1:6"/>
    <row r="200" spans="1:6" ht="14.25">
      <c r="A200" s="871"/>
      <c r="B200" s="872" t="s">
        <v>333</v>
      </c>
      <c r="D200" s="1010" t="s">
        <v>1401</v>
      </c>
      <c r="E200" s="1010"/>
      <c r="F200" s="1010"/>
    </row>
    <row r="201" spans="1:6" ht="14.25">
      <c r="A201" s="871"/>
      <c r="B201" s="871"/>
      <c r="D201" s="1010"/>
      <c r="E201" s="1010"/>
      <c r="F201" s="1010"/>
    </row>
    <row r="202" spans="1:6" ht="14.25">
      <c r="A202" s="871"/>
      <c r="B202" s="871"/>
      <c r="D202" s="1010"/>
      <c r="E202" s="1010"/>
      <c r="F202" s="1010"/>
    </row>
    <row r="203" spans="1:6" ht="5.0999999999999996" customHeight="1">
      <c r="A203" s="871"/>
      <c r="B203" s="871"/>
      <c r="D203" s="859"/>
      <c r="E203" s="874"/>
      <c r="F203" s="874"/>
    </row>
    <row r="204" spans="1:6" ht="14.25">
      <c r="A204" s="871"/>
      <c r="B204" s="871"/>
      <c r="D204" s="1010" t="s">
        <v>1402</v>
      </c>
      <c r="E204" s="1010"/>
      <c r="F204" s="1010"/>
    </row>
    <row r="205" spans="1:6" ht="14.25">
      <c r="A205" s="871"/>
      <c r="B205" s="871"/>
      <c r="D205" s="1010"/>
      <c r="E205" s="1010"/>
      <c r="F205" s="1010"/>
    </row>
    <row r="206" spans="1:6" ht="14.25">
      <c r="A206" s="871"/>
      <c r="B206" s="871"/>
      <c r="D206" s="1010"/>
      <c r="E206" s="1010"/>
      <c r="F206" s="1010"/>
    </row>
    <row r="207" spans="1:6" ht="14.25">
      <c r="A207" s="871"/>
      <c r="B207" s="871"/>
      <c r="D207" s="1010"/>
      <c r="E207" s="1010"/>
      <c r="F207" s="1010"/>
    </row>
    <row r="208" spans="1:6" ht="14.25">
      <c r="A208" s="871"/>
      <c r="B208" s="871"/>
      <c r="D208" s="1010"/>
      <c r="E208" s="1010"/>
      <c r="F208" s="1010"/>
    </row>
    <row r="209" spans="1:7" ht="14.25">
      <c r="A209" s="871"/>
      <c r="B209" s="871"/>
      <c r="D209" s="874"/>
      <c r="E209" s="874"/>
      <c r="F209" s="874"/>
    </row>
    <row r="210" spans="1:7" ht="14.25">
      <c r="A210" s="871"/>
      <c r="B210" s="872" t="s">
        <v>333</v>
      </c>
      <c r="D210" s="1084" t="s">
        <v>1403</v>
      </c>
      <c r="E210" s="1084"/>
      <c r="F210" s="1084"/>
    </row>
    <row r="211" spans="1:7" ht="14.25">
      <c r="A211" s="871"/>
      <c r="B211" s="871"/>
      <c r="D211" s="1084"/>
      <c r="E211" s="1084"/>
      <c r="F211" s="1084"/>
    </row>
    <row r="212" spans="1:7" ht="14.25">
      <c r="A212" s="871"/>
      <c r="B212" s="871"/>
      <c r="D212" s="1074" t="s">
        <v>1027</v>
      </c>
      <c r="E212" s="1074"/>
      <c r="F212" s="1074"/>
    </row>
    <row r="213" spans="1:7" ht="14.25">
      <c r="A213" s="871"/>
      <c r="B213" s="871"/>
      <c r="D213" s="874"/>
      <c r="E213" s="874"/>
      <c r="F213" s="874"/>
    </row>
    <row r="214" spans="1:7" ht="14.45" customHeight="1">
      <c r="A214" s="871"/>
      <c r="B214" s="872" t="s">
        <v>333</v>
      </c>
      <c r="D214" s="1084" t="s">
        <v>1405</v>
      </c>
      <c r="E214" s="1084"/>
      <c r="F214" s="1084"/>
    </row>
    <row r="215" spans="1:7" ht="14.25">
      <c r="A215" s="871"/>
      <c r="B215" s="871"/>
      <c r="D215" s="1084"/>
      <c r="E215" s="1084"/>
      <c r="F215" s="1084"/>
    </row>
    <row r="216" spans="1:7" ht="14.25">
      <c r="A216" s="871"/>
      <c r="B216" s="871"/>
      <c r="D216" s="1084"/>
      <c r="E216" s="1084"/>
      <c r="F216" s="1084"/>
    </row>
    <row r="217" spans="1:7" ht="14.25">
      <c r="A217" s="871"/>
      <c r="B217" s="871"/>
      <c r="D217" s="1084"/>
      <c r="E217" s="1084"/>
      <c r="F217" s="1084"/>
    </row>
    <row r="218" spans="1:7" ht="14.25">
      <c r="A218" s="871"/>
      <c r="B218" s="871"/>
      <c r="D218" s="1084"/>
      <c r="E218" s="1084"/>
      <c r="F218" s="1084"/>
    </row>
    <row r="219" spans="1:7">
      <c r="D219" s="874"/>
      <c r="E219" s="874"/>
      <c r="F219" s="874"/>
    </row>
    <row r="220" spans="1:7" ht="14.25">
      <c r="A220" s="871"/>
      <c r="B220" s="872" t="s">
        <v>333</v>
      </c>
      <c r="D220" s="1010" t="s">
        <v>1404</v>
      </c>
      <c r="E220" s="1010"/>
      <c r="F220" s="1010"/>
    </row>
    <row r="221" spans="1:7" ht="14.25">
      <c r="A221" s="871"/>
      <c r="B221" s="871"/>
      <c r="D221" s="1010"/>
      <c r="E221" s="1010"/>
      <c r="F221" s="1010"/>
    </row>
    <row r="222" spans="1:7">
      <c r="D222" s="899"/>
    </row>
    <row r="223" spans="1:7">
      <c r="A223" s="992" t="s">
        <v>1264</v>
      </c>
      <c r="B223" s="992"/>
      <c r="C223" s="992"/>
      <c r="D223" s="992"/>
      <c r="E223" s="992"/>
      <c r="F223" s="992"/>
      <c r="G223" s="992"/>
    </row>
    <row r="224" spans="1:7">
      <c r="D224" s="899"/>
    </row>
    <row r="225" spans="1:6">
      <c r="C225" s="881"/>
      <c r="D225" s="1009" t="s">
        <v>1407</v>
      </c>
      <c r="E225" s="1009"/>
      <c r="F225" s="1009"/>
    </row>
    <row r="226" spans="1:6">
      <c r="A226" s="867"/>
      <c r="B226" s="867"/>
      <c r="C226" s="867"/>
      <c r="D226" s="874"/>
      <c r="E226" s="874"/>
      <c r="F226" s="874"/>
    </row>
    <row r="227" spans="1:6">
      <c r="A227" s="869"/>
      <c r="B227" s="869"/>
      <c r="C227" s="869"/>
      <c r="D227" s="1009" t="s">
        <v>289</v>
      </c>
      <c r="E227" s="1009"/>
      <c r="F227" s="1009"/>
    </row>
    <row r="228" spans="1:6" ht="14.25">
      <c r="A228" s="871"/>
      <c r="B228" s="872" t="s">
        <v>333</v>
      </c>
      <c r="D228" s="1083" t="s">
        <v>1408</v>
      </c>
      <c r="E228" s="1083"/>
      <c r="F228" s="1083"/>
    </row>
    <row r="229" spans="1:6" ht="14.25">
      <c r="A229" s="871"/>
      <c r="B229" s="871"/>
      <c r="D229" s="1083"/>
      <c r="E229" s="1083"/>
      <c r="F229" s="1083"/>
    </row>
    <row r="230" spans="1:6">
      <c r="D230" s="874"/>
      <c r="E230" s="874"/>
      <c r="F230" s="874"/>
    </row>
    <row r="231" spans="1:6" ht="14.45" customHeight="1">
      <c r="A231" s="871"/>
      <c r="B231" s="872" t="s">
        <v>333</v>
      </c>
      <c r="D231" s="1084" t="s">
        <v>1533</v>
      </c>
      <c r="E231" s="1084"/>
      <c r="F231" s="1084"/>
    </row>
    <row r="232" spans="1:6">
      <c r="D232" s="1084"/>
      <c r="E232" s="1084"/>
      <c r="F232" s="1084"/>
    </row>
    <row r="233" spans="1:6">
      <c r="D233" s="1085" t="s">
        <v>1017</v>
      </c>
      <c r="E233" s="1085"/>
      <c r="F233" s="1085"/>
    </row>
    <row r="234" spans="1:6">
      <c r="D234" s="874"/>
      <c r="E234" s="874"/>
      <c r="F234" s="874"/>
    </row>
    <row r="235" spans="1:6" ht="14.45" customHeight="1">
      <c r="A235" s="871"/>
      <c r="B235" s="872" t="s">
        <v>333</v>
      </c>
      <c r="D235" s="1084" t="s">
        <v>1534</v>
      </c>
      <c r="E235" s="1084"/>
      <c r="F235" s="1084"/>
    </row>
    <row r="236" spans="1:6">
      <c r="D236" s="1084"/>
      <c r="E236" s="1084"/>
      <c r="F236" s="1084"/>
    </row>
    <row r="237" spans="1:6">
      <c r="D237" s="1084"/>
      <c r="E237" s="1084"/>
      <c r="F237" s="1084"/>
    </row>
    <row r="238" spans="1:6">
      <c r="D238" s="1084"/>
      <c r="E238" s="1084"/>
      <c r="F238" s="1084"/>
    </row>
    <row r="239" spans="1:6">
      <c r="D239" s="1084"/>
      <c r="E239" s="1084"/>
      <c r="F239" s="1084"/>
    </row>
    <row r="240" spans="1:6">
      <c r="D240" s="874"/>
      <c r="E240" s="874"/>
      <c r="F240" s="874"/>
    </row>
    <row r="241" spans="1:7" ht="14.25">
      <c r="A241" s="871"/>
      <c r="B241" s="872" t="s">
        <v>333</v>
      </c>
      <c r="D241" s="1010" t="s">
        <v>1410</v>
      </c>
      <c r="E241" s="1010"/>
      <c r="F241" s="1010"/>
    </row>
    <row r="242" spans="1:7">
      <c r="D242" s="1010"/>
      <c r="E242" s="1010"/>
      <c r="F242" s="1010"/>
    </row>
    <row r="243" spans="1:7">
      <c r="D243" s="1010"/>
      <c r="E243" s="1010"/>
      <c r="F243" s="1010"/>
    </row>
    <row r="244" spans="1:7">
      <c r="D244" s="900"/>
      <c r="E244" s="874"/>
      <c r="F244" s="874"/>
    </row>
    <row r="245" spans="1:7">
      <c r="A245" s="992" t="s">
        <v>1265</v>
      </c>
      <c r="B245" s="992"/>
      <c r="C245" s="992"/>
      <c r="D245" s="992"/>
      <c r="E245" s="992"/>
      <c r="F245" s="992"/>
      <c r="G245" s="992"/>
    </row>
    <row r="246" spans="1:7">
      <c r="D246" s="900"/>
      <c r="E246" s="874"/>
      <c r="F246" s="874"/>
    </row>
    <row r="247" spans="1:7">
      <c r="C247" s="867"/>
      <c r="D247" s="1081" t="s">
        <v>1412</v>
      </c>
      <c r="E247" s="1081"/>
      <c r="F247" s="1081"/>
    </row>
    <row r="248" spans="1:7">
      <c r="C248" s="867"/>
      <c r="D248" s="1081"/>
      <c r="E248" s="1081"/>
      <c r="F248" s="1081"/>
    </row>
    <row r="249" spans="1:7">
      <c r="A249" s="869"/>
      <c r="B249" s="869"/>
      <c r="C249" s="869"/>
      <c r="D249" s="688"/>
      <c r="E249" s="744"/>
      <c r="F249" s="744"/>
    </row>
    <row r="250" spans="1:7">
      <c r="C250" s="869"/>
      <c r="D250" s="1009" t="s">
        <v>227</v>
      </c>
      <c r="E250" s="1009"/>
      <c r="F250" s="1009"/>
    </row>
    <row r="251" spans="1:7" ht="15.75" customHeight="1">
      <c r="A251" s="871"/>
      <c r="B251" s="871"/>
      <c r="D251" s="1065" t="s">
        <v>1413</v>
      </c>
      <c r="E251" s="1065"/>
      <c r="F251" s="1065"/>
    </row>
    <row r="252" spans="1:7">
      <c r="E252" s="874"/>
      <c r="F252" s="874"/>
    </row>
    <row r="253" spans="1:7" ht="14.25">
      <c r="A253" s="871"/>
      <c r="B253" s="872" t="s">
        <v>333</v>
      </c>
      <c r="D253" s="1010" t="s">
        <v>1414</v>
      </c>
      <c r="E253" s="1010"/>
      <c r="F253" s="1010"/>
    </row>
    <row r="254" spans="1:7" ht="14.25">
      <c r="A254" s="871"/>
      <c r="B254" s="871"/>
      <c r="D254" s="1010"/>
      <c r="E254" s="1010"/>
      <c r="F254" s="1010"/>
    </row>
    <row r="255" spans="1:7">
      <c r="D255" s="874"/>
      <c r="E255" s="874"/>
      <c r="F255" s="874"/>
    </row>
    <row r="256" spans="1:7" ht="14.25">
      <c r="A256" s="871"/>
      <c r="B256" s="872" t="s">
        <v>333</v>
      </c>
      <c r="D256" s="1084" t="s">
        <v>1415</v>
      </c>
      <c r="E256" s="1084"/>
      <c r="F256" s="1084"/>
    </row>
    <row r="257" spans="1:7" ht="14.25">
      <c r="A257" s="871"/>
      <c r="B257" s="871"/>
      <c r="D257" s="1084"/>
      <c r="E257" s="1084"/>
      <c r="F257" s="1084"/>
    </row>
    <row r="258" spans="1:7" ht="14.25">
      <c r="A258" s="871"/>
      <c r="B258" s="871"/>
      <c r="D258" s="1084"/>
      <c r="E258" s="1084"/>
      <c r="F258" s="1084"/>
    </row>
    <row r="259" spans="1:7">
      <c r="D259" s="874"/>
      <c r="E259" s="874"/>
      <c r="F259" s="874"/>
    </row>
    <row r="260" spans="1:7" ht="14.25">
      <c r="A260" s="871"/>
      <c r="B260" s="872" t="s">
        <v>333</v>
      </c>
      <c r="D260" s="1010" t="s">
        <v>1416</v>
      </c>
      <c r="E260" s="1010"/>
      <c r="F260" s="1010"/>
    </row>
    <row r="261" spans="1:7" ht="14.25">
      <c r="A261" s="871"/>
      <c r="B261" s="871"/>
      <c r="D261" s="1010"/>
      <c r="E261" s="1010"/>
      <c r="F261" s="1010"/>
    </row>
    <row r="262" spans="1:7">
      <c r="A262" s="894"/>
      <c r="B262" s="894"/>
      <c r="E262" s="874"/>
      <c r="F262" s="874"/>
    </row>
    <row r="263" spans="1:7">
      <c r="A263" s="992" t="s">
        <v>1266</v>
      </c>
      <c r="B263" s="992"/>
      <c r="C263" s="992"/>
      <c r="D263" s="992"/>
      <c r="E263" s="992"/>
      <c r="F263" s="992"/>
      <c r="G263" s="992"/>
    </row>
    <row r="264" spans="1:7">
      <c r="A264" s="894"/>
      <c r="B264" s="894"/>
      <c r="D264" s="874"/>
      <c r="E264" s="874"/>
      <c r="F264" s="874"/>
    </row>
    <row r="265" spans="1:7">
      <c r="C265" s="894"/>
      <c r="D265" s="1009" t="s">
        <v>768</v>
      </c>
      <c r="E265" s="1009"/>
      <c r="F265" s="1009"/>
    </row>
    <row r="266" spans="1:7">
      <c r="C266" s="894"/>
      <c r="D266" s="1012" t="s">
        <v>1417</v>
      </c>
      <c r="E266" s="1012"/>
      <c r="F266" s="1012"/>
    </row>
    <row r="267" spans="1:7">
      <c r="C267" s="894"/>
      <c r="D267" s="901"/>
    </row>
    <row r="268" spans="1:7">
      <c r="A268" s="875"/>
      <c r="B268" s="872" t="s">
        <v>333</v>
      </c>
      <c r="D268" s="1012" t="s">
        <v>1418</v>
      </c>
      <c r="E268" s="1012"/>
      <c r="F268" s="1012"/>
    </row>
    <row r="269" spans="1:7" s="865" customFormat="1" ht="14.25">
      <c r="A269" s="879"/>
      <c r="B269" s="879"/>
      <c r="C269" s="875"/>
      <c r="D269" s="902"/>
      <c r="E269" s="903"/>
      <c r="F269" s="903"/>
      <c r="G269" s="876"/>
    </row>
    <row r="270" spans="1:7" s="865" customFormat="1" ht="13.7" customHeight="1">
      <c r="A270" s="875"/>
      <c r="B270" s="872" t="s">
        <v>333</v>
      </c>
      <c r="C270" s="875"/>
      <c r="D270" s="1063" t="s">
        <v>1588</v>
      </c>
      <c r="E270" s="1063"/>
      <c r="F270" s="1063"/>
      <c r="G270" s="876"/>
    </row>
    <row r="271" spans="1:7" s="865" customFormat="1" ht="14.25">
      <c r="A271" s="879"/>
      <c r="B271" s="879"/>
      <c r="C271" s="875"/>
      <c r="D271" s="1063"/>
      <c r="E271" s="1063"/>
      <c r="F271" s="1063"/>
      <c r="G271" s="876"/>
    </row>
    <row r="272" spans="1:7" s="865" customFormat="1" ht="14.25">
      <c r="A272" s="879"/>
      <c r="B272" s="879"/>
      <c r="C272" s="875"/>
      <c r="D272" s="1063"/>
      <c r="E272" s="1063"/>
      <c r="F272" s="1063"/>
      <c r="G272" s="876"/>
    </row>
    <row r="273" spans="1:7" s="865" customFormat="1" ht="14.25">
      <c r="A273" s="879"/>
      <c r="B273" s="879"/>
      <c r="C273" s="875"/>
      <c r="D273" s="1063"/>
      <c r="E273" s="1063"/>
      <c r="F273" s="1063"/>
      <c r="G273" s="876"/>
    </row>
    <row r="274" spans="1:7" s="865" customFormat="1" ht="14.25">
      <c r="A274" s="879"/>
      <c r="B274" s="879"/>
      <c r="C274" s="875"/>
      <c r="D274" s="1063"/>
      <c r="E274" s="1063"/>
      <c r="F274" s="1063"/>
      <c r="G274" s="876"/>
    </row>
    <row r="275" spans="1:7" s="865" customFormat="1" ht="14.25">
      <c r="A275" s="879"/>
      <c r="B275" s="879"/>
      <c r="C275" s="875"/>
      <c r="D275" s="902"/>
      <c r="E275" s="903"/>
      <c r="F275" s="903"/>
      <c r="G275" s="876"/>
    </row>
    <row r="276" spans="1:7" s="865" customFormat="1" ht="13.7" customHeight="1">
      <c r="A276" s="875"/>
      <c r="B276" s="872" t="s">
        <v>333</v>
      </c>
      <c r="C276" s="875"/>
      <c r="D276" s="1063" t="s">
        <v>1420</v>
      </c>
      <c r="E276" s="1063"/>
      <c r="F276" s="1063"/>
      <c r="G276" s="876"/>
    </row>
    <row r="277" spans="1:7" s="865" customFormat="1">
      <c r="A277" s="875"/>
      <c r="B277" s="875"/>
      <c r="C277" s="875"/>
      <c r="D277" s="1063"/>
      <c r="E277" s="1063"/>
      <c r="F277" s="1063"/>
      <c r="G277" s="876"/>
    </row>
    <row r="278" spans="1:7" s="865" customFormat="1" ht="14.25">
      <c r="A278" s="879"/>
      <c r="B278" s="879"/>
      <c r="C278" s="875"/>
      <c r="D278" s="902"/>
      <c r="E278" s="903"/>
      <c r="F278" s="903"/>
      <c r="G278" s="876"/>
    </row>
    <row r="279" spans="1:7">
      <c r="A279" s="875"/>
      <c r="B279" s="872" t="s">
        <v>333</v>
      </c>
      <c r="D279" s="1012" t="s">
        <v>1421</v>
      </c>
      <c r="E279" s="1012"/>
      <c r="F279" s="1012"/>
    </row>
    <row r="280" spans="1:7">
      <c r="E280" s="874"/>
      <c r="F280" s="874"/>
    </row>
    <row r="281" spans="1:7" ht="14.25">
      <c r="A281" s="871"/>
      <c r="B281" s="872" t="s">
        <v>333</v>
      </c>
      <c r="D281" s="1084" t="s">
        <v>1422</v>
      </c>
      <c r="E281" s="1084"/>
      <c r="F281" s="1084"/>
    </row>
    <row r="282" spans="1:7" ht="14.25">
      <c r="A282" s="871"/>
      <c r="B282" s="871"/>
      <c r="D282" s="1084"/>
      <c r="E282" s="1084"/>
      <c r="F282" s="1084"/>
    </row>
    <row r="283" spans="1:7" ht="14.25">
      <c r="A283" s="871"/>
      <c r="B283" s="871"/>
      <c r="D283" s="1084"/>
      <c r="E283" s="1084"/>
      <c r="F283" s="1084"/>
    </row>
    <row r="284" spans="1:7" ht="14.25">
      <c r="A284" s="871"/>
      <c r="B284" s="871"/>
      <c r="D284" s="1084"/>
      <c r="E284" s="1084"/>
      <c r="F284" s="1084"/>
    </row>
    <row r="285" spans="1:7" ht="14.25">
      <c r="A285" s="871"/>
      <c r="B285" s="871"/>
      <c r="D285" s="1084"/>
      <c r="E285" s="1084"/>
      <c r="F285" s="1084"/>
    </row>
    <row r="286" spans="1:7" ht="14.25">
      <c r="A286" s="871"/>
      <c r="B286" s="871"/>
      <c r="D286" s="1084"/>
      <c r="E286" s="1084"/>
      <c r="F286" s="1084"/>
    </row>
    <row r="287" spans="1:7" ht="14.25">
      <c r="A287" s="871"/>
      <c r="B287" s="871"/>
      <c r="D287" s="1084"/>
      <c r="E287" s="1084"/>
      <c r="F287" s="1084"/>
    </row>
    <row r="288" spans="1:7" ht="14.25">
      <c r="A288" s="871"/>
      <c r="B288" s="871"/>
      <c r="D288" s="1084"/>
      <c r="E288" s="1084"/>
      <c r="F288" s="1084"/>
    </row>
    <row r="289" spans="1:6" ht="14.25">
      <c r="A289" s="871"/>
      <c r="B289" s="871"/>
      <c r="D289" s="1084"/>
      <c r="E289" s="1084"/>
      <c r="F289" s="1084"/>
    </row>
    <row r="290" spans="1:6" ht="14.25">
      <c r="A290" s="871"/>
      <c r="B290" s="871"/>
      <c r="D290" s="1084"/>
      <c r="E290" s="1084"/>
      <c r="F290" s="1084"/>
    </row>
    <row r="291" spans="1:6" ht="14.25">
      <c r="A291" s="871"/>
      <c r="B291" s="871"/>
      <c r="D291" s="1084"/>
      <c r="E291" s="1084"/>
      <c r="F291" s="1084"/>
    </row>
    <row r="292" spans="1:6" ht="14.25">
      <c r="A292" s="871"/>
      <c r="B292" s="871"/>
      <c r="D292" s="1084"/>
      <c r="E292" s="1084"/>
      <c r="F292" s="1084"/>
    </row>
    <row r="293" spans="1:6" ht="14.25">
      <c r="A293" s="871"/>
      <c r="B293" s="871"/>
      <c r="D293" s="1084"/>
      <c r="E293" s="1084"/>
      <c r="F293" s="1084"/>
    </row>
    <row r="294" spans="1:6" ht="14.25">
      <c r="A294" s="871"/>
      <c r="B294" s="871"/>
      <c r="D294" s="1084"/>
      <c r="E294" s="1084"/>
      <c r="F294" s="1084"/>
    </row>
    <row r="295" spans="1:6" ht="14.25">
      <c r="A295" s="871"/>
      <c r="B295" s="871"/>
      <c r="D295" s="1084"/>
      <c r="E295" s="1084"/>
      <c r="F295" s="1084"/>
    </row>
    <row r="296" spans="1:6">
      <c r="D296" s="874"/>
      <c r="E296" s="874"/>
      <c r="F296" s="874"/>
    </row>
    <row r="297" spans="1:6" ht="14.25">
      <c r="A297" s="871"/>
      <c r="B297" s="872" t="s">
        <v>333</v>
      </c>
      <c r="D297" s="1084" t="s">
        <v>1423</v>
      </c>
      <c r="E297" s="1084"/>
      <c r="F297" s="1084"/>
    </row>
    <row r="298" spans="1:6">
      <c r="D298" s="1084"/>
      <c r="E298" s="1084"/>
      <c r="F298" s="1084"/>
    </row>
    <row r="299" spans="1:6">
      <c r="D299" s="1084"/>
      <c r="E299" s="1084"/>
      <c r="F299" s="1084"/>
    </row>
    <row r="300" spans="1:6">
      <c r="D300" s="1084"/>
      <c r="E300" s="1084"/>
      <c r="F300" s="1084"/>
    </row>
    <row r="301" spans="1:6">
      <c r="D301" s="1084"/>
      <c r="E301" s="1084"/>
      <c r="F301" s="1084"/>
    </row>
    <row r="302" spans="1:6">
      <c r="D302" s="1084"/>
      <c r="E302" s="1084"/>
      <c r="F302" s="1084"/>
    </row>
    <row r="303" spans="1:6">
      <c r="D303" s="1084"/>
      <c r="E303" s="1084"/>
      <c r="F303" s="1084"/>
    </row>
    <row r="304" spans="1:6">
      <c r="D304" s="1084"/>
      <c r="E304" s="1084"/>
      <c r="F304" s="1084"/>
    </row>
    <row r="305" spans="1:7">
      <c r="D305" s="1084"/>
      <c r="E305" s="1084"/>
      <c r="F305" s="1084"/>
    </row>
    <row r="306" spans="1:7">
      <c r="D306" s="874"/>
      <c r="E306" s="874"/>
      <c r="F306" s="874"/>
    </row>
    <row r="307" spans="1:7" ht="14.25">
      <c r="A307" s="871"/>
      <c r="B307" s="872" t="s">
        <v>333</v>
      </c>
      <c r="D307" s="1010" t="s">
        <v>1424</v>
      </c>
      <c r="E307" s="1010"/>
      <c r="F307" s="1010"/>
    </row>
    <row r="308" spans="1:7">
      <c r="D308" s="1010"/>
      <c r="E308" s="1010"/>
      <c r="F308" s="1010"/>
      <c r="G308" s="864"/>
    </row>
    <row r="309" spans="1:7">
      <c r="D309" s="1010"/>
      <c r="E309" s="1010"/>
      <c r="F309" s="1010"/>
      <c r="G309" s="864"/>
    </row>
    <row r="310" spans="1:7">
      <c r="D310" s="1010"/>
      <c r="E310" s="1010"/>
      <c r="F310" s="1010"/>
      <c r="G310" s="864"/>
    </row>
    <row r="311" spans="1:7">
      <c r="D311" s="1010"/>
      <c r="E311" s="1010"/>
      <c r="F311" s="1010"/>
      <c r="G311" s="864"/>
    </row>
    <row r="312" spans="1:7">
      <c r="D312" s="1010"/>
      <c r="E312" s="1010"/>
      <c r="F312" s="1010"/>
      <c r="G312" s="864"/>
    </row>
    <row r="313" spans="1:7">
      <c r="D313" s="858"/>
      <c r="E313" s="858"/>
      <c r="F313" s="858"/>
      <c r="G313" s="864"/>
    </row>
    <row r="314" spans="1:7" ht="13.5" thickBot="1">
      <c r="D314" s="1091" t="s">
        <v>1139</v>
      </c>
      <c r="E314" s="1091"/>
      <c r="F314" s="1091"/>
      <c r="G314" s="864"/>
    </row>
    <row r="315" spans="1:7" ht="13.5" thickTop="1">
      <c r="D315" s="1092" t="s">
        <v>1425</v>
      </c>
      <c r="E315" s="1092"/>
      <c r="F315" s="1092"/>
      <c r="G315" s="864"/>
    </row>
    <row r="316" spans="1:7">
      <c r="A316" s="892"/>
      <c r="B316" s="892"/>
      <c r="C316" s="892"/>
      <c r="D316" s="860"/>
      <c r="E316" s="860"/>
      <c r="F316" s="874"/>
      <c r="G316" s="864"/>
    </row>
    <row r="317" spans="1:7" ht="14.25">
      <c r="A317" s="871"/>
      <c r="B317" s="872" t="s">
        <v>333</v>
      </c>
      <c r="C317" s="892"/>
      <c r="D317" s="1006" t="s">
        <v>1426</v>
      </c>
      <c r="E317" s="1006"/>
      <c r="F317" s="1006"/>
      <c r="G317" s="864"/>
    </row>
    <row r="318" spans="1:7">
      <c r="A318" s="892"/>
      <c r="B318" s="892"/>
      <c r="C318" s="892"/>
      <c r="D318" s="860"/>
      <c r="E318" s="860"/>
      <c r="F318" s="874"/>
      <c r="G318" s="864"/>
    </row>
    <row r="319" spans="1:7">
      <c r="A319" s="892"/>
      <c r="B319" s="872" t="s">
        <v>333</v>
      </c>
      <c r="C319" s="892"/>
      <c r="D319" s="1001" t="s">
        <v>1592</v>
      </c>
      <c r="E319" s="1001"/>
      <c r="F319" s="1001"/>
      <c r="G319" s="864"/>
    </row>
    <row r="320" spans="1:7">
      <c r="A320" s="892"/>
      <c r="B320" s="892"/>
      <c r="C320" s="892"/>
      <c r="D320" s="1001"/>
      <c r="E320" s="1001"/>
      <c r="F320" s="1001"/>
      <c r="G320" s="864"/>
    </row>
    <row r="321" spans="1:7">
      <c r="A321" s="892"/>
      <c r="B321" s="892"/>
      <c r="C321" s="892"/>
      <c r="D321" s="1001"/>
      <c r="E321" s="1001"/>
      <c r="F321" s="1001"/>
      <c r="G321" s="864"/>
    </row>
    <row r="322" spans="1:7">
      <c r="A322" s="892"/>
      <c r="B322" s="892"/>
      <c r="C322" s="892"/>
      <c r="D322" s="1001"/>
      <c r="E322" s="1001"/>
      <c r="F322" s="1001"/>
      <c r="G322" s="864"/>
    </row>
    <row r="323" spans="1:7">
      <c r="A323" s="892"/>
      <c r="B323" s="892"/>
      <c r="C323" s="892"/>
      <c r="D323" s="1001"/>
      <c r="E323" s="1001"/>
      <c r="F323" s="1001"/>
      <c r="G323" s="864"/>
    </row>
    <row r="324" spans="1:7">
      <c r="A324" s="892"/>
      <c r="B324" s="892"/>
      <c r="C324" s="892"/>
      <c r="D324" s="1001"/>
      <c r="E324" s="1001"/>
      <c r="F324" s="1001"/>
      <c r="G324" s="864"/>
    </row>
    <row r="325" spans="1:7">
      <c r="A325" s="892"/>
      <c r="B325" s="892"/>
      <c r="C325" s="892"/>
      <c r="D325" s="1001"/>
      <c r="E325" s="1001"/>
      <c r="F325" s="1001"/>
      <c r="G325" s="864"/>
    </row>
    <row r="326" spans="1:7">
      <c r="A326" s="892"/>
      <c r="B326" s="892"/>
      <c r="C326" s="892"/>
      <c r="D326" s="1001"/>
      <c r="E326" s="1001"/>
      <c r="F326" s="1001"/>
      <c r="G326" s="864"/>
    </row>
    <row r="327" spans="1:7">
      <c r="A327" s="892"/>
      <c r="B327" s="892"/>
      <c r="C327" s="892"/>
      <c r="D327" s="1001"/>
      <c r="E327" s="1001"/>
      <c r="F327" s="1001"/>
      <c r="G327" s="864"/>
    </row>
    <row r="328" spans="1:7">
      <c r="A328" s="892"/>
      <c r="B328" s="892"/>
      <c r="C328" s="892"/>
      <c r="D328" s="1001"/>
      <c r="E328" s="1001"/>
      <c r="F328" s="1001"/>
      <c r="G328" s="864"/>
    </row>
    <row r="329" spans="1:7">
      <c r="A329" s="892"/>
      <c r="B329" s="892"/>
      <c r="C329" s="892"/>
      <c r="D329" s="1001"/>
      <c r="E329" s="1001"/>
      <c r="F329" s="1001"/>
      <c r="G329" s="864"/>
    </row>
    <row r="330" spans="1:7">
      <c r="A330" s="892"/>
      <c r="B330" s="892"/>
      <c r="C330" s="892"/>
      <c r="D330" s="1001"/>
      <c r="E330" s="1001"/>
      <c r="F330" s="1001"/>
      <c r="G330" s="864"/>
    </row>
    <row r="331" spans="1:7" ht="12.4" customHeight="1">
      <c r="A331" s="892"/>
      <c r="B331" s="872" t="s">
        <v>333</v>
      </c>
      <c r="C331" s="892"/>
      <c r="D331" s="1093" t="s">
        <v>1593</v>
      </c>
      <c r="E331" s="1093"/>
      <c r="F331" s="1093"/>
      <c r="G331" s="864"/>
    </row>
    <row r="332" spans="1:7">
      <c r="A332" s="892"/>
      <c r="B332" s="892"/>
      <c r="C332" s="892"/>
      <c r="D332" s="1093"/>
      <c r="E332" s="1093"/>
      <c r="F332" s="1093"/>
      <c r="G332" s="864"/>
    </row>
    <row r="333" spans="1:7">
      <c r="A333" s="892"/>
      <c r="B333" s="892"/>
      <c r="C333" s="892"/>
      <c r="D333" s="1093"/>
      <c r="E333" s="1093"/>
      <c r="F333" s="1093"/>
      <c r="G333" s="864"/>
    </row>
    <row r="334" spans="1:7">
      <c r="A334" s="892"/>
      <c r="B334" s="892"/>
      <c r="C334" s="892"/>
      <c r="D334" s="1093"/>
      <c r="E334" s="1093"/>
      <c r="F334" s="1093"/>
      <c r="G334" s="864"/>
    </row>
    <row r="335" spans="1:7">
      <c r="A335" s="892"/>
      <c r="B335" s="892"/>
      <c r="C335" s="892"/>
      <c r="D335" s="864"/>
      <c r="E335" s="860"/>
      <c r="F335" s="874"/>
      <c r="G335" s="864"/>
    </row>
    <row r="336" spans="1:7" ht="14.25">
      <c r="A336" s="871"/>
      <c r="B336" s="872" t="s">
        <v>333</v>
      </c>
      <c r="C336" s="892"/>
      <c r="D336" s="999" t="s">
        <v>1428</v>
      </c>
      <c r="E336" s="999"/>
      <c r="F336" s="999"/>
      <c r="G336" s="864"/>
    </row>
    <row r="337" spans="1:7">
      <c r="A337" s="892"/>
      <c r="B337" s="892"/>
      <c r="C337" s="892"/>
      <c r="D337" s="999"/>
      <c r="E337" s="999"/>
      <c r="F337" s="999"/>
      <c r="G337" s="864"/>
    </row>
    <row r="338" spans="1:7">
      <c r="A338" s="892"/>
      <c r="B338" s="892"/>
      <c r="C338" s="892"/>
      <c r="D338" s="999"/>
      <c r="E338" s="999"/>
      <c r="F338" s="999"/>
      <c r="G338" s="864"/>
    </row>
    <row r="339" spans="1:7">
      <c r="A339" s="892"/>
      <c r="B339" s="892"/>
      <c r="C339" s="892"/>
      <c r="D339" s="999"/>
      <c r="E339" s="999"/>
      <c r="F339" s="999"/>
      <c r="G339" s="864"/>
    </row>
    <row r="340" spans="1:7">
      <c r="A340" s="892"/>
      <c r="B340" s="892"/>
      <c r="C340" s="892"/>
      <c r="D340" s="904"/>
      <c r="E340" s="860"/>
      <c r="F340" s="874"/>
      <c r="G340" s="864"/>
    </row>
    <row r="341" spans="1:7">
      <c r="A341" s="892"/>
      <c r="B341" s="892"/>
      <c r="C341" s="892"/>
      <c r="D341" s="999" t="s">
        <v>1429</v>
      </c>
      <c r="E341" s="999"/>
      <c r="F341" s="999"/>
      <c r="G341" s="864"/>
    </row>
    <row r="342" spans="1:7">
      <c r="A342" s="892"/>
      <c r="B342" s="892"/>
      <c r="C342" s="892"/>
      <c r="D342" s="999"/>
      <c r="E342" s="999"/>
      <c r="F342" s="999"/>
      <c r="G342" s="864"/>
    </row>
    <row r="343" spans="1:7">
      <c r="A343" s="892"/>
      <c r="B343" s="892"/>
      <c r="C343" s="892"/>
      <c r="D343" s="999"/>
      <c r="E343" s="999"/>
      <c r="F343" s="999"/>
      <c r="G343" s="864"/>
    </row>
    <row r="344" spans="1:7">
      <c r="A344" s="892"/>
      <c r="B344" s="892"/>
      <c r="C344" s="892"/>
      <c r="D344" s="999"/>
      <c r="E344" s="999"/>
      <c r="F344" s="999"/>
      <c r="G344" s="864"/>
    </row>
    <row r="345" spans="1:7" ht="18" customHeight="1">
      <c r="A345" s="892"/>
      <c r="B345" s="892"/>
      <c r="C345" s="892"/>
      <c r="D345" s="999"/>
      <c r="E345" s="999"/>
      <c r="F345" s="999"/>
      <c r="G345" s="864"/>
    </row>
    <row r="346" spans="1:7">
      <c r="A346" s="892"/>
      <c r="B346" s="892"/>
      <c r="C346" s="892"/>
      <c r="D346" s="999"/>
      <c r="E346" s="999"/>
      <c r="F346" s="999"/>
      <c r="G346" s="864"/>
    </row>
    <row r="347" spans="1:7">
      <c r="A347" s="892"/>
      <c r="B347" s="892"/>
      <c r="C347" s="892"/>
      <c r="D347" s="999"/>
      <c r="E347" s="999"/>
      <c r="F347" s="999"/>
      <c r="G347" s="864"/>
    </row>
    <row r="348" spans="1:7">
      <c r="A348" s="892"/>
      <c r="B348" s="892"/>
      <c r="C348" s="892"/>
      <c r="D348" s="999"/>
      <c r="E348" s="999"/>
      <c r="F348" s="999"/>
      <c r="G348" s="864"/>
    </row>
    <row r="349" spans="1:7" ht="8.25" customHeight="1">
      <c r="A349" s="892"/>
      <c r="B349" s="892"/>
      <c r="C349" s="892"/>
      <c r="D349" s="999"/>
      <c r="E349" s="999"/>
      <c r="F349" s="999"/>
      <c r="G349" s="864"/>
    </row>
    <row r="350" spans="1:7" ht="13.7" customHeight="1">
      <c r="A350" s="892"/>
      <c r="B350" s="892"/>
      <c r="C350" s="892"/>
      <c r="D350" s="1000" t="s">
        <v>1430</v>
      </c>
      <c r="E350" s="1000"/>
      <c r="F350" s="1000"/>
      <c r="G350" s="864"/>
    </row>
    <row r="351" spans="1:7">
      <c r="A351" s="892"/>
      <c r="B351" s="892"/>
      <c r="C351" s="892"/>
      <c r="D351" s="1000"/>
      <c r="E351" s="1000"/>
      <c r="F351" s="1000"/>
      <c r="G351" s="864"/>
    </row>
    <row r="352" spans="1:7">
      <c r="A352" s="892"/>
      <c r="B352" s="892"/>
      <c r="C352" s="892"/>
      <c r="D352" s="1000"/>
      <c r="E352" s="1000"/>
      <c r="F352" s="1000"/>
      <c r="G352" s="864"/>
    </row>
    <row r="353" spans="1:7">
      <c r="A353" s="892"/>
      <c r="B353" s="892"/>
      <c r="C353" s="892"/>
      <c r="D353" s="1000"/>
      <c r="E353" s="1000"/>
      <c r="F353" s="1000"/>
      <c r="G353" s="864"/>
    </row>
    <row r="354" spans="1:7">
      <c r="A354" s="892"/>
      <c r="B354" s="892"/>
      <c r="C354" s="892"/>
      <c r="D354" s="1000"/>
      <c r="E354" s="1000"/>
      <c r="F354" s="1000"/>
      <c r="G354" s="864"/>
    </row>
    <row r="355" spans="1:7">
      <c r="A355" s="892"/>
      <c r="B355" s="892"/>
      <c r="C355" s="892"/>
      <c r="D355" s="1000"/>
      <c r="E355" s="1000"/>
      <c r="F355" s="1000"/>
      <c r="G355" s="864"/>
    </row>
    <row r="356" spans="1:7">
      <c r="A356" s="892"/>
      <c r="B356" s="892"/>
      <c r="C356" s="892"/>
      <c r="D356" s="1000"/>
      <c r="E356" s="1000"/>
      <c r="F356" s="1000"/>
      <c r="G356" s="864"/>
    </row>
    <row r="357" spans="1:7">
      <c r="A357" s="892"/>
      <c r="B357" s="892"/>
      <c r="C357" s="892"/>
      <c r="D357" s="1000"/>
      <c r="E357" s="1000"/>
      <c r="F357" s="1000"/>
      <c r="G357" s="864"/>
    </row>
    <row r="358" spans="1:7">
      <c r="A358" s="892"/>
      <c r="B358" s="892"/>
      <c r="C358" s="892"/>
      <c r="D358" s="1000"/>
      <c r="E358" s="1000"/>
      <c r="F358" s="1000"/>
      <c r="G358" s="864"/>
    </row>
    <row r="359" spans="1:7">
      <c r="A359" s="892"/>
      <c r="B359" s="892"/>
      <c r="C359" s="892"/>
      <c r="D359" s="1000"/>
      <c r="E359" s="1000"/>
      <c r="F359" s="1000"/>
      <c r="G359" s="864"/>
    </row>
    <row r="360" spans="1:7">
      <c r="A360" s="892"/>
      <c r="B360" s="892"/>
      <c r="C360" s="892"/>
      <c r="D360" s="1000"/>
      <c r="E360" s="1000"/>
      <c r="F360" s="1000"/>
      <c r="G360" s="864"/>
    </row>
    <row r="361" spans="1:7">
      <c r="A361" s="892"/>
      <c r="B361" s="892"/>
      <c r="C361" s="892"/>
      <c r="D361" s="1000"/>
      <c r="E361" s="1000"/>
      <c r="F361" s="1000"/>
      <c r="G361" s="864"/>
    </row>
    <row r="362" spans="1:7">
      <c r="A362" s="892"/>
      <c r="B362" s="892"/>
      <c r="C362" s="905"/>
      <c r="D362" s="1000"/>
      <c r="E362" s="1000"/>
      <c r="F362" s="1000"/>
      <c r="G362" s="864"/>
    </row>
    <row r="363" spans="1:7">
      <c r="A363" s="892"/>
      <c r="B363" s="892"/>
      <c r="C363" s="905"/>
      <c r="D363" s="1000"/>
      <c r="E363" s="1000"/>
      <c r="F363" s="1000"/>
      <c r="G363" s="864"/>
    </row>
    <row r="364" spans="1:7">
      <c r="A364" s="892"/>
      <c r="B364" s="892"/>
      <c r="C364" s="892"/>
      <c r="D364" s="1000"/>
      <c r="E364" s="1000"/>
      <c r="F364" s="1000"/>
      <c r="G364" s="864"/>
    </row>
    <row r="365" spans="1:7">
      <c r="A365" s="892"/>
      <c r="B365" s="892"/>
      <c r="C365" s="905"/>
      <c r="D365" s="1000"/>
      <c r="E365" s="1000"/>
      <c r="F365" s="1000"/>
      <c r="G365" s="864"/>
    </row>
    <row r="366" spans="1:7">
      <c r="A366" s="892"/>
      <c r="B366" s="892"/>
      <c r="C366" s="905"/>
      <c r="D366" s="1000"/>
      <c r="E366" s="1000"/>
      <c r="F366" s="1000"/>
      <c r="G366" s="864"/>
    </row>
    <row r="367" spans="1:7">
      <c r="A367" s="892"/>
      <c r="B367" s="892"/>
      <c r="C367" s="905"/>
      <c r="D367" s="1000"/>
      <c r="E367" s="1000"/>
      <c r="F367" s="1000"/>
      <c r="G367" s="864"/>
    </row>
    <row r="368" spans="1:7">
      <c r="A368" s="892"/>
      <c r="B368" s="892"/>
      <c r="C368" s="892"/>
      <c r="D368" s="904"/>
      <c r="E368" s="860"/>
      <c r="F368" s="874"/>
      <c r="G368" s="864"/>
    </row>
    <row r="369" spans="1:7">
      <c r="A369" s="892"/>
      <c r="B369" s="872" t="s">
        <v>333</v>
      </c>
      <c r="C369" s="892"/>
      <c r="D369" s="1000" t="s">
        <v>1431</v>
      </c>
      <c r="E369" s="1000"/>
      <c r="F369" s="1000"/>
      <c r="G369" s="864"/>
    </row>
    <row r="370" spans="1:7">
      <c r="A370" s="892"/>
      <c r="B370" s="892"/>
      <c r="C370" s="892"/>
      <c r="D370" s="1000"/>
      <c r="E370" s="1000"/>
      <c r="F370" s="1000"/>
      <c r="G370" s="864"/>
    </row>
    <row r="371" spans="1:7">
      <c r="A371" s="892"/>
      <c r="B371" s="892"/>
      <c r="C371" s="892"/>
      <c r="D371" s="860"/>
      <c r="E371" s="860"/>
      <c r="F371" s="874"/>
      <c r="G371" s="864"/>
    </row>
    <row r="372" spans="1:7" ht="14.25">
      <c r="A372" s="871"/>
      <c r="B372" s="872" t="s">
        <v>333</v>
      </c>
      <c r="C372" s="892"/>
      <c r="D372" s="1001" t="s">
        <v>1432</v>
      </c>
      <c r="E372" s="1001"/>
      <c r="F372" s="1001"/>
      <c r="G372" s="864"/>
    </row>
    <row r="373" spans="1:7" ht="14.25">
      <c r="A373" s="906"/>
      <c r="B373" s="906"/>
      <c r="C373" s="892"/>
      <c r="D373" s="1001"/>
      <c r="E373" s="1001"/>
      <c r="F373" s="1001"/>
      <c r="G373" s="864"/>
    </row>
    <row r="374" spans="1:7" ht="14.25">
      <c r="A374" s="906"/>
      <c r="B374" s="906"/>
      <c r="C374" s="892"/>
      <c r="D374" s="1001"/>
      <c r="E374" s="1001"/>
      <c r="F374" s="1001"/>
      <c r="G374" s="864"/>
    </row>
    <row r="375" spans="1:7" ht="14.25">
      <c r="A375" s="906"/>
      <c r="B375" s="906"/>
      <c r="C375" s="892"/>
      <c r="D375" s="1001"/>
      <c r="E375" s="1001"/>
      <c r="F375" s="1001"/>
      <c r="G375" s="864"/>
    </row>
    <row r="376" spans="1:7" ht="14.25">
      <c r="A376" s="906"/>
      <c r="B376" s="906"/>
      <c r="C376" s="892"/>
      <c r="D376" s="1001"/>
      <c r="E376" s="1001"/>
      <c r="F376" s="1001"/>
      <c r="G376" s="864"/>
    </row>
    <row r="377" spans="1:7">
      <c r="D377" s="874"/>
      <c r="E377" s="874"/>
      <c r="F377" s="874"/>
      <c r="G377" s="864"/>
    </row>
    <row r="378" spans="1:7" ht="14.25">
      <c r="A378" s="871"/>
      <c r="B378" s="872" t="s">
        <v>333</v>
      </c>
      <c r="C378" s="907"/>
      <c r="D378" s="1010" t="s">
        <v>1433</v>
      </c>
      <c r="E378" s="1010"/>
      <c r="F378" s="1010"/>
      <c r="G378" s="864"/>
    </row>
    <row r="379" spans="1:7" ht="14.25">
      <c r="A379" s="871"/>
      <c r="B379" s="871"/>
      <c r="D379" s="1010"/>
      <c r="E379" s="1010"/>
      <c r="F379" s="1010"/>
      <c r="G379" s="864"/>
    </row>
    <row r="380" spans="1:7">
      <c r="D380" s="1010"/>
      <c r="E380" s="1010"/>
      <c r="F380" s="1010"/>
      <c r="G380" s="864"/>
    </row>
    <row r="381" spans="1:7">
      <c r="D381" s="1010"/>
      <c r="E381" s="1010"/>
      <c r="F381" s="1010"/>
      <c r="G381" s="864"/>
    </row>
    <row r="382" spans="1:7">
      <c r="D382" s="1010"/>
      <c r="E382" s="1010"/>
      <c r="F382" s="1010"/>
      <c r="G382" s="864"/>
    </row>
    <row r="383" spans="1:7">
      <c r="D383" s="1010"/>
      <c r="E383" s="1010"/>
      <c r="F383" s="1010"/>
      <c r="G383" s="864"/>
    </row>
    <row r="384" spans="1:7">
      <c r="D384" s="1010"/>
      <c r="E384" s="1010"/>
      <c r="F384" s="1010"/>
      <c r="G384" s="864"/>
    </row>
    <row r="385" spans="1:7">
      <c r="D385" s="1010"/>
      <c r="E385" s="1010"/>
      <c r="F385" s="1010"/>
      <c r="G385" s="864"/>
    </row>
    <row r="386" spans="1:7">
      <c r="D386" s="1010"/>
      <c r="E386" s="1010"/>
      <c r="F386" s="1010"/>
      <c r="G386" s="864"/>
    </row>
    <row r="387" spans="1:7">
      <c r="D387" s="1010"/>
      <c r="E387" s="1010"/>
      <c r="F387" s="1010"/>
      <c r="G387" s="864"/>
    </row>
    <row r="388" spans="1:7">
      <c r="D388" s="1010"/>
      <c r="E388" s="1010"/>
      <c r="F388" s="1010"/>
      <c r="G388" s="864"/>
    </row>
    <row r="389" spans="1:7">
      <c r="D389" s="1010"/>
      <c r="E389" s="1010"/>
      <c r="F389" s="1010"/>
      <c r="G389" s="864"/>
    </row>
    <row r="390" spans="1:7">
      <c r="D390" s="1010"/>
      <c r="E390" s="1010"/>
      <c r="F390" s="1010"/>
      <c r="G390" s="864"/>
    </row>
    <row r="391" spans="1:7">
      <c r="A391" s="864"/>
      <c r="B391" s="864"/>
      <c r="C391" s="864"/>
      <c r="D391" s="1010"/>
      <c r="E391" s="1010"/>
      <c r="F391" s="1010"/>
      <c r="G391" s="864"/>
    </row>
    <row r="392" spans="1:7">
      <c r="A392" s="864"/>
      <c r="B392" s="864"/>
      <c r="C392" s="864"/>
      <c r="D392" s="1010"/>
      <c r="E392" s="1010"/>
      <c r="F392" s="1010"/>
      <c r="G392" s="864"/>
    </row>
    <row r="393" spans="1:7">
      <c r="A393" s="864"/>
      <c r="B393" s="864"/>
      <c r="C393" s="864"/>
      <c r="D393" s="1010"/>
      <c r="E393" s="1010"/>
      <c r="F393" s="1010"/>
      <c r="G393" s="864"/>
    </row>
    <row r="394" spans="1:7">
      <c r="A394" s="864"/>
      <c r="B394" s="864"/>
      <c r="C394" s="864"/>
      <c r="D394" s="1010"/>
      <c r="E394" s="1010"/>
      <c r="F394" s="1010"/>
      <c r="G394" s="864"/>
    </row>
    <row r="395" spans="1:7">
      <c r="A395" s="864"/>
      <c r="B395" s="864"/>
      <c r="C395" s="864"/>
      <c r="D395" s="1010"/>
      <c r="E395" s="1010"/>
      <c r="F395" s="1010"/>
      <c r="G395" s="864"/>
    </row>
    <row r="396" spans="1:7">
      <c r="A396" s="864"/>
      <c r="B396" s="864"/>
      <c r="C396" s="864"/>
      <c r="D396" s="1010"/>
      <c r="E396" s="1010"/>
      <c r="F396" s="1010"/>
      <c r="G396" s="864"/>
    </row>
    <row r="397" spans="1:7">
      <c r="A397" s="864"/>
      <c r="B397" s="864"/>
      <c r="C397" s="864"/>
      <c r="D397" s="1010"/>
      <c r="E397" s="1010"/>
      <c r="F397" s="1010"/>
      <c r="G397" s="864"/>
    </row>
    <row r="398" spans="1:7">
      <c r="A398" s="864"/>
      <c r="B398" s="864"/>
      <c r="C398" s="864"/>
      <c r="D398" s="1010"/>
      <c r="E398" s="1010"/>
      <c r="F398" s="1010"/>
      <c r="G398" s="864"/>
    </row>
    <row r="399" spans="1:7">
      <c r="A399" s="864"/>
      <c r="B399" s="864"/>
      <c r="C399" s="864"/>
      <c r="D399" s="1010"/>
      <c r="E399" s="1010"/>
      <c r="F399" s="1010"/>
      <c r="G399" s="864"/>
    </row>
    <row r="400" spans="1:7">
      <c r="A400" s="864"/>
      <c r="B400" s="864"/>
      <c r="C400" s="864"/>
      <c r="D400" s="1010"/>
      <c r="E400" s="1010"/>
      <c r="F400" s="1010"/>
      <c r="G400" s="864"/>
    </row>
    <row r="401" spans="1:7">
      <c r="A401" s="864"/>
      <c r="B401" s="864"/>
      <c r="C401" s="864"/>
      <c r="D401" s="1010"/>
      <c r="E401" s="1010"/>
      <c r="F401" s="1010"/>
      <c r="G401" s="864"/>
    </row>
    <row r="402" spans="1:7">
      <c r="A402" s="864"/>
      <c r="B402" s="864"/>
      <c r="C402" s="864"/>
      <c r="D402" s="1010"/>
      <c r="E402" s="1010"/>
      <c r="F402" s="1010"/>
      <c r="G402" s="864"/>
    </row>
    <row r="403" spans="1:7">
      <c r="A403" s="864"/>
      <c r="B403" s="864"/>
      <c r="C403" s="864"/>
      <c r="D403" s="1010"/>
      <c r="E403" s="1010"/>
      <c r="F403" s="1010"/>
      <c r="G403" s="864"/>
    </row>
    <row r="404" spans="1:7">
      <c r="A404" s="864"/>
      <c r="B404" s="864"/>
      <c r="C404" s="864"/>
      <c r="D404" s="1010"/>
      <c r="E404" s="1010"/>
      <c r="F404" s="1010"/>
      <c r="G404" s="864"/>
    </row>
    <row r="405" spans="1:7">
      <c r="A405" s="864"/>
      <c r="B405" s="864"/>
      <c r="C405" s="864"/>
      <c r="D405" s="1010"/>
      <c r="E405" s="1010"/>
      <c r="F405" s="1010"/>
      <c r="G405" s="864"/>
    </row>
    <row r="406" spans="1:7">
      <c r="A406" s="864"/>
      <c r="B406" s="864"/>
      <c r="C406" s="864"/>
      <c r="D406" s="1010"/>
      <c r="E406" s="1010"/>
      <c r="F406" s="1010"/>
      <c r="G406" s="864"/>
    </row>
    <row r="407" spans="1:7" s="909" customFormat="1">
      <c r="A407" s="862"/>
      <c r="B407" s="862"/>
      <c r="C407" s="862"/>
      <c r="D407" s="1010"/>
      <c r="E407" s="1010"/>
      <c r="F407" s="1010"/>
      <c r="G407" s="908"/>
    </row>
    <row r="408" spans="1:7" s="909" customFormat="1" ht="40.700000000000003" customHeight="1">
      <c r="A408" s="862"/>
      <c r="B408" s="862"/>
      <c r="C408" s="862"/>
      <c r="D408" s="1010"/>
      <c r="E408" s="1010"/>
      <c r="F408" s="1010"/>
      <c r="G408" s="908"/>
    </row>
    <row r="409" spans="1:7" s="909" customFormat="1">
      <c r="A409" s="862"/>
      <c r="B409" s="862"/>
      <c r="C409" s="862"/>
      <c r="D409" s="874"/>
      <c r="E409" s="874"/>
      <c r="F409" s="874"/>
      <c r="G409" s="908"/>
    </row>
    <row r="410" spans="1:7" ht="14.25">
      <c r="A410" s="871"/>
      <c r="B410" s="872" t="s">
        <v>333</v>
      </c>
      <c r="C410" s="907"/>
      <c r="D410" s="1012" t="s">
        <v>1434</v>
      </c>
      <c r="E410" s="1012"/>
      <c r="F410" s="1012"/>
    </row>
    <row r="411" spans="1:7">
      <c r="D411" s="1002" t="s">
        <v>1168</v>
      </c>
      <c r="E411" s="1002"/>
      <c r="F411" s="1002"/>
    </row>
    <row r="412" spans="1:7">
      <c r="D412" s="1084" t="s">
        <v>1435</v>
      </c>
      <c r="E412" s="1084"/>
      <c r="F412" s="1084"/>
    </row>
    <row r="413" spans="1:7">
      <c r="D413" s="1084"/>
      <c r="E413" s="1084"/>
      <c r="F413" s="1084"/>
    </row>
    <row r="414" spans="1:7">
      <c r="D414" s="1084"/>
      <c r="E414" s="1084"/>
      <c r="F414" s="1084"/>
    </row>
    <row r="415" spans="1:7">
      <c r="D415" s="1084"/>
      <c r="E415" s="1084"/>
      <c r="F415" s="1084"/>
    </row>
    <row r="416" spans="1:7">
      <c r="D416" s="874"/>
      <c r="E416" s="874"/>
      <c r="F416" s="874"/>
      <c r="G416" s="864"/>
    </row>
    <row r="417" spans="1:7" ht="14.25">
      <c r="A417" s="871"/>
      <c r="B417" s="872" t="s">
        <v>333</v>
      </c>
      <c r="C417" s="907"/>
      <c r="D417" s="1010" t="s">
        <v>1436</v>
      </c>
      <c r="E417" s="1010"/>
      <c r="F417" s="1010"/>
      <c r="G417" s="864"/>
    </row>
    <row r="418" spans="1:7">
      <c r="D418" s="1010"/>
      <c r="E418" s="1010"/>
      <c r="F418" s="1010"/>
      <c r="G418" s="864"/>
    </row>
    <row r="419" spans="1:7">
      <c r="D419" s="1010"/>
      <c r="E419" s="1010"/>
      <c r="F419" s="1010"/>
      <c r="G419" s="864"/>
    </row>
    <row r="420" spans="1:7">
      <c r="D420" s="858"/>
      <c r="E420" s="858"/>
      <c r="F420" s="858"/>
      <c r="G420" s="864"/>
    </row>
    <row r="421" spans="1:7" ht="14.25">
      <c r="B421" s="872" t="s">
        <v>333</v>
      </c>
      <c r="C421" s="871"/>
      <c r="D421" s="1084" t="s">
        <v>1535</v>
      </c>
      <c r="E421" s="1084"/>
      <c r="F421" s="1084"/>
      <c r="G421" s="864"/>
    </row>
    <row r="422" spans="1:7">
      <c r="D422" s="1084"/>
      <c r="E422" s="1084"/>
      <c r="F422" s="1084"/>
      <c r="G422" s="864"/>
    </row>
    <row r="423" spans="1:7">
      <c r="D423" s="874"/>
      <c r="E423" s="874"/>
      <c r="F423" s="874"/>
      <c r="G423" s="864"/>
    </row>
    <row r="424" spans="1:7" ht="14.25">
      <c r="B424" s="872" t="s">
        <v>333</v>
      </c>
      <c r="C424" s="871"/>
      <c r="D424" s="1084" t="s">
        <v>1438</v>
      </c>
      <c r="E424" s="1084"/>
      <c r="F424" s="1084"/>
      <c r="G424" s="864"/>
    </row>
    <row r="425" spans="1:7">
      <c r="D425" s="1084"/>
      <c r="E425" s="1084"/>
      <c r="F425" s="1084"/>
      <c r="G425" s="864"/>
    </row>
    <row r="426" spans="1:7">
      <c r="D426" s="1084"/>
      <c r="E426" s="1084"/>
      <c r="F426" s="1084"/>
      <c r="G426" s="864"/>
    </row>
    <row r="427" spans="1:7">
      <c r="D427" s="1084"/>
      <c r="E427" s="1084"/>
      <c r="F427" s="1084"/>
      <c r="G427" s="864"/>
    </row>
    <row r="428" spans="1:7">
      <c r="B428" s="872" t="s">
        <v>333</v>
      </c>
      <c r="D428" s="1084"/>
      <c r="E428" s="1084"/>
      <c r="F428" s="1084"/>
      <c r="G428" s="864"/>
    </row>
    <row r="429" spans="1:7">
      <c r="A429" s="864"/>
      <c r="B429" s="864"/>
      <c r="C429" s="864"/>
      <c r="D429" s="1084"/>
      <c r="E429" s="1084"/>
      <c r="F429" s="1084"/>
      <c r="G429" s="864"/>
    </row>
    <row r="430" spans="1:7">
      <c r="A430" s="864"/>
      <c r="C430" s="864"/>
      <c r="D430" s="1084"/>
      <c r="E430" s="1084"/>
      <c r="F430" s="1084"/>
      <c r="G430" s="864"/>
    </row>
    <row r="431" spans="1:7">
      <c r="A431" s="864"/>
      <c r="B431" s="872" t="s">
        <v>333</v>
      </c>
      <c r="C431" s="864"/>
      <c r="D431" s="1084"/>
      <c r="E431" s="1084"/>
      <c r="F431" s="1084"/>
      <c r="G431" s="864"/>
    </row>
    <row r="432" spans="1:7">
      <c r="A432" s="864"/>
      <c r="B432" s="864"/>
      <c r="C432" s="864"/>
      <c r="D432" s="1084"/>
      <c r="E432" s="1084"/>
      <c r="F432" s="1084"/>
      <c r="G432" s="864"/>
    </row>
    <row r="433" spans="1:7">
      <c r="A433" s="864"/>
      <c r="C433" s="864"/>
      <c r="D433" s="1084"/>
      <c r="E433" s="1084"/>
      <c r="F433" s="1084"/>
      <c r="G433" s="864"/>
    </row>
    <row r="434" spans="1:7">
      <c r="A434" s="864"/>
      <c r="C434" s="864"/>
      <c r="D434" s="1084"/>
      <c r="E434" s="1084"/>
      <c r="F434" s="1084"/>
      <c r="G434" s="864"/>
    </row>
    <row r="435" spans="1:7">
      <c r="A435" s="864"/>
      <c r="B435" s="872" t="s">
        <v>333</v>
      </c>
      <c r="C435" s="864"/>
      <c r="D435" s="1084"/>
      <c r="E435" s="1084"/>
      <c r="F435" s="1084"/>
      <c r="G435" s="864"/>
    </row>
    <row r="436" spans="1:7">
      <c r="A436" s="864"/>
      <c r="B436" s="864"/>
      <c r="C436" s="864"/>
      <c r="D436" s="1084"/>
      <c r="E436" s="1084"/>
      <c r="F436" s="1084"/>
      <c r="G436" s="864"/>
    </row>
    <row r="437" spans="1:7">
      <c r="A437" s="864"/>
      <c r="B437" s="872" t="s">
        <v>333</v>
      </c>
      <c r="C437" s="864"/>
      <c r="D437" s="1084"/>
      <c r="E437" s="1084"/>
      <c r="F437" s="1084"/>
      <c r="G437" s="864"/>
    </row>
    <row r="438" spans="1:7">
      <c r="A438" s="864"/>
      <c r="B438" s="864"/>
      <c r="C438" s="864"/>
      <c r="D438" s="910"/>
      <c r="E438" s="910"/>
      <c r="F438" s="910"/>
      <c r="G438" s="864"/>
    </row>
    <row r="439" spans="1:7">
      <c r="A439" s="864"/>
      <c r="B439" s="872" t="s">
        <v>333</v>
      </c>
      <c r="C439" s="864"/>
      <c r="D439" s="1084" t="s">
        <v>1439</v>
      </c>
      <c r="E439" s="1084"/>
      <c r="F439" s="1084"/>
      <c r="G439" s="864"/>
    </row>
    <row r="440" spans="1:7">
      <c r="A440" s="864"/>
      <c r="B440" s="864"/>
      <c r="C440" s="864"/>
      <c r="D440" s="1084"/>
      <c r="E440" s="1084"/>
      <c r="F440" s="1084"/>
      <c r="G440" s="864"/>
    </row>
    <row r="441" spans="1:7">
      <c r="A441" s="864"/>
      <c r="B441" s="864"/>
      <c r="C441" s="864"/>
      <c r="D441" s="1084"/>
      <c r="E441" s="1084"/>
      <c r="F441" s="1084"/>
      <c r="G441" s="864"/>
    </row>
    <row r="442" spans="1:7">
      <c r="A442" s="864"/>
      <c r="B442" s="864"/>
      <c r="C442" s="864"/>
      <c r="D442" s="1084"/>
      <c r="E442" s="1084"/>
      <c r="F442" s="1084"/>
      <c r="G442" s="864"/>
    </row>
    <row r="443" spans="1:7">
      <c r="D443" s="1084"/>
      <c r="E443" s="1084"/>
      <c r="F443" s="1084"/>
    </row>
    <row r="444" spans="1:7">
      <c r="D444" s="874"/>
      <c r="E444" s="874"/>
      <c r="F444" s="874"/>
    </row>
    <row r="445" spans="1:7">
      <c r="B445" s="872" t="s">
        <v>333</v>
      </c>
      <c r="D445" s="1085" t="s">
        <v>1440</v>
      </c>
      <c r="E445" s="1085"/>
      <c r="F445" s="1085"/>
    </row>
    <row r="446" spans="1:7">
      <c r="A446" s="874"/>
      <c r="B446" s="874"/>
    </row>
    <row r="447" spans="1:7">
      <c r="A447" s="992" t="s">
        <v>1267</v>
      </c>
      <c r="B447" s="992"/>
      <c r="C447" s="992"/>
      <c r="D447" s="992"/>
      <c r="E447" s="992"/>
      <c r="F447" s="992"/>
      <c r="G447" s="992"/>
    </row>
    <row r="448" spans="1:7">
      <c r="A448" s="874"/>
      <c r="B448" s="874"/>
    </row>
    <row r="449" spans="1:7">
      <c r="D449" s="988" t="s">
        <v>1011</v>
      </c>
      <c r="E449" s="988"/>
      <c r="F449" s="988"/>
    </row>
    <row r="450" spans="1:7" s="865" customFormat="1" ht="14.25">
      <c r="A450" s="879"/>
      <c r="B450" s="879"/>
      <c r="C450" s="875"/>
      <c r="D450" s="989" t="s">
        <v>1441</v>
      </c>
      <c r="E450" s="989"/>
      <c r="F450" s="989"/>
      <c r="G450" s="876"/>
    </row>
    <row r="451" spans="1:7" s="865" customFormat="1" ht="14.25">
      <c r="A451" s="879"/>
      <c r="B451" s="879"/>
      <c r="C451" s="875"/>
      <c r="D451" s="861"/>
      <c r="E451" s="744"/>
      <c r="F451" s="744"/>
      <c r="G451" s="876"/>
    </row>
    <row r="452" spans="1:7" s="865" customFormat="1" ht="14.25">
      <c r="A452" s="871"/>
      <c r="B452" s="872" t="s">
        <v>333</v>
      </c>
      <c r="C452" s="875"/>
      <c r="D452" s="990" t="s">
        <v>1442</v>
      </c>
      <c r="E452" s="990"/>
      <c r="F452" s="990"/>
      <c r="G452" s="876"/>
    </row>
    <row r="453" spans="1:7" s="865" customFormat="1" ht="14.25">
      <c r="A453" s="871"/>
      <c r="B453" s="871"/>
      <c r="C453" s="875"/>
      <c r="D453" s="990"/>
      <c r="E453" s="990"/>
      <c r="F453" s="990"/>
      <c r="G453" s="876"/>
    </row>
    <row r="454" spans="1:7" s="865" customFormat="1" ht="14.25">
      <c r="A454" s="871"/>
      <c r="B454" s="871"/>
      <c r="C454" s="875"/>
      <c r="D454" s="859"/>
      <c r="E454" s="744"/>
      <c r="F454" s="744"/>
      <c r="G454" s="876"/>
    </row>
    <row r="455" spans="1:7">
      <c r="B455" s="872" t="s">
        <v>333</v>
      </c>
      <c r="D455" s="991" t="s">
        <v>1443</v>
      </c>
      <c r="E455" s="991"/>
      <c r="F455" s="991"/>
    </row>
    <row r="456" spans="1:7" ht="14.25">
      <c r="A456" s="871"/>
      <c r="D456" s="991"/>
      <c r="E456" s="991"/>
      <c r="F456" s="991"/>
    </row>
    <row r="457" spans="1:7" ht="14.25">
      <c r="A457" s="871"/>
      <c r="B457" s="871"/>
      <c r="D457" s="991"/>
      <c r="E457" s="991"/>
      <c r="F457" s="991"/>
    </row>
    <row r="458" spans="1:7" ht="14.25">
      <c r="A458" s="871"/>
      <c r="B458" s="871"/>
      <c r="D458" s="991"/>
      <c r="E458" s="991"/>
      <c r="F458" s="991"/>
    </row>
    <row r="459" spans="1:7">
      <c r="D459" s="765"/>
      <c r="E459" s="765"/>
      <c r="F459" s="765"/>
      <c r="G459" s="864"/>
    </row>
    <row r="460" spans="1:7" ht="14.25">
      <c r="A460" s="871"/>
      <c r="B460" s="872" t="s">
        <v>333</v>
      </c>
      <c r="D460" s="1011" t="s">
        <v>1444</v>
      </c>
      <c r="E460" s="1011"/>
      <c r="F460" s="1011"/>
      <c r="G460" s="864"/>
    </row>
    <row r="461" spans="1:7" ht="14.25">
      <c r="A461" s="871"/>
      <c r="B461" s="871"/>
      <c r="D461" s="1011"/>
      <c r="E461" s="1011"/>
      <c r="F461" s="1011"/>
      <c r="G461" s="864"/>
    </row>
    <row r="462" spans="1:7" ht="14.25">
      <c r="A462" s="871"/>
      <c r="D462" s="1011"/>
      <c r="E462" s="1011"/>
      <c r="F462" s="1011"/>
      <c r="G462" s="864"/>
    </row>
    <row r="463" spans="1:7" ht="14.25">
      <c r="A463" s="871"/>
      <c r="B463" s="871"/>
      <c r="D463" s="765"/>
      <c r="E463" s="765"/>
      <c r="F463" s="765"/>
      <c r="G463" s="864"/>
    </row>
    <row r="464" spans="1:7" ht="14.25">
      <c r="A464" s="871"/>
      <c r="B464" s="872" t="s">
        <v>333</v>
      </c>
      <c r="D464" s="1012" t="s">
        <v>1445</v>
      </c>
      <c r="E464" s="1012"/>
      <c r="F464" s="1012"/>
      <c r="G464" s="864"/>
    </row>
    <row r="465" spans="1:7" ht="14.25">
      <c r="A465" s="871"/>
      <c r="B465" s="871"/>
      <c r="D465" s="859"/>
      <c r="E465" s="744"/>
      <c r="F465" s="744"/>
      <c r="G465" s="864"/>
    </row>
    <row r="466" spans="1:7" ht="14.25">
      <c r="A466" s="871"/>
      <c r="B466" s="872" t="s">
        <v>333</v>
      </c>
      <c r="D466" s="1010" t="s">
        <v>1446</v>
      </c>
      <c r="E466" s="1010"/>
      <c r="F466" s="1010"/>
      <c r="G466" s="864"/>
    </row>
    <row r="467" spans="1:7" ht="14.25">
      <c r="A467" s="871"/>
      <c r="D467" s="1010"/>
      <c r="E467" s="1010"/>
      <c r="F467" s="1010"/>
      <c r="G467" s="864"/>
    </row>
    <row r="468" spans="1:7">
      <c r="A468" s="894"/>
      <c r="B468" s="894"/>
      <c r="D468" s="805"/>
      <c r="E468" s="744"/>
      <c r="F468" s="744"/>
      <c r="G468" s="864"/>
    </row>
    <row r="469" spans="1:7">
      <c r="A469" s="894"/>
      <c r="B469" s="872" t="s">
        <v>333</v>
      </c>
      <c r="D469" s="1012" t="s">
        <v>1447</v>
      </c>
      <c r="E469" s="1012"/>
      <c r="F469" s="1012"/>
      <c r="G469" s="864"/>
    </row>
    <row r="470" spans="1:7" ht="14.25">
      <c r="A470" s="871"/>
      <c r="B470" s="871"/>
      <c r="D470" s="874"/>
    </row>
    <row r="471" spans="1:7">
      <c r="A471" s="992" t="s">
        <v>1268</v>
      </c>
      <c r="B471" s="992"/>
      <c r="C471" s="992"/>
      <c r="D471" s="992"/>
      <c r="E471" s="992"/>
      <c r="F471" s="992"/>
      <c r="G471" s="992"/>
    </row>
    <row r="472" spans="1:7" s="794" customFormat="1" ht="12" customHeight="1">
      <c r="A472" s="871"/>
      <c r="B472" s="871"/>
      <c r="C472" s="878"/>
      <c r="D472" s="859"/>
      <c r="E472" s="744"/>
      <c r="F472" s="744"/>
      <c r="G472" s="744"/>
    </row>
    <row r="473" spans="1:7" s="794" customFormat="1">
      <c r="A473" s="875"/>
      <c r="B473" s="875"/>
      <c r="C473" s="911"/>
      <c r="D473" s="1086" t="s">
        <v>907</v>
      </c>
      <c r="E473" s="1086"/>
      <c r="F473" s="1086"/>
      <c r="G473" s="765"/>
    </row>
    <row r="474" spans="1:7" s="794" customFormat="1">
      <c r="A474" s="875"/>
      <c r="B474" s="875"/>
      <c r="C474" s="911"/>
      <c r="D474" s="940" t="s">
        <v>1544</v>
      </c>
      <c r="E474" s="940"/>
      <c r="F474" s="940"/>
      <c r="G474" s="765"/>
    </row>
    <row r="475" spans="1:7" s="794" customFormat="1">
      <c r="A475" s="875"/>
      <c r="B475" s="875"/>
      <c r="C475" s="911"/>
      <c r="D475" s="940" t="s">
        <v>1545</v>
      </c>
      <c r="E475" s="940"/>
      <c r="F475" s="940"/>
      <c r="G475" s="765"/>
    </row>
    <row r="476" spans="1:7" s="794" customFormat="1">
      <c r="A476" s="875"/>
      <c r="B476" s="875"/>
      <c r="C476" s="911"/>
      <c r="D476" s="939"/>
      <c r="E476" s="939"/>
      <c r="F476" s="939"/>
      <c r="G476" s="765"/>
    </row>
    <row r="477" spans="1:7" s="794" customFormat="1" ht="13.7" customHeight="1">
      <c r="A477" s="869"/>
      <c r="B477" s="872" t="s">
        <v>333</v>
      </c>
      <c r="C477" s="873"/>
      <c r="D477" s="984" t="s">
        <v>1543</v>
      </c>
      <c r="E477" s="984"/>
      <c r="F477" s="984"/>
      <c r="G477" s="744"/>
    </row>
    <row r="478" spans="1:7" s="794" customFormat="1">
      <c r="A478" s="869"/>
      <c r="B478" s="869"/>
      <c r="C478" s="873"/>
      <c r="D478" s="984"/>
      <c r="E478" s="984"/>
      <c r="F478" s="984"/>
      <c r="G478" s="744"/>
    </row>
    <row r="479" spans="1:7" s="794" customFormat="1">
      <c r="A479" s="869"/>
      <c r="B479" s="869"/>
      <c r="C479" s="873"/>
      <c r="D479" s="912"/>
      <c r="E479" s="744"/>
      <c r="F479" s="859"/>
      <c r="G479" s="744"/>
    </row>
    <row r="480" spans="1:7" s="794" customFormat="1" ht="14.45" customHeight="1">
      <c r="A480" s="871"/>
      <c r="B480" s="872" t="s">
        <v>333</v>
      </c>
      <c r="C480" s="873"/>
      <c r="D480" s="984" t="s">
        <v>1310</v>
      </c>
      <c r="E480" s="984"/>
      <c r="F480" s="984"/>
      <c r="G480" s="744"/>
    </row>
    <row r="481" spans="1:7" s="794" customFormat="1">
      <c r="A481" s="869"/>
      <c r="B481" s="869"/>
      <c r="C481" s="873"/>
      <c r="D481" s="984"/>
      <c r="E481" s="984"/>
      <c r="F481" s="984"/>
      <c r="G481" s="744"/>
    </row>
    <row r="482" spans="1:7" s="794" customFormat="1">
      <c r="A482" s="869"/>
      <c r="B482" s="869"/>
      <c r="C482" s="873"/>
      <c r="D482" s="984"/>
      <c r="E482" s="984"/>
      <c r="F482" s="984"/>
      <c r="G482" s="744"/>
    </row>
    <row r="483" spans="1:7" s="794" customFormat="1">
      <c r="A483" s="869"/>
      <c r="B483" s="869"/>
      <c r="C483" s="873"/>
      <c r="D483" s="984"/>
      <c r="E483" s="984"/>
      <c r="F483" s="984"/>
      <c r="G483" s="744"/>
    </row>
    <row r="484" spans="1:7" s="794" customFormat="1">
      <c r="A484" s="869"/>
      <c r="B484" s="869"/>
      <c r="C484" s="873"/>
      <c r="D484" s="984"/>
      <c r="E484" s="984"/>
      <c r="F484" s="984"/>
      <c r="G484" s="744"/>
    </row>
    <row r="485" spans="1:7" s="794" customFormat="1">
      <c r="A485" s="869"/>
      <c r="B485" s="869"/>
      <c r="C485" s="873"/>
      <c r="D485" s="805"/>
      <c r="E485" s="744"/>
      <c r="F485" s="859"/>
      <c r="G485" s="744"/>
    </row>
    <row r="486" spans="1:7" s="794" customFormat="1" ht="14.45" customHeight="1">
      <c r="A486" s="871"/>
      <c r="B486" s="872" t="s">
        <v>333</v>
      </c>
      <c r="C486" s="873"/>
      <c r="D486" s="984" t="s">
        <v>1313</v>
      </c>
      <c r="E486" s="984"/>
      <c r="F486" s="984"/>
      <c r="G486" s="744"/>
    </row>
    <row r="487" spans="1:7" s="794" customFormat="1">
      <c r="A487" s="869"/>
      <c r="B487" s="869"/>
      <c r="C487" s="873"/>
      <c r="D487" s="984"/>
      <c r="E487" s="984"/>
      <c r="F487" s="984"/>
      <c r="G487" s="744"/>
    </row>
    <row r="488" spans="1:7" s="794" customFormat="1">
      <c r="A488" s="869"/>
      <c r="B488" s="869"/>
      <c r="C488" s="873"/>
      <c r="D488" s="984"/>
      <c r="E488" s="984"/>
      <c r="F488" s="984"/>
      <c r="G488" s="744"/>
    </row>
    <row r="489" spans="1:7" s="794" customFormat="1">
      <c r="A489" s="869"/>
      <c r="B489" s="869"/>
      <c r="C489" s="873"/>
      <c r="D489" s="984"/>
      <c r="E489" s="984"/>
      <c r="F489" s="984"/>
      <c r="G489" s="744"/>
    </row>
    <row r="490" spans="1:7" s="794" customFormat="1" ht="9.9499999999999993" customHeight="1">
      <c r="A490" s="869"/>
      <c r="B490" s="869"/>
      <c r="C490" s="873"/>
      <c r="D490" s="805"/>
      <c r="E490" s="744"/>
      <c r="F490" s="859"/>
      <c r="G490" s="744"/>
    </row>
    <row r="491" spans="1:7" s="794" customFormat="1" ht="14.45" customHeight="1">
      <c r="A491" s="871"/>
      <c r="B491" s="872" t="s">
        <v>333</v>
      </c>
      <c r="C491" s="873"/>
      <c r="D491" s="984" t="s">
        <v>1311</v>
      </c>
      <c r="E491" s="984"/>
      <c r="F491" s="984"/>
      <c r="G491" s="744"/>
    </row>
    <row r="492" spans="1:7" s="794" customFormat="1">
      <c r="A492" s="869"/>
      <c r="B492" s="869"/>
      <c r="C492" s="873"/>
      <c r="D492" s="984"/>
      <c r="E492" s="984"/>
      <c r="F492" s="984"/>
      <c r="G492" s="744"/>
    </row>
    <row r="493" spans="1:7" s="794" customFormat="1">
      <c r="A493" s="869"/>
      <c r="B493" s="869"/>
      <c r="C493" s="873"/>
      <c r="D493" s="984"/>
      <c r="E493" s="984"/>
      <c r="F493" s="984"/>
      <c r="G493" s="744"/>
    </row>
    <row r="494" spans="1:7" s="794" customFormat="1">
      <c r="A494" s="869"/>
      <c r="B494" s="869"/>
      <c r="C494" s="873"/>
      <c r="D494" s="857"/>
      <c r="E494" s="857"/>
      <c r="F494" s="857"/>
      <c r="G494" s="744"/>
    </row>
    <row r="495" spans="1:7" s="794" customFormat="1" ht="14.45" customHeight="1">
      <c r="A495" s="871"/>
      <c r="B495" s="872" t="s">
        <v>333</v>
      </c>
      <c r="C495" s="873"/>
      <c r="D495" s="984" t="s">
        <v>1312</v>
      </c>
      <c r="E495" s="984"/>
      <c r="F495" s="984"/>
      <c r="G495" s="744"/>
    </row>
    <row r="496" spans="1:7" s="794" customFormat="1">
      <c r="A496" s="869"/>
      <c r="B496" s="869"/>
      <c r="C496" s="873"/>
      <c r="D496" s="984"/>
      <c r="E496" s="984"/>
      <c r="F496" s="984"/>
      <c r="G496" s="744"/>
    </row>
    <row r="497" spans="1:7" s="794" customFormat="1">
      <c r="A497" s="869"/>
      <c r="B497" s="869"/>
      <c r="C497" s="873"/>
      <c r="D497" s="984"/>
      <c r="E497" s="984"/>
      <c r="F497" s="984"/>
      <c r="G497" s="744"/>
    </row>
    <row r="498" spans="1:7" s="794" customFormat="1">
      <c r="A498" s="869"/>
      <c r="B498" s="869"/>
      <c r="C498" s="873"/>
      <c r="D498" s="984"/>
      <c r="E498" s="984"/>
      <c r="F498" s="984"/>
      <c r="G498" s="744"/>
    </row>
    <row r="499" spans="1:7" s="794" customFormat="1">
      <c r="A499" s="869"/>
      <c r="B499" s="869"/>
      <c r="C499" s="873"/>
      <c r="D499" s="984"/>
      <c r="E499" s="984"/>
      <c r="F499" s="984"/>
      <c r="G499" s="744"/>
    </row>
    <row r="500" spans="1:7" s="794" customFormat="1">
      <c r="A500" s="869"/>
      <c r="B500" s="869"/>
      <c r="C500" s="873"/>
      <c r="D500" s="984"/>
      <c r="E500" s="984"/>
      <c r="F500" s="984"/>
      <c r="G500" s="744"/>
    </row>
    <row r="501" spans="1:7" s="794" customFormat="1">
      <c r="A501" s="869"/>
      <c r="B501" s="869"/>
      <c r="C501" s="873"/>
      <c r="D501" s="984"/>
      <c r="E501" s="984"/>
      <c r="F501" s="984"/>
      <c r="G501" s="744"/>
    </row>
    <row r="502" spans="1:7" s="794" customFormat="1">
      <c r="A502" s="913"/>
      <c r="B502" s="913"/>
      <c r="C502" s="914"/>
      <c r="D502" s="984"/>
      <c r="E502" s="984"/>
      <c r="F502" s="984"/>
      <c r="G502" s="744"/>
    </row>
    <row r="503" spans="1:7" s="794" customFormat="1">
      <c r="A503" s="913"/>
      <c r="B503" s="913"/>
      <c r="C503" s="914"/>
      <c r="D503" s="984"/>
      <c r="E503" s="984"/>
      <c r="F503" s="984"/>
      <c r="G503" s="744"/>
    </row>
    <row r="504" spans="1:7" s="794" customFormat="1">
      <c r="A504" s="913"/>
      <c r="B504" s="913"/>
      <c r="C504" s="914"/>
      <c r="D504" s="805"/>
      <c r="E504" s="744"/>
      <c r="F504" s="859"/>
      <c r="G504" s="744"/>
    </row>
    <row r="505" spans="1:7" s="794" customFormat="1" ht="13.7" customHeight="1">
      <c r="A505" s="913"/>
      <c r="B505" s="872" t="s">
        <v>333</v>
      </c>
      <c r="C505" s="914"/>
      <c r="D505" s="984" t="s">
        <v>1466</v>
      </c>
      <c r="E505" s="984"/>
      <c r="F505" s="984"/>
      <c r="G505" s="744"/>
    </row>
    <row r="506" spans="1:7" s="794" customFormat="1">
      <c r="A506" s="913"/>
      <c r="B506" s="913"/>
      <c r="C506" s="914"/>
      <c r="D506" s="984"/>
      <c r="E506" s="984"/>
      <c r="F506" s="984"/>
      <c r="G506" s="744"/>
    </row>
    <row r="507" spans="1:7" s="794" customFormat="1">
      <c r="A507" s="913"/>
      <c r="B507" s="913"/>
      <c r="C507" s="914"/>
      <c r="D507" s="984"/>
      <c r="E507" s="984"/>
      <c r="F507" s="984"/>
      <c r="G507" s="744"/>
    </row>
    <row r="508" spans="1:7" s="794" customFormat="1">
      <c r="A508" s="913"/>
      <c r="B508" s="913"/>
      <c r="C508" s="914"/>
      <c r="D508" s="984"/>
      <c r="E508" s="984"/>
      <c r="F508" s="984"/>
      <c r="G508" s="744"/>
    </row>
    <row r="509" spans="1:7" s="794" customFormat="1">
      <c r="A509" s="869"/>
      <c r="B509" s="869"/>
      <c r="C509" s="873"/>
      <c r="D509" s="984"/>
      <c r="E509" s="984"/>
      <c r="F509" s="984"/>
      <c r="G509" s="744"/>
    </row>
    <row r="510" spans="1:7" s="794" customFormat="1">
      <c r="A510" s="869"/>
      <c r="B510" s="869"/>
      <c r="C510" s="873"/>
      <c r="D510" s="857"/>
      <c r="E510" s="857"/>
      <c r="F510" s="857"/>
      <c r="G510" s="744"/>
    </row>
    <row r="511" spans="1:7" s="794" customFormat="1" ht="14.45" customHeight="1">
      <c r="A511" s="871"/>
      <c r="B511" s="872" t="s">
        <v>333</v>
      </c>
      <c r="C511" s="878"/>
      <c r="D511" s="984" t="s">
        <v>1314</v>
      </c>
      <c r="E511" s="984"/>
      <c r="F511" s="984"/>
      <c r="G511" s="744"/>
    </row>
    <row r="512" spans="1:7" s="794" customFormat="1">
      <c r="A512" s="862"/>
      <c r="B512" s="862"/>
      <c r="C512" s="878"/>
      <c r="D512" s="984"/>
      <c r="E512" s="984"/>
      <c r="F512" s="984"/>
      <c r="G512" s="744"/>
    </row>
    <row r="513" spans="1:7" s="794" customFormat="1">
      <c r="A513" s="862"/>
      <c r="B513" s="862"/>
      <c r="C513" s="878"/>
      <c r="D513" s="984"/>
      <c r="E513" s="984"/>
      <c r="F513" s="984"/>
      <c r="G513" s="744"/>
    </row>
    <row r="514" spans="1:7" s="794" customFormat="1" ht="12" customHeight="1">
      <c r="A514" s="874"/>
      <c r="B514" s="874"/>
      <c r="C514" s="885"/>
      <c r="D514" s="874"/>
      <c r="E514" s="744"/>
      <c r="F514" s="915"/>
      <c r="G514" s="744"/>
    </row>
    <row r="515" spans="1:7">
      <c r="A515" s="992" t="s">
        <v>1269</v>
      </c>
      <c r="B515" s="992"/>
      <c r="C515" s="992"/>
      <c r="D515" s="992"/>
      <c r="E515" s="992"/>
      <c r="F515" s="992"/>
      <c r="G515" s="992"/>
    </row>
    <row r="516" spans="1:7">
      <c r="A516" s="874"/>
      <c r="B516" s="874"/>
      <c r="C516" s="907"/>
      <c r="F516" s="916"/>
    </row>
    <row r="517" spans="1:7">
      <c r="B517" s="1074" t="s">
        <v>513</v>
      </c>
      <c r="C517" s="1074"/>
      <c r="D517" s="1074"/>
      <c r="E517" s="1074"/>
      <c r="F517" s="1074"/>
    </row>
    <row r="518" spans="1:7">
      <c r="A518" s="874"/>
      <c r="B518" s="874"/>
      <c r="C518" s="907"/>
      <c r="D518" s="874"/>
      <c r="F518" s="874"/>
    </row>
    <row r="519" spans="1:7">
      <c r="A519" s="1042" t="s">
        <v>1270</v>
      </c>
      <c r="B519" s="1042"/>
      <c r="C519" s="1042"/>
      <c r="D519" s="1042"/>
      <c r="E519" s="1042"/>
      <c r="F519" s="1042"/>
      <c r="G519" s="1042"/>
    </row>
    <row r="520" spans="1:7">
      <c r="A520" s="874"/>
      <c r="B520" s="874"/>
      <c r="C520" s="907"/>
      <c r="D520" s="874"/>
      <c r="F520" s="874"/>
    </row>
    <row r="521" spans="1:7">
      <c r="C521" s="907"/>
      <c r="D521" s="1009" t="s">
        <v>769</v>
      </c>
      <c r="E521" s="1009"/>
      <c r="F521" s="1009"/>
    </row>
    <row r="522" spans="1:7">
      <c r="C522" s="907"/>
      <c r="D522" s="1012" t="s">
        <v>1341</v>
      </c>
      <c r="E522" s="1012"/>
      <c r="F522" s="1012"/>
    </row>
    <row r="523" spans="1:7">
      <c r="C523" s="907"/>
      <c r="D523" s="859"/>
      <c r="E523" s="859"/>
      <c r="F523" s="859"/>
    </row>
    <row r="524" spans="1:7" ht="13.7" customHeight="1">
      <c r="A524" s="871"/>
      <c r="B524" s="872" t="s">
        <v>333</v>
      </c>
      <c r="C524" s="907"/>
      <c r="D524" s="1012" t="s">
        <v>1012</v>
      </c>
      <c r="E524" s="1012"/>
      <c r="F524" s="1012"/>
      <c r="G524" s="864"/>
    </row>
    <row r="525" spans="1:7" ht="13.7" customHeight="1">
      <c r="A525" s="907"/>
      <c r="B525" s="907"/>
      <c r="C525" s="907"/>
      <c r="D525" s="859"/>
      <c r="E525" s="684"/>
      <c r="F525" s="684"/>
      <c r="G525" s="864"/>
    </row>
    <row r="526" spans="1:7" ht="14.25">
      <c r="A526" s="871"/>
      <c r="B526" s="872" t="s">
        <v>333</v>
      </c>
      <c r="C526" s="907"/>
      <c r="D526" s="1010" t="s">
        <v>1342</v>
      </c>
      <c r="E526" s="1010"/>
      <c r="F526" s="1010"/>
      <c r="G526" s="864"/>
    </row>
    <row r="527" spans="1:7">
      <c r="A527" s="907"/>
      <c r="B527" s="907"/>
      <c r="C527" s="907"/>
      <c r="D527" s="1010"/>
      <c r="E527" s="1010"/>
      <c r="F527" s="1010"/>
      <c r="G527" s="864"/>
    </row>
    <row r="528" spans="1:7">
      <c r="A528" s="907"/>
      <c r="B528" s="907"/>
      <c r="C528" s="907"/>
      <c r="D528" s="874"/>
      <c r="E528" s="874"/>
      <c r="F528" s="874"/>
      <c r="G528" s="864"/>
    </row>
    <row r="529" spans="1:7" ht="14.25">
      <c r="A529" s="871"/>
      <c r="B529" s="872" t="s">
        <v>333</v>
      </c>
      <c r="C529" s="907"/>
      <c r="D529" s="1010" t="s">
        <v>1343</v>
      </c>
      <c r="E529" s="1010"/>
      <c r="F529" s="1010"/>
      <c r="G529" s="864"/>
    </row>
    <row r="530" spans="1:7">
      <c r="A530" s="907"/>
      <c r="B530" s="907"/>
      <c r="C530" s="907"/>
      <c r="D530" s="1010"/>
      <c r="E530" s="1010"/>
      <c r="F530" s="1010"/>
      <c r="G530" s="864"/>
    </row>
    <row r="531" spans="1:7">
      <c r="A531" s="907"/>
      <c r="B531" s="907"/>
      <c r="C531" s="907"/>
      <c r="D531" s="874"/>
      <c r="E531" s="874"/>
      <c r="F531" s="874"/>
      <c r="G531" s="864"/>
    </row>
    <row r="532" spans="1:7" ht="14.25">
      <c r="A532" s="871"/>
      <c r="B532" s="872" t="s">
        <v>333</v>
      </c>
      <c r="C532" s="907"/>
      <c r="D532" s="1010" t="s">
        <v>1344</v>
      </c>
      <c r="E532" s="1010"/>
      <c r="F532" s="1010"/>
      <c r="G532" s="864"/>
    </row>
    <row r="533" spans="1:7">
      <c r="A533" s="907"/>
      <c r="B533" s="907"/>
      <c r="C533" s="907"/>
      <c r="D533" s="1010"/>
      <c r="E533" s="1010"/>
      <c r="F533" s="1010"/>
      <c r="G533" s="864"/>
    </row>
    <row r="534" spans="1:7">
      <c r="A534" s="907"/>
      <c r="B534" s="907"/>
      <c r="C534" s="907"/>
      <c r="D534" s="874"/>
      <c r="E534" s="874"/>
      <c r="F534" s="874"/>
      <c r="G534" s="864"/>
    </row>
    <row r="535" spans="1:7" ht="14.25">
      <c r="A535" s="871"/>
      <c r="B535" s="872" t="s">
        <v>333</v>
      </c>
      <c r="C535" s="907"/>
      <c r="D535" s="1010" t="s">
        <v>1345</v>
      </c>
      <c r="E535" s="1010"/>
      <c r="F535" s="1010"/>
      <c r="G535" s="864"/>
    </row>
    <row r="536" spans="1:7">
      <c r="A536" s="907"/>
      <c r="B536" s="907"/>
      <c r="C536" s="907"/>
      <c r="D536" s="1010"/>
      <c r="E536" s="1010"/>
      <c r="F536" s="1010"/>
      <c r="G536" s="864"/>
    </row>
    <row r="537" spans="1:7">
      <c r="A537" s="907"/>
      <c r="B537" s="907"/>
      <c r="C537" s="907"/>
      <c r="D537" s="1010"/>
      <c r="E537" s="1010"/>
      <c r="F537" s="1010"/>
      <c r="G537" s="864"/>
    </row>
    <row r="538" spans="1:7">
      <c r="A538" s="907"/>
      <c r="B538" s="907"/>
      <c r="C538" s="907"/>
      <c r="D538" s="874"/>
      <c r="E538" s="874"/>
      <c r="F538" s="874"/>
    </row>
    <row r="539" spans="1:7" ht="14.25">
      <c r="A539" s="871"/>
      <c r="B539" s="872" t="s">
        <v>333</v>
      </c>
      <c r="C539" s="907"/>
      <c r="D539" s="1064" t="s">
        <v>1467</v>
      </c>
      <c r="E539" s="1064"/>
      <c r="F539" s="1064"/>
    </row>
    <row r="540" spans="1:7">
      <c r="A540" s="907"/>
      <c r="B540" s="907"/>
      <c r="C540" s="907"/>
      <c r="D540" s="1064"/>
      <c r="E540" s="1064"/>
      <c r="F540" s="1064"/>
    </row>
    <row r="541" spans="1:7">
      <c r="A541" s="907"/>
      <c r="B541" s="907"/>
      <c r="C541" s="907"/>
      <c r="D541" s="874"/>
      <c r="E541" s="874"/>
      <c r="F541" s="874"/>
    </row>
    <row r="542" spans="1:7" ht="14.25">
      <c r="A542" s="871"/>
      <c r="B542" s="872" t="s">
        <v>333</v>
      </c>
      <c r="C542" s="907"/>
      <c r="D542" s="1064" t="s">
        <v>1346</v>
      </c>
      <c r="E542" s="1064"/>
      <c r="F542" s="1064"/>
    </row>
    <row r="543" spans="1:7">
      <c r="A543" s="907"/>
      <c r="B543" s="907"/>
      <c r="C543" s="907"/>
      <c r="D543" s="1064"/>
      <c r="E543" s="1064"/>
      <c r="F543" s="1064"/>
    </row>
    <row r="544" spans="1:7">
      <c r="A544" s="907"/>
      <c r="B544" s="907"/>
      <c r="C544" s="907"/>
      <c r="D544" s="874"/>
      <c r="E544" s="874"/>
      <c r="F544" s="874"/>
    </row>
    <row r="545" spans="1:7" ht="14.25">
      <c r="A545" s="871"/>
      <c r="B545" s="872" t="s">
        <v>333</v>
      </c>
      <c r="C545" s="907"/>
      <c r="D545" s="1010" t="s">
        <v>1347</v>
      </c>
      <c r="E545" s="1010"/>
      <c r="F545" s="1010"/>
    </row>
    <row r="546" spans="1:7">
      <c r="A546" s="907"/>
      <c r="B546" s="907"/>
      <c r="C546" s="907"/>
      <c r="D546" s="1010"/>
      <c r="E546" s="1010"/>
      <c r="F546" s="1010"/>
      <c r="G546" s="897"/>
    </row>
    <row r="547" spans="1:7">
      <c r="A547" s="907"/>
      <c r="B547" s="907"/>
      <c r="C547" s="907"/>
      <c r="D547" s="874"/>
      <c r="E547" s="874"/>
      <c r="F547" s="874"/>
      <c r="G547" s="897"/>
    </row>
    <row r="548" spans="1:7" ht="14.25">
      <c r="A548" s="871"/>
      <c r="B548" s="872" t="s">
        <v>333</v>
      </c>
      <c r="C548" s="907"/>
      <c r="D548" s="1012" t="s">
        <v>1348</v>
      </c>
      <c r="E548" s="1012"/>
      <c r="F548" s="1012"/>
      <c r="G548" s="897"/>
    </row>
    <row r="549" spans="1:7">
      <c r="A549" s="894"/>
      <c r="B549" s="894"/>
      <c r="C549" s="907"/>
      <c r="D549" s="1012" t="s">
        <v>938</v>
      </c>
      <c r="E549" s="1012"/>
      <c r="F549" s="1012"/>
      <c r="G549" s="897"/>
    </row>
    <row r="550" spans="1:7">
      <c r="A550" s="894"/>
      <c r="B550" s="894"/>
      <c r="C550" s="907"/>
      <c r="D550" s="744"/>
      <c r="E550" s="1065" t="s">
        <v>1349</v>
      </c>
      <c r="F550" s="1065"/>
      <c r="G550" s="897"/>
    </row>
    <row r="551" spans="1:7" ht="14.25">
      <c r="A551" s="871"/>
      <c r="B551" s="871"/>
      <c r="C551" s="907"/>
      <c r="E551" s="874"/>
      <c r="F551" s="874"/>
      <c r="G551" s="897"/>
    </row>
    <row r="552" spans="1:7" ht="14.25">
      <c r="A552" s="871"/>
      <c r="B552" s="872" t="s">
        <v>333</v>
      </c>
      <c r="C552" s="907"/>
      <c r="D552" s="1094" t="s">
        <v>1350</v>
      </c>
      <c r="E552" s="1094"/>
      <c r="F552" s="1094"/>
      <c r="G552" s="897"/>
    </row>
    <row r="553" spans="1:7">
      <c r="C553" s="907"/>
      <c r="D553" s="1010" t="s">
        <v>1351</v>
      </c>
      <c r="E553" s="1010"/>
      <c r="F553" s="1010"/>
      <c r="G553" s="897"/>
    </row>
    <row r="554" spans="1:7">
      <c r="A554" s="907"/>
      <c r="B554" s="907"/>
      <c r="C554" s="907"/>
      <c r="D554" s="1010"/>
      <c r="E554" s="1010"/>
      <c r="F554" s="1010"/>
      <c r="G554" s="897"/>
    </row>
    <row r="555" spans="1:7">
      <c r="A555" s="907"/>
      <c r="B555" s="907"/>
      <c r="C555" s="907"/>
      <c r="D555" s="1010"/>
      <c r="E555" s="1010"/>
      <c r="F555" s="1010"/>
      <c r="G555" s="897"/>
    </row>
    <row r="556" spans="1:7">
      <c r="A556" s="907"/>
      <c r="B556" s="907"/>
      <c r="C556" s="907"/>
      <c r="D556" s="874"/>
      <c r="E556" s="874"/>
      <c r="F556" s="874"/>
      <c r="G556" s="897"/>
    </row>
    <row r="557" spans="1:7" ht="14.25">
      <c r="A557" s="871"/>
      <c r="B557" s="872" t="s">
        <v>333</v>
      </c>
      <c r="C557" s="907"/>
      <c r="D557" s="1010" t="s">
        <v>1352</v>
      </c>
      <c r="E557" s="1010"/>
      <c r="F557" s="1010"/>
      <c r="G557" s="897"/>
    </row>
    <row r="558" spans="1:7" ht="14.25">
      <c r="A558" s="871"/>
      <c r="B558" s="871"/>
      <c r="C558" s="907"/>
      <c r="D558" s="1010"/>
      <c r="E558" s="1010"/>
      <c r="F558" s="1010"/>
      <c r="G558" s="897"/>
    </row>
    <row r="559" spans="1:7" ht="14.25">
      <c r="A559" s="871"/>
      <c r="B559" s="871"/>
      <c r="C559" s="907"/>
      <c r="D559" s="1010"/>
      <c r="E559" s="1010"/>
      <c r="F559" s="1010"/>
      <c r="G559" s="897"/>
    </row>
    <row r="560" spans="1:7" ht="14.25">
      <c r="A560" s="871"/>
      <c r="B560" s="871"/>
      <c r="C560" s="907"/>
      <c r="D560" s="1010"/>
      <c r="E560" s="1010"/>
      <c r="F560" s="1010"/>
      <c r="G560" s="897"/>
    </row>
    <row r="561" spans="1:7" ht="14.25">
      <c r="A561" s="871"/>
      <c r="B561" s="871"/>
      <c r="C561" s="907"/>
      <c r="D561" s="874"/>
      <c r="E561" s="874"/>
      <c r="F561" s="874"/>
      <c r="G561" s="897"/>
    </row>
    <row r="562" spans="1:7">
      <c r="A562" s="992" t="s">
        <v>1271</v>
      </c>
      <c r="B562" s="992"/>
      <c r="C562" s="992"/>
      <c r="D562" s="992"/>
      <c r="E562" s="992"/>
      <c r="F562" s="992"/>
      <c r="G562" s="992"/>
    </row>
    <row r="563" spans="1:7">
      <c r="A563" s="907"/>
      <c r="B563" s="907"/>
      <c r="C563" s="907"/>
      <c r="E563" s="874"/>
      <c r="F563" s="874"/>
      <c r="G563" s="897"/>
    </row>
    <row r="564" spans="1:7" ht="12.75" customHeight="1">
      <c r="C564" s="867"/>
      <c r="D564" s="1081" t="s">
        <v>229</v>
      </c>
      <c r="E564" s="1081"/>
      <c r="F564" s="1081"/>
      <c r="G564" s="897"/>
    </row>
    <row r="565" spans="1:7">
      <c r="A565" s="869"/>
      <c r="B565" s="869"/>
      <c r="C565" s="869"/>
      <c r="D565" s="1015" t="s">
        <v>1295</v>
      </c>
      <c r="E565" s="1015"/>
      <c r="F565" s="1015"/>
      <c r="G565" s="897"/>
    </row>
    <row r="566" spans="1:7">
      <c r="A566" s="864"/>
      <c r="B566" s="864"/>
      <c r="C566" s="869"/>
      <c r="D566" s="917"/>
      <c r="G566" s="897"/>
    </row>
    <row r="567" spans="1:7">
      <c r="A567" s="869"/>
      <c r="B567" s="872" t="s">
        <v>333</v>
      </c>
      <c r="D567" s="1015" t="s">
        <v>1018</v>
      </c>
      <c r="E567" s="1015"/>
      <c r="F567" s="1015"/>
      <c r="G567" s="897"/>
    </row>
    <row r="568" spans="1:7">
      <c r="A568" s="894"/>
      <c r="B568" s="894"/>
      <c r="D568" s="892"/>
    </row>
    <row r="569" spans="1:7">
      <c r="A569" s="894"/>
      <c r="B569" s="872" t="s">
        <v>333</v>
      </c>
      <c r="D569" s="991" t="s">
        <v>1296</v>
      </c>
      <c r="E569" s="991"/>
      <c r="F569" s="991"/>
    </row>
    <row r="570" spans="1:7">
      <c r="A570" s="894"/>
      <c r="B570" s="894"/>
      <c r="D570" s="991"/>
      <c r="E570" s="991"/>
      <c r="F570" s="991"/>
    </row>
    <row r="571" spans="1:7">
      <c r="A571" s="894"/>
      <c r="B571" s="894"/>
      <c r="D571" s="991"/>
      <c r="E571" s="991"/>
      <c r="F571" s="991"/>
    </row>
    <row r="572" spans="1:7">
      <c r="A572" s="894"/>
      <c r="B572" s="894"/>
      <c r="D572" s="991"/>
      <c r="E572" s="991"/>
      <c r="F572" s="991"/>
    </row>
    <row r="573" spans="1:7">
      <c r="A573" s="894"/>
      <c r="B573" s="872" t="s">
        <v>333</v>
      </c>
      <c r="D573" s="991" t="s">
        <v>1297</v>
      </c>
      <c r="E573" s="991"/>
      <c r="F573" s="991"/>
    </row>
    <row r="574" spans="1:7">
      <c r="A574" s="894"/>
      <c r="B574" s="894"/>
      <c r="D574" s="991"/>
      <c r="E574" s="991"/>
      <c r="F574" s="991"/>
    </row>
    <row r="575" spans="1:7">
      <c r="A575" s="894"/>
      <c r="B575" s="894"/>
      <c r="D575" s="991"/>
      <c r="E575" s="991"/>
      <c r="F575" s="991"/>
    </row>
    <row r="576" spans="1:7">
      <c r="A576" s="894"/>
      <c r="B576" s="894"/>
      <c r="D576" s="991"/>
      <c r="E576" s="991"/>
      <c r="F576" s="991"/>
    </row>
    <row r="577" spans="1:7">
      <c r="A577" s="894"/>
      <c r="B577" s="894"/>
      <c r="D577" s="856"/>
      <c r="E577" s="856"/>
      <c r="F577" s="856"/>
    </row>
    <row r="578" spans="1:7">
      <c r="A578" s="894"/>
      <c r="B578" s="872" t="s">
        <v>333</v>
      </c>
      <c r="D578" s="991" t="s">
        <v>1298</v>
      </c>
      <c r="E578" s="991"/>
      <c r="F578" s="991"/>
    </row>
    <row r="579" spans="1:7">
      <c r="A579" s="894"/>
      <c r="B579" s="894"/>
      <c r="D579" s="991"/>
      <c r="E579" s="991"/>
      <c r="F579" s="991"/>
    </row>
    <row r="580" spans="1:7">
      <c r="A580" s="894"/>
      <c r="B580" s="894"/>
      <c r="D580" s="917"/>
    </row>
    <row r="581" spans="1:7">
      <c r="A581" s="894"/>
      <c r="B581" s="872" t="s">
        <v>333</v>
      </c>
      <c r="D581" s="1015" t="s">
        <v>1299</v>
      </c>
      <c r="E581" s="1015"/>
      <c r="F581" s="1015"/>
    </row>
    <row r="582" spans="1:7">
      <c r="A582" s="894"/>
      <c r="B582" s="894"/>
      <c r="D582" s="1015"/>
      <c r="E582" s="1015"/>
      <c r="F582" s="1015"/>
    </row>
    <row r="583" spans="1:7">
      <c r="A583" s="894"/>
      <c r="B583" s="894"/>
      <c r="D583" s="917"/>
    </row>
    <row r="584" spans="1:7" ht="14.25">
      <c r="A584" s="871"/>
      <c r="B584" s="872" t="s">
        <v>333</v>
      </c>
      <c r="D584" s="1015" t="s">
        <v>1013</v>
      </c>
      <c r="E584" s="1015"/>
      <c r="F584" s="1015"/>
    </row>
    <row r="585" spans="1:7" ht="14.25">
      <c r="A585" s="871"/>
      <c r="B585" s="871"/>
      <c r="D585" s="917"/>
    </row>
    <row r="586" spans="1:7">
      <c r="A586" s="992" t="s">
        <v>1272</v>
      </c>
      <c r="B586" s="992"/>
      <c r="C586" s="992"/>
      <c r="D586" s="992"/>
      <c r="E586" s="992"/>
      <c r="F586" s="992"/>
      <c r="G586" s="992"/>
    </row>
    <row r="587" spans="1:7"/>
    <row r="588" spans="1:7">
      <c r="D588" s="1009" t="s">
        <v>1386</v>
      </c>
      <c r="E588" s="1009"/>
      <c r="F588" s="1009"/>
    </row>
    <row r="589" spans="1:7">
      <c r="D589" s="1048" t="s">
        <v>1387</v>
      </c>
      <c r="E589" s="1048"/>
      <c r="F589" s="1048"/>
    </row>
    <row r="590" spans="1:7">
      <c r="D590" s="853"/>
      <c r="E590" s="794"/>
      <c r="F590" s="794"/>
    </row>
    <row r="591" spans="1:7" s="865" customFormat="1" ht="14.25">
      <c r="A591" s="879"/>
      <c r="B591" s="872" t="s">
        <v>333</v>
      </c>
      <c r="C591" s="875"/>
      <c r="D591" s="1011" t="s">
        <v>1388</v>
      </c>
      <c r="E591" s="1011"/>
      <c r="F591" s="1011"/>
      <c r="G591" s="876"/>
    </row>
    <row r="592" spans="1:7">
      <c r="D592" s="1011"/>
      <c r="E592" s="1011"/>
      <c r="F592" s="1011"/>
    </row>
    <row r="593" spans="1:7">
      <c r="D593" s="1011"/>
      <c r="E593" s="1011"/>
      <c r="F593" s="1011"/>
    </row>
    <row r="594" spans="1:7"/>
    <row r="595" spans="1:7">
      <c r="A595" s="992" t="s">
        <v>1273</v>
      </c>
      <c r="B595" s="992"/>
      <c r="C595" s="992"/>
      <c r="D595" s="992"/>
      <c r="E595" s="992"/>
      <c r="F595" s="992"/>
      <c r="G595" s="992"/>
    </row>
    <row r="596" spans="1:7">
      <c r="A596" s="874"/>
      <c r="B596" s="874"/>
      <c r="G596" s="897"/>
    </row>
    <row r="597" spans="1:7">
      <c r="A597" s="918"/>
      <c r="B597" s="918"/>
      <c r="C597" s="867"/>
      <c r="D597" s="1049" t="s">
        <v>1389</v>
      </c>
      <c r="E597" s="1049"/>
      <c r="F597" s="1049"/>
      <c r="G597" s="897"/>
    </row>
    <row r="598" spans="1:7">
      <c r="A598" s="918"/>
      <c r="B598" s="918"/>
      <c r="C598" s="867"/>
      <c r="D598" s="1049"/>
      <c r="E598" s="1049"/>
      <c r="F598" s="1049"/>
      <c r="G598" s="897"/>
    </row>
    <row r="599" spans="1:7">
      <c r="C599" s="869"/>
      <c r="D599" s="1048" t="s">
        <v>1390</v>
      </c>
      <c r="E599" s="1048"/>
      <c r="F599" s="1048"/>
      <c r="G599" s="897"/>
    </row>
    <row r="600" spans="1:7">
      <c r="C600" s="869"/>
      <c r="D600" s="853"/>
      <c r="E600" s="853"/>
      <c r="F600" s="853"/>
      <c r="G600" s="897"/>
    </row>
    <row r="601" spans="1:7">
      <c r="A601" s="894"/>
      <c r="B601" s="872" t="s">
        <v>333</v>
      </c>
      <c r="D601" s="1048" t="s">
        <v>496</v>
      </c>
      <c r="E601" s="1048"/>
      <c r="F601" s="1048"/>
      <c r="G601" s="897"/>
    </row>
    <row r="602" spans="1:7">
      <c r="C602" s="919"/>
      <c r="E602" s="864"/>
      <c r="G602" s="897"/>
    </row>
    <row r="603" spans="1:7">
      <c r="A603" s="894"/>
      <c r="B603" s="872" t="s">
        <v>333</v>
      </c>
      <c r="D603" s="1008" t="s">
        <v>1391</v>
      </c>
      <c r="E603" s="1008"/>
      <c r="F603" s="1008"/>
      <c r="G603" s="897"/>
    </row>
    <row r="604" spans="1:7">
      <c r="D604" s="1008"/>
      <c r="E604" s="1008"/>
      <c r="F604" s="1008"/>
      <c r="G604" s="897"/>
    </row>
    <row r="605" spans="1:7">
      <c r="D605" s="864"/>
      <c r="G605" s="897"/>
    </row>
    <row r="606" spans="1:7">
      <c r="B606" s="872" t="s">
        <v>333</v>
      </c>
      <c r="D606" s="1008" t="s">
        <v>1392</v>
      </c>
      <c r="E606" s="1008"/>
      <c r="F606" s="1008"/>
      <c r="G606" s="897"/>
    </row>
    <row r="607" spans="1:7">
      <c r="C607" s="919"/>
      <c r="D607" s="1008"/>
      <c r="E607" s="1008"/>
      <c r="F607" s="1008"/>
      <c r="G607" s="897"/>
    </row>
    <row r="608" spans="1:7">
      <c r="C608" s="919"/>
      <c r="G608" s="897"/>
    </row>
    <row r="609" spans="1:7">
      <c r="B609" s="872" t="s">
        <v>333</v>
      </c>
      <c r="C609" s="919"/>
      <c r="D609" s="1008" t="s">
        <v>1393</v>
      </c>
      <c r="E609" s="1008"/>
      <c r="F609" s="1008"/>
      <c r="G609" s="897"/>
    </row>
    <row r="610" spans="1:7">
      <c r="C610" s="919"/>
      <c r="D610" s="1008"/>
      <c r="E610" s="1008"/>
      <c r="F610" s="1008"/>
      <c r="G610" s="897"/>
    </row>
    <row r="611" spans="1:7">
      <c r="C611" s="919"/>
      <c r="G611" s="897"/>
    </row>
    <row r="612" spans="1:7">
      <c r="A612" s="992" t="s">
        <v>1274</v>
      </c>
      <c r="B612" s="992"/>
      <c r="C612" s="992"/>
      <c r="D612" s="992"/>
      <c r="E612" s="992"/>
      <c r="F612" s="992"/>
      <c r="G612" s="992"/>
    </row>
    <row r="613" spans="1:7">
      <c r="A613" s="920"/>
      <c r="B613" s="920"/>
      <c r="C613" s="920"/>
      <c r="G613" s="897"/>
    </row>
    <row r="614" spans="1:7">
      <c r="C614" s="894"/>
      <c r="D614" s="1009" t="s">
        <v>1394</v>
      </c>
      <c r="E614" s="1009"/>
      <c r="F614" s="1009"/>
      <c r="G614" s="897"/>
    </row>
    <row r="615" spans="1:7">
      <c r="A615" s="894"/>
      <c r="B615" s="894"/>
      <c r="C615" s="896"/>
      <c r="D615" s="868"/>
      <c r="G615" s="897"/>
    </row>
    <row r="616" spans="1:7" ht="14.25">
      <c r="A616" s="871"/>
      <c r="B616" s="872" t="s">
        <v>333</v>
      </c>
      <c r="C616" s="896"/>
      <c r="D616" s="1010" t="s">
        <v>1395</v>
      </c>
      <c r="E616" s="1010"/>
      <c r="F616" s="1010"/>
      <c r="G616" s="897"/>
    </row>
    <row r="617" spans="1:7">
      <c r="C617" s="896"/>
      <c r="D617" s="1010"/>
      <c r="E617" s="1010"/>
      <c r="F617" s="1010"/>
      <c r="G617" s="897"/>
    </row>
    <row r="618" spans="1:7">
      <c r="C618" s="896"/>
      <c r="D618" s="1010"/>
      <c r="E618" s="1010"/>
      <c r="F618" s="1010"/>
      <c r="G618" s="897"/>
    </row>
    <row r="619" spans="1:7">
      <c r="C619" s="896"/>
      <c r="D619" s="1010"/>
      <c r="E619" s="1010"/>
      <c r="F619" s="1010"/>
      <c r="G619" s="897"/>
    </row>
    <row r="620" spans="1:7">
      <c r="C620" s="896"/>
      <c r="D620" s="1010"/>
      <c r="E620" s="1010"/>
      <c r="F620" s="1010"/>
      <c r="G620" s="897"/>
    </row>
    <row r="621" spans="1:7">
      <c r="C621" s="896"/>
      <c r="D621" s="1010"/>
      <c r="E621" s="1010"/>
      <c r="F621" s="1010"/>
      <c r="G621" s="897"/>
    </row>
    <row r="622" spans="1:7">
      <c r="C622" s="896"/>
      <c r="D622" s="858"/>
      <c r="E622" s="858"/>
      <c r="F622" s="858"/>
      <c r="G622" s="897"/>
    </row>
    <row r="623" spans="1:7" ht="14.25">
      <c r="A623" s="871"/>
      <c r="B623" s="872" t="s">
        <v>333</v>
      </c>
      <c r="C623" s="896"/>
      <c r="D623" s="1010" t="s">
        <v>1396</v>
      </c>
      <c r="E623" s="1010"/>
      <c r="F623" s="1010"/>
      <c r="G623" s="897"/>
    </row>
    <row r="624" spans="1:7">
      <c r="A624" s="907"/>
      <c r="B624" s="907"/>
      <c r="C624" s="907"/>
      <c r="D624" s="1010"/>
      <c r="E624" s="1010"/>
      <c r="F624" s="1010"/>
      <c r="G624" s="897"/>
    </row>
    <row r="625" spans="1:7">
      <c r="A625" s="907"/>
      <c r="B625" s="907"/>
      <c r="C625" s="907"/>
      <c r="D625" s="859"/>
      <c r="E625" s="921"/>
      <c r="F625" s="921"/>
      <c r="G625" s="897"/>
    </row>
    <row r="626" spans="1:7" ht="14.25">
      <c r="A626" s="871"/>
      <c r="B626" s="872" t="s">
        <v>333</v>
      </c>
      <c r="C626" s="907"/>
      <c r="D626" s="1011" t="s">
        <v>1397</v>
      </c>
      <c r="E626" s="1011"/>
      <c r="F626" s="1011"/>
      <c r="G626" s="897"/>
    </row>
    <row r="627" spans="1:7" ht="14.25">
      <c r="A627" s="871"/>
      <c r="B627" s="871"/>
      <c r="C627" s="907"/>
      <c r="D627" s="1011"/>
      <c r="E627" s="1011"/>
      <c r="F627" s="1011"/>
      <c r="G627" s="897"/>
    </row>
    <row r="628" spans="1:7" ht="14.25">
      <c r="A628" s="871"/>
      <c r="B628" s="871"/>
      <c r="C628" s="907"/>
      <c r="D628" s="1011"/>
      <c r="E628" s="1011"/>
      <c r="F628" s="1011"/>
      <c r="G628" s="897"/>
    </row>
    <row r="629" spans="1:7">
      <c r="A629" s="907"/>
      <c r="B629" s="907"/>
      <c r="C629" s="907"/>
      <c r="D629" s="1011"/>
      <c r="E629" s="1011"/>
      <c r="F629" s="1011"/>
      <c r="G629" s="897"/>
    </row>
    <row r="630" spans="1:7">
      <c r="A630" s="907"/>
      <c r="B630" s="907"/>
      <c r="C630" s="907"/>
      <c r="D630" s="854"/>
      <c r="E630" s="854"/>
      <c r="F630" s="854"/>
      <c r="G630" s="897"/>
    </row>
    <row r="631" spans="1:7">
      <c r="A631" s="907"/>
      <c r="B631" s="872" t="s">
        <v>333</v>
      </c>
      <c r="C631" s="907"/>
      <c r="D631" s="1012" t="s">
        <v>1398</v>
      </c>
      <c r="E631" s="1012"/>
      <c r="F631" s="1012"/>
      <c r="G631" s="897"/>
    </row>
    <row r="632" spans="1:7">
      <c r="A632" s="907"/>
      <c r="B632" s="907"/>
      <c r="C632" s="907"/>
      <c r="D632" s="799"/>
      <c r="E632" s="799"/>
      <c r="F632" s="799"/>
      <c r="G632" s="897"/>
    </row>
    <row r="633" spans="1:7">
      <c r="A633" s="992" t="s">
        <v>1275</v>
      </c>
      <c r="B633" s="992"/>
      <c r="C633" s="992"/>
      <c r="D633" s="992"/>
      <c r="E633" s="992"/>
      <c r="F633" s="992"/>
      <c r="G633" s="992"/>
    </row>
    <row r="634" spans="1:7">
      <c r="A634" s="874"/>
      <c r="B634" s="874"/>
      <c r="C634" s="907"/>
      <c r="D634" s="921"/>
      <c r="E634" s="921"/>
      <c r="F634" s="921"/>
      <c r="G634" s="897"/>
    </row>
    <row r="635" spans="1:7">
      <c r="C635" s="920"/>
      <c r="D635" s="1087" t="s">
        <v>1448</v>
      </c>
      <c r="E635" s="1087"/>
      <c r="F635" s="1087"/>
      <c r="G635" s="897"/>
    </row>
    <row r="636" spans="1:7">
      <c r="A636" s="869"/>
      <c r="B636" s="869"/>
      <c r="C636" s="869"/>
      <c r="D636" s="1088" t="s">
        <v>1449</v>
      </c>
      <c r="E636" s="1088"/>
      <c r="F636" s="1088"/>
      <c r="G636" s="897"/>
    </row>
    <row r="637" spans="1:7">
      <c r="A637" s="869"/>
      <c r="B637" s="869"/>
      <c r="C637" s="869"/>
      <c r="D637" s="799"/>
      <c r="E637" s="799"/>
      <c r="F637" s="799"/>
      <c r="G637" s="897"/>
    </row>
    <row r="638" spans="1:7" ht="14.45" customHeight="1">
      <c r="A638" s="871"/>
      <c r="B638" s="872" t="s">
        <v>333</v>
      </c>
      <c r="C638" s="907"/>
      <c r="D638" s="1078" t="s">
        <v>1450</v>
      </c>
      <c r="E638" s="1078"/>
      <c r="F638" s="1078"/>
      <c r="G638" s="897"/>
    </row>
    <row r="639" spans="1:7" ht="14.25">
      <c r="A639" s="871"/>
      <c r="B639" s="871"/>
      <c r="C639" s="907"/>
      <c r="D639" s="1078"/>
      <c r="E639" s="1078"/>
      <c r="F639" s="1078"/>
      <c r="G639" s="897"/>
    </row>
    <row r="640" spans="1:7" ht="14.25">
      <c r="A640" s="871"/>
      <c r="B640" s="871"/>
      <c r="C640" s="907"/>
      <c r="D640" s="1078"/>
      <c r="E640" s="1078"/>
      <c r="F640" s="1078"/>
      <c r="G640" s="897"/>
    </row>
    <row r="641" spans="1:11" ht="14.25">
      <c r="A641" s="871"/>
      <c r="B641" s="871"/>
      <c r="C641" s="907"/>
      <c r="D641" s="1078"/>
      <c r="E641" s="1078"/>
      <c r="F641" s="1078"/>
      <c r="G641" s="897"/>
    </row>
    <row r="642" spans="1:11" ht="14.25">
      <c r="A642" s="871"/>
      <c r="B642" s="871"/>
      <c r="C642" s="907"/>
      <c r="D642" s="1078"/>
      <c r="E642" s="1078"/>
      <c r="F642" s="1078"/>
      <c r="G642" s="897"/>
    </row>
    <row r="643" spans="1:11" ht="14.25">
      <c r="A643" s="871"/>
      <c r="B643" s="871"/>
      <c r="C643" s="907"/>
      <c r="D643" s="922"/>
      <c r="E643" s="922"/>
      <c r="F643" s="922"/>
      <c r="G643" s="897"/>
    </row>
    <row r="644" spans="1:11" ht="14.25">
      <c r="A644" s="871"/>
      <c r="B644" s="872" t="s">
        <v>333</v>
      </c>
      <c r="C644" s="907"/>
      <c r="D644" s="1080" t="s">
        <v>1294</v>
      </c>
      <c r="E644" s="1080"/>
      <c r="F644" s="1080"/>
      <c r="G644" s="897"/>
    </row>
    <row r="645" spans="1:11" ht="14.25">
      <c r="A645" s="871"/>
      <c r="B645" s="871"/>
      <c r="C645" s="907"/>
      <c r="D645" s="1008" t="s">
        <v>1451</v>
      </c>
      <c r="E645" s="1008"/>
      <c r="F645" s="1008"/>
      <c r="G645" s="897"/>
    </row>
    <row r="646" spans="1:11" ht="14.25">
      <c r="A646" s="871"/>
      <c r="B646" s="871"/>
      <c r="C646" s="907"/>
      <c r="D646" s="1008"/>
      <c r="E646" s="1008"/>
      <c r="F646" s="1008"/>
      <c r="G646" s="897"/>
    </row>
    <row r="647" spans="1:11" ht="14.25">
      <c r="A647" s="871"/>
      <c r="B647" s="871"/>
      <c r="C647" s="907"/>
      <c r="D647" s="1008"/>
      <c r="E647" s="1008"/>
      <c r="F647" s="1008"/>
      <c r="G647" s="897"/>
    </row>
    <row r="648" spans="1:11" ht="14.25">
      <c r="A648" s="871"/>
      <c r="B648" s="871"/>
      <c r="C648" s="907"/>
      <c r="D648" s="1008"/>
      <c r="E648" s="1008"/>
      <c r="F648" s="1008"/>
      <c r="G648" s="897"/>
    </row>
    <row r="649" spans="1:11" ht="14.25">
      <c r="A649" s="871"/>
      <c r="B649" s="871"/>
      <c r="C649" s="907"/>
      <c r="D649" s="1008"/>
      <c r="E649" s="1008"/>
      <c r="F649" s="1008"/>
      <c r="G649" s="897"/>
    </row>
    <row r="650" spans="1:11" ht="14.25">
      <c r="A650" s="871"/>
      <c r="B650" s="871"/>
      <c r="C650" s="907"/>
      <c r="D650" s="1033" t="s">
        <v>1609</v>
      </c>
      <c r="E650" s="1033"/>
      <c r="F650" s="1033"/>
      <c r="G650" s="897"/>
    </row>
    <row r="651" spans="1:11">
      <c r="A651" s="907"/>
      <c r="B651" s="907"/>
      <c r="C651" s="907"/>
      <c r="D651" s="921"/>
      <c r="E651" s="921"/>
      <c r="F651" s="921"/>
      <c r="G651" s="897"/>
    </row>
    <row r="652" spans="1:11">
      <c r="A652" s="992" t="s">
        <v>1276</v>
      </c>
      <c r="B652" s="992"/>
      <c r="C652" s="992"/>
      <c r="D652" s="992"/>
      <c r="E652" s="992"/>
      <c r="F652" s="992"/>
      <c r="G652" s="992"/>
      <c r="H652" s="923"/>
      <c r="I652" s="923"/>
      <c r="J652" s="923"/>
      <c r="K652" s="923"/>
    </row>
    <row r="653" spans="1:11">
      <c r="A653" s="807"/>
      <c r="B653" s="807"/>
      <c r="C653" s="807"/>
      <c r="D653" s="807"/>
      <c r="E653" s="807"/>
      <c r="F653" s="807"/>
      <c r="G653" s="807"/>
      <c r="H653" s="923"/>
      <c r="I653" s="923"/>
      <c r="J653" s="923"/>
      <c r="K653" s="923"/>
    </row>
    <row r="654" spans="1:11">
      <c r="C654" s="920"/>
      <c r="D654" s="1009" t="s">
        <v>107</v>
      </c>
      <c r="E654" s="1009"/>
      <c r="F654" s="1009"/>
      <c r="G654" s="897"/>
      <c r="H654" s="923"/>
      <c r="I654" s="923"/>
      <c r="J654" s="923"/>
      <c r="K654" s="923"/>
    </row>
    <row r="655" spans="1:11">
      <c r="A655" s="920"/>
      <c r="B655" s="920"/>
      <c r="C655" s="920"/>
      <c r="D655" s="1009" t="s">
        <v>131</v>
      </c>
      <c r="E655" s="1009"/>
      <c r="F655" s="1009"/>
      <c r="G655" s="897"/>
      <c r="H655" s="923"/>
      <c r="I655" s="923"/>
      <c r="J655" s="923"/>
      <c r="K655" s="923"/>
    </row>
    <row r="656" spans="1:11">
      <c r="A656" s="869"/>
      <c r="B656" s="869"/>
      <c r="C656" s="869"/>
      <c r="D656" s="1012" t="s">
        <v>1326</v>
      </c>
      <c r="E656" s="1012"/>
      <c r="F656" s="1012"/>
      <c r="G656" s="897"/>
      <c r="H656" s="923"/>
      <c r="I656" s="923"/>
      <c r="J656" s="923"/>
      <c r="K656" s="923"/>
    </row>
    <row r="657" spans="1:11">
      <c r="A657" s="869"/>
      <c r="B657" s="869"/>
      <c r="C657" s="869"/>
      <c r="G657" s="897"/>
      <c r="H657" s="923"/>
      <c r="I657" s="923"/>
      <c r="J657" s="923"/>
      <c r="K657" s="923"/>
    </row>
    <row r="658" spans="1:11" ht="14.25">
      <c r="A658" s="871"/>
      <c r="B658" s="872" t="s">
        <v>333</v>
      </c>
      <c r="C658" s="869"/>
      <c r="D658" s="1012" t="s">
        <v>1014</v>
      </c>
      <c r="E658" s="1012"/>
      <c r="F658" s="1012"/>
      <c r="G658" s="897"/>
      <c r="H658" s="923"/>
      <c r="I658" s="923"/>
      <c r="J658" s="923"/>
      <c r="K658" s="923"/>
    </row>
    <row r="659" spans="1:11">
      <c r="A659" s="869"/>
      <c r="B659" s="869"/>
      <c r="C659" s="869"/>
      <c r="D659" s="1012" t="s">
        <v>1026</v>
      </c>
      <c r="E659" s="1012"/>
      <c r="F659" s="1012"/>
      <c r="G659" s="897"/>
      <c r="H659" s="923"/>
      <c r="I659" s="923"/>
      <c r="J659" s="923"/>
      <c r="K659" s="923"/>
    </row>
    <row r="660" spans="1:11">
      <c r="A660" s="869"/>
      <c r="B660" s="869"/>
      <c r="C660" s="869"/>
      <c r="D660" s="744"/>
      <c r="E660" s="1066" t="s">
        <v>1327</v>
      </c>
      <c r="F660" s="1066"/>
      <c r="G660" s="897"/>
      <c r="H660" s="923"/>
      <c r="I660" s="923"/>
      <c r="J660" s="923"/>
      <c r="K660" s="923"/>
    </row>
    <row r="661" spans="1:11">
      <c r="A661" s="869"/>
      <c r="B661" s="869"/>
      <c r="C661" s="869"/>
      <c r="D661" s="744"/>
      <c r="E661" s="1066"/>
      <c r="F661" s="1066"/>
      <c r="G661" s="897"/>
      <c r="H661" s="923"/>
      <c r="I661" s="923"/>
      <c r="J661" s="923"/>
      <c r="K661" s="923"/>
    </row>
    <row r="662" spans="1:11">
      <c r="A662" s="869"/>
      <c r="B662" s="869"/>
      <c r="C662" s="869"/>
      <c r="D662" s="924"/>
      <c r="E662" s="874"/>
      <c r="G662" s="897"/>
      <c r="H662" s="923"/>
      <c r="I662" s="923"/>
      <c r="J662" s="923"/>
      <c r="K662" s="923"/>
    </row>
    <row r="663" spans="1:11" ht="14.25">
      <c r="A663" s="871"/>
      <c r="B663" s="872" t="s">
        <v>333</v>
      </c>
      <c r="C663" s="869"/>
      <c r="D663" s="1010" t="s">
        <v>1546</v>
      </c>
      <c r="E663" s="1010"/>
      <c r="F663" s="1010"/>
      <c r="G663" s="897"/>
      <c r="H663" s="923"/>
      <c r="I663" s="923"/>
      <c r="J663" s="923"/>
      <c r="K663" s="923"/>
    </row>
    <row r="664" spans="1:11">
      <c r="A664" s="894"/>
      <c r="B664" s="894"/>
      <c r="C664" s="869"/>
      <c r="D664" s="1010"/>
      <c r="E664" s="1010"/>
      <c r="F664" s="1010"/>
      <c r="G664" s="897"/>
      <c r="H664" s="923"/>
      <c r="I664" s="923"/>
      <c r="J664" s="923"/>
      <c r="K664" s="923"/>
    </row>
    <row r="665" spans="1:11">
      <c r="A665" s="869"/>
      <c r="B665" s="869"/>
      <c r="C665" s="869"/>
      <c r="D665" s="1010"/>
      <c r="E665" s="1010"/>
      <c r="F665" s="1010"/>
      <c r="G665" s="897"/>
      <c r="H665" s="923"/>
      <c r="I665" s="923"/>
      <c r="J665" s="923"/>
      <c r="K665" s="923"/>
    </row>
    <row r="666" spans="1:11">
      <c r="A666" s="869"/>
      <c r="B666" s="869"/>
      <c r="C666" s="869"/>
      <c r="G666" s="897"/>
      <c r="H666" s="923"/>
      <c r="I666" s="923"/>
      <c r="J666" s="923"/>
      <c r="K666" s="923"/>
    </row>
    <row r="667" spans="1:11" ht="14.25">
      <c r="A667" s="871"/>
      <c r="B667" s="872" t="s">
        <v>333</v>
      </c>
      <c r="C667" s="869"/>
      <c r="D667" s="1012" t="s">
        <v>1063</v>
      </c>
      <c r="E667" s="1012"/>
      <c r="F667" s="1012"/>
      <c r="G667" s="897"/>
      <c r="H667" s="923"/>
      <c r="I667" s="923"/>
      <c r="J667" s="923"/>
      <c r="K667" s="923"/>
    </row>
    <row r="668" spans="1:11" ht="14.25">
      <c r="A668" s="871"/>
      <c r="B668" s="871"/>
      <c r="C668" s="869"/>
      <c r="D668" s="1012" t="s">
        <v>1026</v>
      </c>
      <c r="E668" s="1012"/>
      <c r="F668" s="1012"/>
      <c r="G668" s="897"/>
      <c r="H668" s="923"/>
      <c r="I668" s="923"/>
      <c r="J668" s="923"/>
      <c r="K668" s="923"/>
    </row>
    <row r="669" spans="1:11">
      <c r="A669" s="869"/>
      <c r="B669" s="869"/>
      <c r="C669" s="869"/>
      <c r="D669" s="744"/>
      <c r="E669" s="1065" t="s">
        <v>1329</v>
      </c>
      <c r="F669" s="1065"/>
      <c r="G669" s="897"/>
      <c r="H669" s="923"/>
      <c r="I669" s="923"/>
      <c r="J669" s="923"/>
      <c r="K669" s="923"/>
    </row>
    <row r="670" spans="1:11">
      <c r="A670" s="869"/>
      <c r="B670" s="869"/>
      <c r="C670" s="869"/>
      <c r="D670" s="868"/>
      <c r="G670" s="897"/>
      <c r="H670" s="923"/>
      <c r="I670" s="923"/>
      <c r="J670" s="923"/>
      <c r="K670" s="923"/>
    </row>
    <row r="671" spans="1:11" ht="14.25">
      <c r="A671" s="871"/>
      <c r="B671" s="872" t="s">
        <v>333</v>
      </c>
      <c r="C671" s="869"/>
      <c r="D671" s="1064" t="s">
        <v>1339</v>
      </c>
      <c r="E671" s="1064"/>
      <c r="F671" s="1064"/>
      <c r="G671" s="897"/>
      <c r="H671" s="923"/>
      <c r="I671" s="923"/>
      <c r="J671" s="923"/>
      <c r="K671" s="923"/>
    </row>
    <row r="672" spans="1:11">
      <c r="A672" s="869"/>
      <c r="B672" s="869"/>
      <c r="C672" s="869"/>
      <c r="D672" s="1064"/>
      <c r="E672" s="1064"/>
      <c r="F672" s="1064"/>
      <c r="G672" s="897"/>
      <c r="H672" s="923"/>
      <c r="I672" s="923"/>
      <c r="J672" s="923"/>
      <c r="K672" s="923"/>
    </row>
    <row r="673" spans="1:11">
      <c r="A673" s="869"/>
      <c r="B673" s="869"/>
      <c r="C673" s="869"/>
      <c r="D673" s="1064"/>
      <c r="E673" s="1064"/>
      <c r="F673" s="1064"/>
      <c r="G673" s="897"/>
      <c r="H673" s="923"/>
      <c r="I673" s="923"/>
      <c r="J673" s="923"/>
      <c r="K673" s="923"/>
    </row>
    <row r="674" spans="1:11">
      <c r="A674" s="869"/>
      <c r="B674" s="869"/>
      <c r="C674" s="869"/>
      <c r="D674" s="1064"/>
      <c r="E674" s="1064"/>
      <c r="F674" s="1064"/>
      <c r="G674" s="897"/>
      <c r="H674" s="923"/>
      <c r="I674" s="923"/>
      <c r="J674" s="923"/>
      <c r="K674" s="923"/>
    </row>
    <row r="675" spans="1:11">
      <c r="A675" s="869"/>
      <c r="B675" s="869"/>
      <c r="C675" s="869"/>
      <c r="D675" s="1064"/>
      <c r="E675" s="1064"/>
      <c r="F675" s="1064"/>
      <c r="G675" s="897"/>
      <c r="H675" s="923"/>
      <c r="I675" s="923"/>
      <c r="J675" s="923"/>
      <c r="K675" s="923"/>
    </row>
    <row r="676" spans="1:11" s="865" customFormat="1">
      <c r="A676" s="913"/>
      <c r="B676" s="913"/>
      <c r="C676" s="913"/>
      <c r="D676" s="1064"/>
      <c r="E676" s="1064"/>
      <c r="F676" s="1064"/>
      <c r="G676" s="925"/>
      <c r="H676" s="926"/>
      <c r="I676" s="926"/>
      <c r="J676" s="926"/>
      <c r="K676" s="926"/>
    </row>
    <row r="677" spans="1:11" s="865" customFormat="1">
      <c r="A677" s="913"/>
      <c r="B677" s="913"/>
      <c r="C677" s="913"/>
      <c r="D677" s="927"/>
      <c r="E677" s="927"/>
      <c r="F677" s="927"/>
      <c r="G677" s="925"/>
      <c r="H677" s="926"/>
      <c r="I677" s="926"/>
      <c r="J677" s="926"/>
      <c r="K677" s="926"/>
    </row>
    <row r="678" spans="1:11" s="865" customFormat="1">
      <c r="A678" s="913"/>
      <c r="B678" s="872" t="s">
        <v>333</v>
      </c>
      <c r="C678" s="913"/>
      <c r="D678" s="1064" t="s">
        <v>1548</v>
      </c>
      <c r="E678" s="1064"/>
      <c r="F678" s="1064"/>
      <c r="G678" s="925"/>
      <c r="H678" s="926"/>
      <c r="I678" s="926"/>
      <c r="J678" s="926"/>
      <c r="K678" s="926"/>
    </row>
    <row r="679" spans="1:11" s="865" customFormat="1">
      <c r="A679" s="913"/>
      <c r="B679" s="913"/>
      <c r="C679" s="913"/>
      <c r="D679" s="1064"/>
      <c r="E679" s="1064"/>
      <c r="F679" s="1064"/>
      <c r="G679" s="925"/>
      <c r="H679" s="926"/>
      <c r="I679" s="926"/>
      <c r="J679" s="926"/>
      <c r="K679" s="926"/>
    </row>
    <row r="680" spans="1:11" s="865" customFormat="1">
      <c r="A680" s="913"/>
      <c r="B680" s="913"/>
      <c r="C680" s="913"/>
      <c r="D680" s="927"/>
      <c r="E680" s="927"/>
      <c r="F680" s="927"/>
      <c r="G680" s="925"/>
      <c r="H680" s="926"/>
      <c r="I680" s="926"/>
      <c r="J680" s="926"/>
      <c r="K680" s="926"/>
    </row>
    <row r="681" spans="1:11" ht="14.25">
      <c r="A681" s="871"/>
      <c r="B681" s="872" t="s">
        <v>333</v>
      </c>
      <c r="C681" s="869"/>
      <c r="D681" s="1064" t="s">
        <v>1330</v>
      </c>
      <c r="E681" s="1064"/>
      <c r="F681" s="1064"/>
      <c r="G681" s="897"/>
      <c r="H681" s="923"/>
      <c r="I681" s="923"/>
      <c r="J681" s="923"/>
      <c r="K681" s="923"/>
    </row>
    <row r="682" spans="1:11">
      <c r="A682" s="869"/>
      <c r="B682" s="869"/>
      <c r="C682" s="869"/>
      <c r="D682" s="1064"/>
      <c r="E682" s="1064"/>
      <c r="F682" s="1064"/>
      <c r="G682" s="897"/>
      <c r="H682" s="923"/>
      <c r="I682" s="923"/>
      <c r="J682" s="923"/>
      <c r="K682" s="923"/>
    </row>
    <row r="683" spans="1:11">
      <c r="A683" s="869"/>
      <c r="B683" s="869"/>
      <c r="C683" s="869"/>
      <c r="D683" s="1064"/>
      <c r="E683" s="1064"/>
      <c r="F683" s="1064"/>
      <c r="G683" s="897"/>
      <c r="H683" s="923"/>
      <c r="I683" s="923"/>
      <c r="J683" s="923"/>
      <c r="K683" s="923"/>
    </row>
    <row r="684" spans="1:11" ht="15" customHeight="1">
      <c r="A684" s="869"/>
      <c r="B684" s="869"/>
      <c r="C684" s="869"/>
      <c r="D684" s="1064"/>
      <c r="E684" s="1064"/>
      <c r="F684" s="1064"/>
      <c r="G684" s="897"/>
      <c r="H684" s="923"/>
      <c r="I684" s="923"/>
      <c r="J684" s="923"/>
      <c r="K684" s="923"/>
    </row>
    <row r="685" spans="1:11" ht="15" customHeight="1">
      <c r="A685" s="869"/>
      <c r="B685" s="869"/>
      <c r="C685" s="869"/>
      <c r="D685" s="1064"/>
      <c r="E685" s="1064"/>
      <c r="F685" s="1064"/>
      <c r="G685" s="897"/>
      <c r="H685" s="923"/>
      <c r="I685" s="923"/>
      <c r="J685" s="923"/>
      <c r="K685" s="923"/>
    </row>
    <row r="686" spans="1:11">
      <c r="A686" s="869"/>
      <c r="B686" s="869"/>
      <c r="C686" s="869"/>
      <c r="D686" s="1064"/>
      <c r="E686" s="1064"/>
      <c r="F686" s="1064"/>
      <c r="G686" s="897"/>
      <c r="H686" s="923"/>
      <c r="I686" s="923"/>
      <c r="J686" s="923"/>
      <c r="K686" s="923"/>
    </row>
    <row r="687" spans="1:11">
      <c r="A687" s="869"/>
      <c r="B687" s="869"/>
      <c r="C687" s="869"/>
      <c r="D687" s="1064"/>
      <c r="E687" s="1064"/>
      <c r="F687" s="1064"/>
      <c r="G687" s="897"/>
      <c r="H687" s="923"/>
      <c r="I687" s="923"/>
      <c r="J687" s="923"/>
      <c r="K687" s="923"/>
    </row>
    <row r="688" spans="1:11">
      <c r="A688" s="869"/>
      <c r="B688" s="869"/>
      <c r="C688" s="869"/>
      <c r="D688" s="1064"/>
      <c r="E688" s="1064"/>
      <c r="F688" s="1064"/>
      <c r="G688" s="897"/>
      <c r="H688" s="923"/>
      <c r="I688" s="923"/>
      <c r="J688" s="923"/>
      <c r="K688" s="923"/>
    </row>
    <row r="689" spans="1:11" ht="15" customHeight="1">
      <c r="A689" s="869"/>
      <c r="B689" s="869"/>
      <c r="C689" s="869"/>
      <c r="D689" s="1064"/>
      <c r="E689" s="1064"/>
      <c r="F689" s="1064"/>
      <c r="G689" s="897"/>
      <c r="H689" s="923"/>
      <c r="I689" s="923"/>
      <c r="J689" s="923"/>
      <c r="K689" s="923"/>
    </row>
    <row r="690" spans="1:11">
      <c r="A690" s="869"/>
      <c r="B690" s="869"/>
      <c r="C690" s="869"/>
      <c r="D690" s="1064"/>
      <c r="E690" s="1064"/>
      <c r="F690" s="1064"/>
      <c r="G690" s="897"/>
      <c r="H690" s="923"/>
      <c r="I690" s="923"/>
      <c r="J690" s="923"/>
      <c r="K690" s="923"/>
    </row>
    <row r="691" spans="1:11">
      <c r="A691" s="869"/>
      <c r="B691" s="869"/>
      <c r="C691" s="869"/>
      <c r="D691" s="1064"/>
      <c r="E691" s="1064"/>
      <c r="F691" s="1064"/>
      <c r="G691" s="897"/>
      <c r="H691" s="923"/>
      <c r="I691" s="923"/>
      <c r="J691" s="923"/>
      <c r="K691" s="923"/>
    </row>
    <row r="692" spans="1:11">
      <c r="A692" s="869"/>
      <c r="B692" s="869"/>
      <c r="C692" s="869"/>
      <c r="D692" s="1064"/>
      <c r="E692" s="1064"/>
      <c r="F692" s="1064"/>
      <c r="G692" s="897"/>
      <c r="H692" s="923"/>
      <c r="I692" s="923"/>
      <c r="J692" s="923"/>
      <c r="K692" s="923"/>
    </row>
    <row r="693" spans="1:11">
      <c r="A693" s="869"/>
      <c r="B693" s="869"/>
      <c r="C693" s="869"/>
      <c r="D693" s="1064"/>
      <c r="E693" s="1064"/>
      <c r="F693" s="1064"/>
      <c r="G693" s="897"/>
      <c r="H693" s="923"/>
      <c r="I693" s="923"/>
      <c r="J693" s="923"/>
      <c r="K693" s="923"/>
    </row>
    <row r="694" spans="1:11">
      <c r="A694" s="869"/>
      <c r="B694" s="872" t="s">
        <v>333</v>
      </c>
      <c r="C694" s="869"/>
      <c r="D694" s="1064" t="s">
        <v>1337</v>
      </c>
      <c r="E694" s="1064"/>
      <c r="F694" s="1064"/>
      <c r="G694" s="897"/>
      <c r="H694" s="923"/>
      <c r="I694" s="923"/>
      <c r="J694" s="923"/>
      <c r="K694" s="923"/>
    </row>
    <row r="695" spans="1:11">
      <c r="A695" s="869"/>
      <c r="B695" s="869"/>
      <c r="C695" s="869"/>
      <c r="D695" s="1064"/>
      <c r="E695" s="1064"/>
      <c r="F695" s="1064"/>
      <c r="G695" s="897"/>
      <c r="H695" s="923"/>
      <c r="I695" s="923"/>
      <c r="J695" s="923"/>
      <c r="K695" s="923"/>
    </row>
    <row r="696" spans="1:11">
      <c r="A696" s="869"/>
      <c r="B696" s="869"/>
      <c r="C696" s="869"/>
      <c r="D696" s="927"/>
      <c r="E696" s="927"/>
      <c r="F696" s="927"/>
      <c r="G696" s="897"/>
      <c r="H696" s="923"/>
      <c r="I696" s="923"/>
      <c r="J696" s="923"/>
      <c r="K696" s="923"/>
    </row>
    <row r="697" spans="1:11">
      <c r="A697" s="869"/>
      <c r="B697" s="872" t="s">
        <v>333</v>
      </c>
      <c r="C697" s="869"/>
      <c r="D697" s="1064" t="s">
        <v>1338</v>
      </c>
      <c r="E697" s="1064"/>
      <c r="F697" s="1064"/>
      <c r="G697" s="897"/>
      <c r="H697" s="923"/>
      <c r="I697" s="923"/>
      <c r="J697" s="923"/>
      <c r="K697" s="923"/>
    </row>
    <row r="698" spans="1:11">
      <c r="A698" s="869"/>
      <c r="B698" s="869"/>
      <c r="C698" s="869"/>
      <c r="D698" s="1064"/>
      <c r="E698" s="1064"/>
      <c r="F698" s="1064"/>
      <c r="G698" s="897"/>
      <c r="H698" s="923"/>
      <c r="I698" s="923"/>
      <c r="J698" s="923"/>
      <c r="K698" s="923"/>
    </row>
    <row r="699" spans="1:11">
      <c r="A699" s="869"/>
      <c r="B699" s="869"/>
      <c r="C699" s="869"/>
      <c r="D699" s="1064"/>
      <c r="E699" s="1064"/>
      <c r="F699" s="1064"/>
      <c r="G699" s="897"/>
      <c r="H699" s="923"/>
      <c r="I699" s="923"/>
      <c r="J699" s="923"/>
      <c r="K699" s="923"/>
    </row>
    <row r="700" spans="1:11">
      <c r="A700" s="869"/>
      <c r="B700" s="869"/>
      <c r="C700" s="869"/>
      <c r="D700" s="927"/>
      <c r="E700" s="927"/>
      <c r="F700" s="927"/>
      <c r="G700" s="897"/>
      <c r="H700" s="923"/>
      <c r="I700" s="923"/>
      <c r="J700" s="923"/>
      <c r="K700" s="923"/>
    </row>
    <row r="701" spans="1:11">
      <c r="A701" s="869"/>
      <c r="B701" s="872" t="s">
        <v>333</v>
      </c>
      <c r="C701" s="869"/>
      <c r="D701" s="1064" t="s">
        <v>1331</v>
      </c>
      <c r="E701" s="1064"/>
      <c r="F701" s="1064"/>
      <c r="G701" s="897"/>
      <c r="H701" s="923"/>
      <c r="I701" s="923"/>
      <c r="J701" s="923"/>
      <c r="K701" s="923"/>
    </row>
    <row r="702" spans="1:11">
      <c r="A702" s="869"/>
      <c r="B702" s="869"/>
      <c r="C702" s="869"/>
      <c r="D702" s="1064"/>
      <c r="E702" s="1064"/>
      <c r="F702" s="1064"/>
      <c r="G702" s="897"/>
      <c r="H702" s="923"/>
      <c r="I702" s="923"/>
      <c r="J702" s="923"/>
      <c r="K702" s="923"/>
    </row>
    <row r="703" spans="1:11">
      <c r="A703" s="869"/>
      <c r="B703" s="869"/>
      <c r="C703" s="869"/>
      <c r="D703" s="1064"/>
      <c r="E703" s="1064"/>
      <c r="F703" s="1064"/>
      <c r="G703" s="897"/>
      <c r="H703" s="923"/>
      <c r="I703" s="923"/>
      <c r="J703" s="923"/>
      <c r="K703" s="923"/>
    </row>
    <row r="704" spans="1:11">
      <c r="A704" s="869"/>
      <c r="B704" s="869"/>
      <c r="C704" s="869"/>
      <c r="D704" s="876"/>
      <c r="G704" s="897"/>
      <c r="H704" s="923"/>
      <c r="I704" s="923"/>
      <c r="J704" s="923"/>
      <c r="K704" s="923"/>
    </row>
    <row r="705" spans="1:11">
      <c r="A705" s="869"/>
      <c r="B705" s="872" t="s">
        <v>333</v>
      </c>
      <c r="C705" s="869"/>
      <c r="D705" s="1064" t="s">
        <v>1332</v>
      </c>
      <c r="E705" s="1064"/>
      <c r="F705" s="1064"/>
      <c r="G705" s="897"/>
      <c r="H705" s="923"/>
      <c r="I705" s="923"/>
      <c r="J705" s="923"/>
      <c r="K705" s="923"/>
    </row>
    <row r="706" spans="1:11">
      <c r="A706" s="869"/>
      <c r="B706" s="869"/>
      <c r="C706" s="869"/>
      <c r="D706" s="1064"/>
      <c r="E706" s="1064"/>
      <c r="F706" s="1064"/>
      <c r="G706" s="897"/>
      <c r="H706" s="923"/>
      <c r="I706" s="923"/>
      <c r="J706" s="923"/>
      <c r="K706" s="923"/>
    </row>
    <row r="707" spans="1:11">
      <c r="A707" s="869"/>
      <c r="B707" s="869"/>
      <c r="C707" s="869"/>
      <c r="D707" s="1064"/>
      <c r="E707" s="1064"/>
      <c r="F707" s="1064"/>
      <c r="G707" s="897"/>
      <c r="H707" s="923"/>
      <c r="I707" s="923"/>
      <c r="J707" s="923"/>
      <c r="K707" s="923"/>
    </row>
    <row r="708" spans="1:11">
      <c r="A708" s="869"/>
      <c r="B708" s="869"/>
      <c r="C708" s="869"/>
      <c r="D708" s="864"/>
      <c r="G708" s="897"/>
      <c r="H708" s="923"/>
      <c r="I708" s="923"/>
      <c r="J708" s="923"/>
      <c r="K708" s="923"/>
    </row>
    <row r="709" spans="1:11" ht="14.25">
      <c r="A709" s="871"/>
      <c r="B709" s="872" t="s">
        <v>333</v>
      </c>
      <c r="C709" s="869"/>
      <c r="D709" s="1010" t="s">
        <v>1333</v>
      </c>
      <c r="E709" s="1010"/>
      <c r="F709" s="1010"/>
      <c r="G709" s="897"/>
      <c r="H709" s="923"/>
      <c r="I709" s="923"/>
      <c r="J709" s="923"/>
      <c r="K709" s="923"/>
    </row>
    <row r="710" spans="1:11">
      <c r="A710" s="869"/>
      <c r="B710" s="869"/>
      <c r="C710" s="869"/>
      <c r="D710" s="1010"/>
      <c r="E710" s="1010"/>
      <c r="F710" s="1010"/>
      <c r="G710" s="897"/>
      <c r="H710" s="923"/>
      <c r="I710" s="923"/>
      <c r="J710" s="923"/>
      <c r="K710" s="923"/>
    </row>
    <row r="711" spans="1:11">
      <c r="A711" s="869"/>
      <c r="B711" s="869"/>
      <c r="C711" s="869"/>
      <c r="D711" s="1010"/>
      <c r="E711" s="1010"/>
      <c r="F711" s="1010"/>
      <c r="G711" s="897"/>
      <c r="H711" s="923"/>
      <c r="I711" s="923"/>
      <c r="J711" s="923"/>
      <c r="K711" s="923"/>
    </row>
    <row r="712" spans="1:11">
      <c r="A712" s="869"/>
      <c r="B712" s="869"/>
      <c r="C712" s="869"/>
      <c r="D712" s="1010"/>
      <c r="E712" s="1010"/>
      <c r="F712" s="1010"/>
      <c r="G712" s="897"/>
      <c r="H712" s="923"/>
      <c r="I712" s="923"/>
      <c r="J712" s="923"/>
      <c r="K712" s="923"/>
    </row>
    <row r="713" spans="1:11">
      <c r="A713" s="869"/>
      <c r="B713" s="869"/>
      <c r="C713" s="869"/>
      <c r="D713" s="900"/>
      <c r="G713" s="897"/>
      <c r="H713" s="923"/>
      <c r="I713" s="923"/>
      <c r="J713" s="923"/>
      <c r="K713" s="923"/>
    </row>
    <row r="714" spans="1:11" ht="14.25">
      <c r="A714" s="871"/>
      <c r="B714" s="872" t="s">
        <v>333</v>
      </c>
      <c r="C714" s="869"/>
      <c r="D714" s="1064" t="s">
        <v>1472</v>
      </c>
      <c r="E714" s="1064"/>
      <c r="F714" s="1064"/>
      <c r="G714" s="897"/>
      <c r="H714" s="923"/>
      <c r="I714" s="923"/>
      <c r="J714" s="923"/>
      <c r="K714" s="923"/>
    </row>
    <row r="715" spans="1:11">
      <c r="A715" s="869"/>
      <c r="B715" s="869"/>
      <c r="C715" s="869"/>
      <c r="D715" s="1064"/>
      <c r="E715" s="1064"/>
      <c r="F715" s="1064"/>
      <c r="G715" s="897"/>
      <c r="H715" s="923"/>
      <c r="I715" s="923"/>
      <c r="J715" s="923"/>
      <c r="K715" s="923"/>
    </row>
    <row r="716" spans="1:11">
      <c r="A716" s="869"/>
      <c r="B716" s="869"/>
      <c r="C716" s="869"/>
      <c r="D716" s="1064"/>
      <c r="E716" s="1064"/>
      <c r="F716" s="1064"/>
      <c r="G716" s="897"/>
      <c r="H716" s="923"/>
      <c r="I716" s="923"/>
      <c r="J716" s="923"/>
      <c r="K716" s="923"/>
    </row>
    <row r="717" spans="1:11">
      <c r="A717" s="869"/>
      <c r="B717" s="869"/>
      <c r="C717" s="869"/>
      <c r="D717" s="1064"/>
      <c r="E717" s="1064"/>
      <c r="F717" s="1064"/>
      <c r="G717" s="897"/>
      <c r="H717" s="923"/>
      <c r="I717" s="923"/>
      <c r="J717" s="923"/>
      <c r="K717" s="923"/>
    </row>
    <row r="718" spans="1:11">
      <c r="A718" s="869"/>
      <c r="B718" s="869"/>
      <c r="C718" s="869"/>
      <c r="D718" s="1064"/>
      <c r="E718" s="1064"/>
      <c r="F718" s="1064"/>
      <c r="G718" s="897"/>
      <c r="H718" s="923"/>
      <c r="I718" s="923"/>
      <c r="J718" s="923"/>
      <c r="K718" s="923"/>
    </row>
    <row r="719" spans="1:11">
      <c r="A719" s="869"/>
      <c r="B719" s="869"/>
      <c r="C719" s="869"/>
      <c r="D719" s="1064"/>
      <c r="E719" s="1064"/>
      <c r="F719" s="1064"/>
      <c r="G719" s="897"/>
      <c r="H719" s="923"/>
      <c r="I719" s="923"/>
      <c r="J719" s="923"/>
      <c r="K719" s="923"/>
    </row>
    <row r="720" spans="1:11">
      <c r="A720" s="869"/>
      <c r="B720" s="869"/>
      <c r="C720" s="869"/>
      <c r="D720" s="1064"/>
      <c r="E720" s="1064"/>
      <c r="F720" s="1064"/>
      <c r="G720" s="897"/>
      <c r="H720" s="923"/>
      <c r="I720" s="923"/>
      <c r="J720" s="923"/>
      <c r="K720" s="923"/>
    </row>
    <row r="721" spans="1:11">
      <c r="A721" s="869"/>
      <c r="B721" s="869"/>
      <c r="C721" s="869"/>
      <c r="D721" s="1040" t="s">
        <v>1334</v>
      </c>
      <c r="E721" s="1040"/>
      <c r="F721" s="1040"/>
      <c r="G721" s="897"/>
      <c r="H721" s="923"/>
      <c r="I721" s="923"/>
      <c r="J721" s="923"/>
      <c r="K721" s="923"/>
    </row>
    <row r="722" spans="1:11">
      <c r="A722" s="869"/>
      <c r="B722" s="869"/>
      <c r="C722" s="869"/>
      <c r="D722" s="855"/>
      <c r="G722" s="897"/>
      <c r="H722" s="923"/>
      <c r="I722" s="923"/>
      <c r="J722" s="923"/>
      <c r="K722" s="923"/>
    </row>
    <row r="723" spans="1:11">
      <c r="A723" s="1042" t="s">
        <v>1277</v>
      </c>
      <c r="B723" s="1042"/>
      <c r="C723" s="1042"/>
      <c r="D723" s="1042"/>
      <c r="E723" s="1042"/>
      <c r="F723" s="1042"/>
      <c r="G723" s="1042"/>
      <c r="H723" s="923"/>
      <c r="I723" s="923"/>
      <c r="J723" s="923"/>
      <c r="K723" s="923"/>
    </row>
    <row r="724" spans="1:11">
      <c r="A724" s="869"/>
      <c r="B724" s="869"/>
      <c r="C724" s="869"/>
      <c r="D724" s="900"/>
      <c r="G724" s="928"/>
      <c r="H724" s="923"/>
      <c r="I724" s="923"/>
      <c r="J724" s="923"/>
      <c r="K724" s="923"/>
    </row>
    <row r="725" spans="1:11" ht="13.7" customHeight="1">
      <c r="C725" s="869"/>
      <c r="D725" s="1081" t="s">
        <v>1301</v>
      </c>
      <c r="E725" s="1081"/>
      <c r="F725" s="1081"/>
      <c r="G725" s="928"/>
      <c r="H725" s="923"/>
      <c r="I725" s="923"/>
      <c r="J725" s="923"/>
      <c r="K725" s="923"/>
    </row>
    <row r="726" spans="1:11">
      <c r="A726" s="869"/>
      <c r="B726" s="869"/>
      <c r="C726" s="869"/>
      <c r="D726" s="1036" t="s">
        <v>1302</v>
      </c>
      <c r="E726" s="1036"/>
      <c r="F726" s="1036"/>
      <c r="G726" s="928"/>
      <c r="H726" s="923"/>
      <c r="I726" s="923"/>
      <c r="J726" s="923"/>
      <c r="K726" s="923"/>
    </row>
    <row r="727" spans="1:11">
      <c r="A727" s="869"/>
      <c r="B727" s="869"/>
      <c r="C727" s="869"/>
      <c r="G727" s="928"/>
      <c r="H727" s="923"/>
      <c r="I727" s="923"/>
      <c r="J727" s="923"/>
      <c r="K727" s="923"/>
    </row>
    <row r="728" spans="1:11" s="865" customFormat="1" ht="14.25">
      <c r="A728" s="871"/>
      <c r="B728" s="872" t="s">
        <v>333</v>
      </c>
      <c r="C728" s="862"/>
      <c r="D728" s="1010" t="s">
        <v>1303</v>
      </c>
      <c r="E728" s="1010"/>
      <c r="F728" s="1010"/>
      <c r="G728" s="928"/>
      <c r="H728" s="926"/>
      <c r="I728" s="926"/>
      <c r="J728" s="926"/>
      <c r="K728" s="926"/>
    </row>
    <row r="729" spans="1:11" s="865" customFormat="1" ht="10.5" customHeight="1">
      <c r="A729" s="862"/>
      <c r="B729" s="862"/>
      <c r="C729" s="862"/>
      <c r="D729" s="1010"/>
      <c r="E729" s="1010"/>
      <c r="F729" s="1010"/>
      <c r="G729" s="928"/>
      <c r="H729" s="926"/>
      <c r="I729" s="926"/>
      <c r="J729" s="926"/>
      <c r="K729" s="926"/>
    </row>
    <row r="730" spans="1:11" s="865" customFormat="1">
      <c r="A730" s="862"/>
      <c r="B730" s="862"/>
      <c r="C730" s="862"/>
      <c r="D730" s="1010"/>
      <c r="E730" s="1010"/>
      <c r="F730" s="1010"/>
      <c r="G730" s="928"/>
      <c r="H730" s="926"/>
      <c r="I730" s="926"/>
      <c r="J730" s="926"/>
      <c r="K730" s="926"/>
    </row>
    <row r="731" spans="1:11">
      <c r="D731" s="1010"/>
      <c r="E731" s="1010"/>
      <c r="F731" s="1010"/>
      <c r="G731" s="928"/>
      <c r="H731" s="923"/>
      <c r="I731" s="923"/>
      <c r="J731" s="923"/>
      <c r="K731" s="923"/>
    </row>
    <row r="732" spans="1:11">
      <c r="A732" s="875"/>
      <c r="B732" s="875"/>
      <c r="C732" s="875"/>
      <c r="D732" s="1010"/>
      <c r="E732" s="1010"/>
      <c r="F732" s="1010"/>
      <c r="G732" s="929"/>
      <c r="H732" s="923"/>
      <c r="I732" s="923"/>
      <c r="J732" s="923"/>
      <c r="K732" s="923"/>
    </row>
    <row r="733" spans="1:11" ht="15.6" customHeight="1">
      <c r="A733" s="875"/>
      <c r="B733" s="875"/>
      <c r="C733" s="875"/>
      <c r="D733" s="1010"/>
      <c r="E733" s="1010"/>
      <c r="F733" s="1010"/>
      <c r="G733" s="929"/>
      <c r="H733" s="923"/>
      <c r="I733" s="923"/>
      <c r="J733" s="923"/>
      <c r="K733" s="923"/>
    </row>
    <row r="734" spans="1:11">
      <c r="A734" s="875"/>
      <c r="B734" s="875"/>
      <c r="C734" s="875"/>
      <c r="D734" s="917"/>
      <c r="E734" s="930"/>
      <c r="F734" s="930"/>
      <c r="G734" s="929"/>
      <c r="H734" s="923"/>
      <c r="I734" s="923"/>
      <c r="J734" s="923"/>
      <c r="K734" s="923"/>
    </row>
    <row r="735" spans="1:11" s="934" customFormat="1" ht="14.25">
      <c r="A735" s="931"/>
      <c r="B735" s="872" t="s">
        <v>333</v>
      </c>
      <c r="C735" s="932"/>
      <c r="D735" s="1011" t="s">
        <v>1304</v>
      </c>
      <c r="E735" s="1011"/>
      <c r="F735" s="1011"/>
      <c r="G735" s="933"/>
    </row>
    <row r="736" spans="1:11" s="934" customFormat="1">
      <c r="A736" s="932"/>
      <c r="B736" s="932"/>
      <c r="C736" s="932"/>
      <c r="D736" s="1011"/>
      <c r="E736" s="1011"/>
      <c r="F736" s="1011"/>
      <c r="G736" s="933"/>
    </row>
    <row r="737" spans="1:11" s="934" customFormat="1">
      <c r="A737" s="932"/>
      <c r="B737" s="932"/>
      <c r="C737" s="932"/>
      <c r="D737" s="1011"/>
      <c r="E737" s="1011"/>
      <c r="F737" s="1011"/>
      <c r="G737" s="933"/>
    </row>
    <row r="738" spans="1:11" s="934" customFormat="1">
      <c r="A738" s="932"/>
      <c r="B738" s="932"/>
      <c r="C738" s="932"/>
      <c r="D738" s="1011"/>
      <c r="E738" s="1011"/>
      <c r="F738" s="1011"/>
      <c r="G738" s="933"/>
    </row>
    <row r="739" spans="1:11" s="934" customFormat="1">
      <c r="A739" s="932"/>
      <c r="B739" s="932"/>
      <c r="C739" s="932"/>
      <c r="D739" s="917"/>
      <c r="E739" s="933"/>
      <c r="F739" s="933"/>
      <c r="G739" s="933"/>
    </row>
    <row r="740" spans="1:11" s="934" customFormat="1" ht="14.25">
      <c r="A740" s="871"/>
      <c r="B740" s="872" t="s">
        <v>333</v>
      </c>
      <c r="C740" s="932"/>
      <c r="D740" s="1089" t="s">
        <v>1305</v>
      </c>
      <c r="E740" s="1089"/>
      <c r="F740" s="1089"/>
      <c r="G740" s="933"/>
    </row>
    <row r="741" spans="1:11" s="934" customFormat="1">
      <c r="A741" s="932"/>
      <c r="B741" s="932"/>
      <c r="C741" s="932"/>
      <c r="D741" s="1089"/>
      <c r="E741" s="1089"/>
      <c r="F741" s="1089"/>
      <c r="G741" s="933"/>
    </row>
    <row r="742" spans="1:11" s="934" customFormat="1">
      <c r="A742" s="932"/>
      <c r="B742" s="932"/>
      <c r="C742" s="932"/>
      <c r="D742" s="1089"/>
      <c r="E742" s="1089"/>
      <c r="F742" s="1089"/>
      <c r="G742" s="933"/>
    </row>
    <row r="743" spans="1:11">
      <c r="A743" s="875"/>
      <c r="B743" s="875"/>
      <c r="C743" s="875"/>
      <c r="D743" s="917"/>
      <c r="E743" s="930"/>
      <c r="F743" s="930"/>
      <c r="G743" s="929"/>
      <c r="H743" s="923"/>
      <c r="I743" s="923"/>
      <c r="J743" s="923"/>
      <c r="K743" s="923"/>
    </row>
    <row r="744" spans="1:11" ht="14.25">
      <c r="A744" s="871"/>
      <c r="B744" s="872" t="s">
        <v>333</v>
      </c>
      <c r="C744" s="875"/>
      <c r="D744" s="1011" t="s">
        <v>1536</v>
      </c>
      <c r="E744" s="1011"/>
      <c r="F744" s="1011"/>
      <c r="G744" s="929"/>
      <c r="H744" s="923"/>
      <c r="I744" s="923"/>
      <c r="J744" s="923"/>
      <c r="K744" s="923"/>
    </row>
    <row r="745" spans="1:11">
      <c r="A745" s="875"/>
      <c r="B745" s="875"/>
      <c r="C745" s="875"/>
      <c r="D745" s="1011"/>
      <c r="E745" s="1011"/>
      <c r="F745" s="1011"/>
      <c r="G745" s="929"/>
      <c r="H745" s="923"/>
      <c r="I745" s="923"/>
      <c r="J745" s="923"/>
      <c r="K745" s="923"/>
    </row>
    <row r="746" spans="1:11">
      <c r="A746" s="875"/>
      <c r="B746" s="875"/>
      <c r="C746" s="875"/>
      <c r="D746" s="854"/>
      <c r="E746" s="854"/>
      <c r="F746" s="854"/>
      <c r="G746" s="929"/>
      <c r="H746" s="923"/>
      <c r="I746" s="923"/>
      <c r="J746" s="923"/>
      <c r="K746" s="923"/>
    </row>
    <row r="747" spans="1:11">
      <c r="A747" s="875"/>
      <c r="B747" s="872" t="s">
        <v>333</v>
      </c>
      <c r="C747" s="875"/>
      <c r="D747" s="1011" t="s">
        <v>1575</v>
      </c>
      <c r="E747" s="1011"/>
      <c r="F747" s="1011"/>
      <c r="G747" s="929"/>
      <c r="H747" s="923"/>
      <c r="I747" s="923"/>
      <c r="J747" s="923"/>
      <c r="K747" s="923"/>
    </row>
    <row r="748" spans="1:11">
      <c r="A748" s="875"/>
      <c r="B748" s="875"/>
      <c r="C748" s="875"/>
      <c r="D748" s="1011"/>
      <c r="E748" s="1011"/>
      <c r="F748" s="1011"/>
      <c r="G748" s="929"/>
      <c r="H748" s="923"/>
      <c r="I748" s="923"/>
      <c r="J748" s="923"/>
      <c r="K748" s="923"/>
    </row>
    <row r="749" spans="1:11">
      <c r="A749" s="875"/>
      <c r="B749" s="875"/>
      <c r="C749" s="875"/>
      <c r="D749" s="1011"/>
      <c r="E749" s="1011"/>
      <c r="F749" s="1011"/>
      <c r="G749" s="929"/>
      <c r="H749" s="923"/>
      <c r="I749" s="923"/>
      <c r="J749" s="923"/>
      <c r="K749" s="923"/>
    </row>
    <row r="750" spans="1:11">
      <c r="A750" s="875"/>
      <c r="B750" s="875"/>
      <c r="C750" s="875"/>
      <c r="D750" s="854"/>
      <c r="E750" s="854"/>
      <c r="F750" s="854"/>
      <c r="G750" s="929"/>
      <c r="H750" s="923"/>
      <c r="I750" s="923"/>
      <c r="J750" s="923"/>
      <c r="K750" s="923"/>
    </row>
    <row r="751" spans="1:11">
      <c r="A751" s="1044" t="s">
        <v>1308</v>
      </c>
      <c r="B751" s="1044"/>
      <c r="C751" s="1044"/>
      <c r="D751" s="1044"/>
      <c r="E751" s="1044"/>
      <c r="F751" s="1044"/>
      <c r="G751" s="1044"/>
    </row>
    <row r="752" spans="1:11">
      <c r="A752" s="869"/>
      <c r="B752" s="869"/>
      <c r="C752" s="869"/>
      <c r="D752" s="935"/>
      <c r="F752" s="921"/>
      <c r="G752" s="928"/>
    </row>
    <row r="753" spans="1:7">
      <c r="A753" s="875"/>
      <c r="B753" s="875"/>
      <c r="C753" s="880"/>
      <c r="D753" s="1045" t="s">
        <v>1292</v>
      </c>
      <c r="E753" s="1045"/>
      <c r="F753" s="1045"/>
      <c r="G753" s="928"/>
    </row>
    <row r="754" spans="1:7">
      <c r="A754" s="936"/>
      <c r="B754" s="936"/>
      <c r="C754" s="937"/>
      <c r="D754" s="1035" t="s">
        <v>1309</v>
      </c>
      <c r="E754" s="1035"/>
      <c r="F754" s="1035"/>
      <c r="G754" s="928"/>
    </row>
    <row r="755" spans="1:7">
      <c r="A755" s="875"/>
      <c r="B755" s="875"/>
      <c r="C755" s="880"/>
      <c r="D755" s="765"/>
      <c r="E755" s="765"/>
      <c r="F755" s="765"/>
      <c r="G755" s="928"/>
    </row>
    <row r="756" spans="1:7" ht="14.25">
      <c r="A756" s="871"/>
      <c r="B756" s="872" t="s">
        <v>333</v>
      </c>
      <c r="C756" s="880"/>
      <c r="D756" s="1036" t="s">
        <v>1152</v>
      </c>
      <c r="E756" s="1036"/>
      <c r="F756" s="1036"/>
      <c r="G756" s="928"/>
    </row>
    <row r="757" spans="1:7">
      <c r="A757" s="875"/>
      <c r="B757" s="875"/>
      <c r="C757" s="880"/>
      <c r="D757" s="794"/>
      <c r="E757" s="1037" t="s">
        <v>1293</v>
      </c>
      <c r="F757" s="1037"/>
      <c r="G757" s="928"/>
    </row>
    <row r="758" spans="1:7">
      <c r="A758" s="920"/>
      <c r="B758" s="920"/>
      <c r="C758" s="920"/>
      <c r="D758" s="874"/>
      <c r="F758" s="897"/>
      <c r="G758" s="928"/>
    </row>
    <row r="759" spans="1:7">
      <c r="A759" s="992" t="s">
        <v>514</v>
      </c>
      <c r="B759" s="992"/>
      <c r="C759" s="992"/>
      <c r="D759" s="992"/>
      <c r="E759" s="992"/>
      <c r="F759" s="992"/>
      <c r="G759" s="992"/>
    </row>
    <row r="760" spans="1:7">
      <c r="A760" s="867"/>
      <c r="B760" s="867"/>
      <c r="C760" s="907"/>
      <c r="D760" s="928"/>
      <c r="E760" s="928"/>
      <c r="F760" s="928"/>
      <c r="G760" s="928"/>
    </row>
    <row r="761" spans="1:7">
      <c r="A761" s="874"/>
      <c r="B761" s="1074" t="s">
        <v>1151</v>
      </c>
      <c r="C761" s="1074"/>
      <c r="D761" s="1074"/>
      <c r="E761" s="1074"/>
      <c r="F761" s="1074"/>
      <c r="G761" s="928"/>
    </row>
    <row r="762" spans="1:7">
      <c r="A762" s="894"/>
      <c r="B762" s="894"/>
      <c r="G762" s="928"/>
    </row>
    <row r="763" spans="1:7">
      <c r="A763" s="992" t="s">
        <v>515</v>
      </c>
      <c r="B763" s="992"/>
      <c r="C763" s="992"/>
      <c r="D763" s="992"/>
      <c r="E763" s="992"/>
      <c r="F763" s="992"/>
      <c r="G763" s="992"/>
    </row>
    <row r="764" spans="1:7">
      <c r="A764" s="867"/>
      <c r="B764" s="867"/>
      <c r="C764" s="867"/>
      <c r="D764" s="900"/>
      <c r="G764" s="928"/>
    </row>
    <row r="765" spans="1:7">
      <c r="A765" s="874"/>
      <c r="B765" s="1085" t="s">
        <v>513</v>
      </c>
      <c r="C765" s="1085"/>
      <c r="D765" s="1085"/>
      <c r="E765" s="1085"/>
      <c r="F765" s="1085"/>
      <c r="G765" s="928"/>
    </row>
    <row r="766" spans="1:7" ht="14.25">
      <c r="A766" s="871"/>
      <c r="B766" s="871"/>
      <c r="D766" s="874"/>
      <c r="E766" s="874"/>
      <c r="F766" s="928"/>
      <c r="G766" s="928"/>
    </row>
    <row r="767" spans="1:7">
      <c r="A767" s="992" t="s">
        <v>516</v>
      </c>
      <c r="B767" s="992"/>
      <c r="C767" s="992"/>
      <c r="D767" s="992"/>
      <c r="E767" s="992"/>
      <c r="F767" s="992"/>
      <c r="G767" s="992"/>
    </row>
    <row r="768" spans="1:7">
      <c r="C768" s="869"/>
      <c r="D768" s="901"/>
      <c r="E768" s="874"/>
      <c r="F768" s="928"/>
      <c r="G768" s="928"/>
    </row>
    <row r="769" spans="1:7">
      <c r="A769" s="874"/>
      <c r="B769" s="1085" t="s">
        <v>513</v>
      </c>
      <c r="C769" s="1085"/>
      <c r="D769" s="1085"/>
      <c r="E769" s="1085"/>
      <c r="F769" s="1085"/>
      <c r="G769" s="928"/>
    </row>
    <row r="770" spans="1:7">
      <c r="A770" s="874"/>
      <c r="B770" s="874"/>
      <c r="C770" s="907"/>
      <c r="D770" s="928"/>
      <c r="E770" s="928"/>
      <c r="F770" s="928"/>
      <c r="G770" s="928"/>
    </row>
    <row r="771" spans="1:7">
      <c r="A771" s="992" t="s">
        <v>517</v>
      </c>
      <c r="B771" s="992"/>
      <c r="C771" s="992"/>
      <c r="D771" s="992"/>
      <c r="E771" s="992"/>
      <c r="F771" s="992"/>
      <c r="G771" s="992"/>
    </row>
    <row r="772" spans="1:7">
      <c r="A772" s="874"/>
      <c r="B772" s="874"/>
    </row>
    <row r="773" spans="1:7">
      <c r="A773" s="874"/>
      <c r="B773" s="1085" t="s">
        <v>513</v>
      </c>
      <c r="C773" s="1085"/>
      <c r="D773" s="1085"/>
      <c r="E773" s="1085"/>
      <c r="F773" s="1085"/>
    </row>
    <row r="774" spans="1:7">
      <c r="A774" s="907"/>
      <c r="B774" s="907"/>
      <c r="C774" s="907"/>
      <c r="D774" s="866"/>
      <c r="F774" s="928"/>
    </row>
    <row r="775" spans="1:7">
      <c r="A775" s="992" t="s">
        <v>518</v>
      </c>
      <c r="B775" s="992"/>
      <c r="C775" s="992"/>
      <c r="D775" s="992"/>
      <c r="E775" s="992"/>
      <c r="F775" s="992"/>
      <c r="G775" s="992"/>
    </row>
    <row r="776" spans="1:7">
      <c r="A776" s="874"/>
      <c r="B776" s="874"/>
    </row>
    <row r="777" spans="1:7">
      <c r="A777" s="874"/>
      <c r="B777" s="1085" t="s">
        <v>513</v>
      </c>
      <c r="C777" s="1085"/>
      <c r="D777" s="1085"/>
      <c r="E777" s="1085"/>
      <c r="F777" s="1085"/>
    </row>
    <row r="778" spans="1:7">
      <c r="A778" s="907"/>
      <c r="B778" s="907"/>
      <c r="C778" s="907"/>
      <c r="D778" s="866"/>
      <c r="F778" s="928"/>
    </row>
    <row r="779" spans="1:7">
      <c r="A779" s="992" t="s">
        <v>519</v>
      </c>
      <c r="B779" s="992"/>
      <c r="C779" s="992"/>
      <c r="D779" s="992"/>
      <c r="E779" s="992"/>
      <c r="F779" s="992"/>
      <c r="G779" s="992"/>
    </row>
    <row r="780" spans="1:7">
      <c r="A780" s="874"/>
      <c r="B780" s="874"/>
    </row>
    <row r="781" spans="1:7">
      <c r="A781" s="874"/>
      <c r="B781" s="1085" t="s">
        <v>513</v>
      </c>
      <c r="C781" s="1085"/>
      <c r="D781" s="1085"/>
      <c r="E781" s="1085"/>
      <c r="F781" s="1085"/>
    </row>
    <row r="782" spans="1:7">
      <c r="A782" s="896"/>
      <c r="B782" s="896"/>
      <c r="C782" s="896"/>
      <c r="D782" s="938"/>
      <c r="E782" s="897"/>
      <c r="F782" s="897"/>
      <c r="G782" s="897"/>
    </row>
    <row r="783" spans="1:7">
      <c r="A783" s="992" t="s">
        <v>204</v>
      </c>
      <c r="B783" s="992"/>
      <c r="C783" s="992"/>
      <c r="D783" s="992"/>
      <c r="E783" s="992"/>
      <c r="F783" s="992"/>
      <c r="G783" s="992"/>
    </row>
    <row r="784" spans="1:7">
      <c r="A784" s="874"/>
      <c r="B784" s="874"/>
    </row>
    <row r="785" spans="1:7">
      <c r="A785" s="874"/>
      <c r="B785" s="1085" t="s">
        <v>513</v>
      </c>
      <c r="C785" s="1085"/>
      <c r="D785" s="1085"/>
      <c r="E785" s="1085"/>
      <c r="F785" s="1085"/>
    </row>
    <row r="786" spans="1:7">
      <c r="A786" s="874"/>
      <c r="B786" s="874"/>
      <c r="D786" s="866"/>
    </row>
    <row r="787" spans="1:7">
      <c r="A787" s="992" t="s">
        <v>1001</v>
      </c>
      <c r="B787" s="992"/>
      <c r="C787" s="992"/>
      <c r="D787" s="992"/>
      <c r="E787" s="992"/>
      <c r="F787" s="992"/>
      <c r="G787" s="992"/>
    </row>
    <row r="788" spans="1:7">
      <c r="A788" s="874"/>
      <c r="B788" s="874"/>
    </row>
    <row r="789" spans="1:7">
      <c r="A789" s="874"/>
      <c r="B789" s="1085" t="s">
        <v>513</v>
      </c>
      <c r="C789" s="1085"/>
      <c r="D789" s="1085"/>
      <c r="E789" s="1085"/>
      <c r="F789" s="1085"/>
      <c r="G789" s="864"/>
    </row>
    <row r="790" spans="1:7">
      <c r="A790" s="867"/>
      <c r="B790" s="867"/>
      <c r="C790" s="867"/>
      <c r="E790" s="864"/>
      <c r="F790" s="864"/>
      <c r="G790" s="864"/>
    </row>
    <row r="791" spans="1:7" ht="14.25">
      <c r="A791" s="871"/>
      <c r="B791" s="871"/>
      <c r="C791" s="869"/>
      <c r="D791" s="866"/>
      <c r="E791" s="864"/>
      <c r="F791" s="864"/>
      <c r="G791" s="864"/>
    </row>
    <row r="792" spans="1:7" ht="12.75" hidden="1" customHeight="1">
      <c r="D792" s="874"/>
      <c r="E792" s="864"/>
      <c r="F792" s="864"/>
      <c r="G792" s="864"/>
    </row>
    <row r="793" spans="1:7" ht="12.75" hidden="1" customHeight="1">
      <c r="E793" s="864"/>
      <c r="F793" s="864"/>
      <c r="G793" s="864"/>
    </row>
    <row r="794" spans="1:7" ht="12.75" hidden="1" customHeight="1">
      <c r="E794" s="864"/>
      <c r="F794" s="864"/>
      <c r="G794" s="864"/>
    </row>
    <row r="795" spans="1:7" ht="12.75" hidden="1" customHeight="1">
      <c r="D795" s="868"/>
      <c r="E795" s="864"/>
      <c r="F795" s="864"/>
      <c r="G795" s="864"/>
    </row>
    <row r="796" spans="1:7" ht="12.75" hidden="1" customHeight="1">
      <c r="D796" s="868"/>
      <c r="E796" s="864"/>
      <c r="F796" s="864"/>
      <c r="G796" s="864"/>
    </row>
    <row r="797" spans="1:7" ht="12.75" hidden="1" customHeight="1">
      <c r="D797" s="868"/>
      <c r="E797" s="864"/>
      <c r="F797" s="864"/>
      <c r="G797" s="864"/>
    </row>
    <row r="798" spans="1:7" ht="12.75" hidden="1" customHeight="1">
      <c r="E798" s="864"/>
      <c r="F798" s="864"/>
      <c r="G798" s="864"/>
    </row>
    <row r="799" spans="1:7" ht="14.25" hidden="1" customHeight="1">
      <c r="A799" s="871"/>
      <c r="B799" s="871"/>
      <c r="D799" s="874"/>
      <c r="E799" s="864"/>
      <c r="F799" s="864"/>
      <c r="G799" s="864"/>
    </row>
    <row r="800" spans="1:7" ht="12.75" hidden="1" customHeight="1">
      <c r="E800" s="864"/>
      <c r="F800" s="864"/>
      <c r="G800" s="864"/>
    </row>
    <row r="801" spans="1:7" ht="12.75" hidden="1" customHeight="1">
      <c r="E801" s="864"/>
      <c r="F801" s="864"/>
      <c r="G801" s="864"/>
    </row>
    <row r="802" spans="1:7" ht="12.75" hidden="1" customHeight="1">
      <c r="D802" s="868"/>
      <c r="E802" s="864"/>
      <c r="F802" s="864"/>
      <c r="G802" s="864"/>
    </row>
    <row r="803" spans="1:7" ht="12.75" hidden="1" customHeight="1">
      <c r="D803" s="868"/>
      <c r="E803" s="864"/>
      <c r="F803" s="864"/>
      <c r="G803" s="864"/>
    </row>
    <row r="804" spans="1:7" ht="14.25" hidden="1" customHeight="1">
      <c r="A804" s="871"/>
      <c r="B804" s="871"/>
      <c r="D804" s="874"/>
      <c r="E804" s="864"/>
      <c r="F804" s="864"/>
      <c r="G804" s="864"/>
    </row>
    <row r="805" spans="1:7" ht="12.75" hidden="1" customHeight="1">
      <c r="E805" s="864"/>
      <c r="F805" s="864"/>
      <c r="G805" s="864"/>
    </row>
    <row r="806" spans="1:7" ht="12.75" hidden="1" customHeight="1">
      <c r="E806" s="864"/>
      <c r="F806" s="864"/>
      <c r="G806" s="864"/>
    </row>
    <row r="807" spans="1:7" ht="14.25" hidden="1" customHeight="1">
      <c r="A807" s="871"/>
      <c r="B807" s="871"/>
      <c r="D807" s="874"/>
      <c r="E807" s="864"/>
      <c r="F807" s="864"/>
      <c r="G807" s="864"/>
    </row>
    <row r="808" spans="1:7" ht="12.75" hidden="1" customHeight="1">
      <c r="E808" s="864"/>
      <c r="F808" s="864"/>
      <c r="G808" s="864"/>
    </row>
    <row r="809" spans="1:7" ht="14.25" hidden="1" customHeight="1">
      <c r="A809" s="871"/>
      <c r="B809" s="871"/>
      <c r="D809" s="874"/>
      <c r="E809" s="864"/>
      <c r="F809" s="864"/>
      <c r="G809" s="864"/>
    </row>
    <row r="810" spans="1:7" ht="12.75" hidden="1" customHeight="1">
      <c r="A810" s="920"/>
      <c r="B810" s="920"/>
      <c r="C810" s="920"/>
      <c r="E810" s="864"/>
      <c r="F810" s="864"/>
      <c r="G810" s="864"/>
    </row>
    <row r="811" spans="1:7" ht="12.75" hidden="1" customHeight="1">
      <c r="E811" s="864"/>
      <c r="F811" s="864"/>
      <c r="G811" s="864"/>
    </row>
    <row r="812" spans="1:7" ht="12.75" hidden="1" customHeight="1">
      <c r="E812" s="864"/>
      <c r="F812" s="864"/>
      <c r="G812" s="864"/>
    </row>
    <row r="813" spans="1:7" ht="12.75" hidden="1" customHeight="1">
      <c r="E813" s="864"/>
      <c r="F813" s="864"/>
      <c r="G813" s="864"/>
    </row>
    <row r="814" spans="1:7" ht="12.75" hidden="1" customHeight="1">
      <c r="E814" s="864"/>
      <c r="F814" s="864"/>
      <c r="G814" s="864"/>
    </row>
    <row r="815" spans="1:7" ht="12.75" hidden="1" customHeight="1">
      <c r="E815" s="864"/>
      <c r="F815" s="864"/>
      <c r="G815" s="864"/>
    </row>
    <row r="816" spans="1:7" ht="12.75" hidden="1" customHeight="1">
      <c r="E816" s="864"/>
      <c r="F816" s="864"/>
      <c r="G816" s="864"/>
    </row>
    <row r="817" spans="1:7" ht="12.75" hidden="1" customHeight="1">
      <c r="E817" s="864"/>
      <c r="F817" s="864"/>
      <c r="G817" s="864"/>
    </row>
    <row r="818" spans="1:7" ht="12.75" hidden="1" customHeight="1">
      <c r="E818" s="864"/>
      <c r="F818" s="864"/>
      <c r="G818" s="864"/>
    </row>
    <row r="819" spans="1:7" ht="12.75" hidden="1" customHeight="1">
      <c r="E819" s="864"/>
      <c r="F819" s="864"/>
      <c r="G819" s="864"/>
    </row>
    <row r="820" spans="1:7" ht="12.75" hidden="1" customHeight="1">
      <c r="E820" s="864"/>
      <c r="F820" s="864"/>
      <c r="G820" s="864"/>
    </row>
    <row r="821" spans="1:7" ht="12.75" hidden="1" customHeight="1">
      <c r="A821" s="864"/>
      <c r="B821" s="864"/>
      <c r="C821" s="864"/>
      <c r="D821" s="864"/>
      <c r="E821" s="864"/>
      <c r="F821" s="864"/>
      <c r="G821" s="864"/>
    </row>
    <row r="822" spans="1:7" ht="12.75" hidden="1" customHeight="1">
      <c r="A822" s="864"/>
      <c r="B822" s="864"/>
      <c r="C822" s="864"/>
      <c r="D822" s="864"/>
      <c r="E822" s="864"/>
      <c r="F822" s="864"/>
      <c r="G822" s="864"/>
    </row>
    <row r="823" spans="1:7" ht="12.75" hidden="1" customHeight="1">
      <c r="A823" s="864"/>
      <c r="B823" s="864"/>
      <c r="C823" s="864"/>
      <c r="D823" s="864"/>
      <c r="E823" s="864"/>
      <c r="F823" s="864"/>
      <c r="G823" s="864"/>
    </row>
    <row r="824" spans="1:7" ht="12.75" hidden="1" customHeight="1">
      <c r="A824" s="864"/>
      <c r="B824" s="864"/>
      <c r="C824" s="864"/>
      <c r="D824" s="864"/>
      <c r="E824" s="864"/>
      <c r="F824" s="864"/>
      <c r="G824" s="864"/>
    </row>
    <row r="825" spans="1:7" ht="12.75" hidden="1" customHeight="1">
      <c r="A825" s="864"/>
      <c r="B825" s="864"/>
      <c r="C825" s="864"/>
      <c r="D825" s="864"/>
      <c r="E825" s="864"/>
      <c r="F825" s="864"/>
      <c r="G825" s="864"/>
    </row>
    <row r="826" spans="1:7" ht="12.75" hidden="1" customHeight="1">
      <c r="A826" s="864"/>
      <c r="B826" s="864"/>
      <c r="C826" s="864"/>
      <c r="D826" s="864"/>
      <c r="E826" s="864"/>
      <c r="F826" s="864"/>
      <c r="G826" s="864"/>
    </row>
    <row r="827" spans="1:7" ht="12.75" hidden="1" customHeight="1">
      <c r="A827" s="864"/>
      <c r="B827" s="864"/>
      <c r="C827" s="864"/>
      <c r="D827" s="864"/>
      <c r="E827" s="864"/>
      <c r="F827" s="864"/>
      <c r="G827" s="864"/>
    </row>
    <row r="828" spans="1:7" ht="12.75" hidden="1" customHeight="1">
      <c r="A828" s="864"/>
      <c r="B828" s="864"/>
      <c r="C828" s="864"/>
      <c r="D828" s="864"/>
      <c r="E828" s="864"/>
      <c r="F828" s="864"/>
      <c r="G828" s="864"/>
    </row>
    <row r="829" spans="1:7" ht="12.75" hidden="1" customHeight="1">
      <c r="A829" s="864"/>
      <c r="B829" s="864"/>
      <c r="C829" s="864"/>
      <c r="D829" s="864"/>
      <c r="E829" s="864"/>
      <c r="F829" s="864"/>
      <c r="G829" s="864"/>
    </row>
    <row r="830" spans="1:7" ht="12.75" hidden="1" customHeight="1">
      <c r="A830" s="864"/>
      <c r="B830" s="864"/>
      <c r="C830" s="864"/>
      <c r="D830" s="864"/>
      <c r="E830" s="864"/>
      <c r="F830" s="864"/>
      <c r="G830" s="864"/>
    </row>
    <row r="831" spans="1:7" ht="12.75" hidden="1" customHeight="1">
      <c r="A831" s="864"/>
      <c r="B831" s="864"/>
      <c r="C831" s="864"/>
      <c r="D831" s="864"/>
      <c r="E831" s="864"/>
      <c r="F831" s="864"/>
      <c r="G831" s="864"/>
    </row>
    <row r="832" spans="1:7" ht="12.75" hidden="1" customHeight="1">
      <c r="A832" s="864"/>
      <c r="B832" s="864"/>
      <c r="C832" s="864"/>
      <c r="D832" s="864"/>
      <c r="E832" s="864"/>
      <c r="F832" s="864"/>
      <c r="G832" s="864"/>
    </row>
    <row r="833" spans="1:7" ht="12.75" hidden="1" customHeight="1">
      <c r="A833" s="864"/>
      <c r="B833" s="864"/>
      <c r="C833" s="864"/>
      <c r="D833" s="864"/>
      <c r="E833" s="864"/>
      <c r="F833" s="864"/>
      <c r="G833" s="864"/>
    </row>
    <row r="834" spans="1:7" ht="12.75" hidden="1" customHeight="1">
      <c r="A834" s="864"/>
      <c r="B834" s="864"/>
      <c r="C834" s="864"/>
      <c r="D834" s="864"/>
      <c r="E834" s="864"/>
      <c r="F834" s="864"/>
      <c r="G834" s="864"/>
    </row>
    <row r="835" spans="1:7" ht="12.75" hidden="1" customHeight="1">
      <c r="A835" s="864"/>
      <c r="B835" s="864"/>
      <c r="C835" s="864"/>
      <c r="D835" s="864"/>
      <c r="E835" s="864"/>
      <c r="F835" s="864"/>
      <c r="G835" s="864"/>
    </row>
    <row r="836" spans="1:7" ht="12.75" hidden="1" customHeight="1">
      <c r="A836" s="864"/>
      <c r="B836" s="864"/>
      <c r="C836" s="864"/>
      <c r="D836" s="864"/>
      <c r="E836" s="864"/>
      <c r="F836" s="864"/>
      <c r="G836" s="864"/>
    </row>
    <row r="837" spans="1:7" ht="12.75" hidden="1" customHeight="1">
      <c r="A837" s="864"/>
      <c r="B837" s="864"/>
      <c r="C837" s="864"/>
      <c r="D837" s="864"/>
      <c r="E837" s="864"/>
      <c r="F837" s="864"/>
      <c r="G837" s="864"/>
    </row>
    <row r="838" spans="1:7" ht="12.75" hidden="1" customHeight="1">
      <c r="A838" s="864"/>
      <c r="B838" s="864"/>
      <c r="C838" s="864"/>
      <c r="D838" s="864"/>
      <c r="E838" s="864"/>
      <c r="F838" s="864"/>
      <c r="G838" s="864"/>
    </row>
    <row r="839" spans="1:7" ht="12.75" hidden="1" customHeight="1">
      <c r="A839" s="864"/>
      <c r="B839" s="864"/>
      <c r="C839" s="864"/>
      <c r="D839" s="864"/>
      <c r="E839" s="864"/>
      <c r="F839" s="864"/>
      <c r="G839" s="864"/>
    </row>
    <row r="840" spans="1:7" ht="12.75" hidden="1" customHeight="1">
      <c r="A840" s="864"/>
      <c r="B840" s="864"/>
      <c r="C840" s="864"/>
      <c r="D840" s="864"/>
      <c r="E840" s="864"/>
      <c r="F840" s="864"/>
      <c r="G840" s="864"/>
    </row>
    <row r="841" spans="1:7" ht="12.75" hidden="1" customHeight="1">
      <c r="A841" s="864"/>
      <c r="B841" s="864"/>
      <c r="C841" s="864"/>
      <c r="D841" s="864"/>
      <c r="E841" s="864"/>
      <c r="F841" s="864"/>
      <c r="G841" s="864"/>
    </row>
    <row r="842" spans="1:7" ht="12.75" hidden="1" customHeight="1">
      <c r="A842" s="864"/>
      <c r="B842" s="864"/>
      <c r="C842" s="864"/>
      <c r="D842" s="864"/>
      <c r="E842" s="864"/>
      <c r="F842" s="864"/>
      <c r="G842" s="864"/>
    </row>
    <row r="843" spans="1:7" ht="12.75" hidden="1" customHeight="1">
      <c r="A843" s="864"/>
      <c r="B843" s="864"/>
      <c r="C843" s="864"/>
      <c r="D843" s="864"/>
      <c r="E843" s="864"/>
      <c r="F843" s="864"/>
      <c r="G843" s="864"/>
    </row>
    <row r="844" spans="1:7" ht="12.75" hidden="1" customHeight="1">
      <c r="A844" s="864"/>
      <c r="B844" s="864"/>
      <c r="C844" s="864"/>
      <c r="D844" s="864"/>
      <c r="E844" s="864"/>
      <c r="F844" s="864"/>
      <c r="G844" s="864"/>
    </row>
    <row r="845" spans="1:7" ht="12.75" hidden="1" customHeight="1">
      <c r="A845" s="864"/>
      <c r="B845" s="864"/>
      <c r="C845" s="864"/>
      <c r="D845" s="864"/>
      <c r="E845" s="864"/>
      <c r="F845" s="864"/>
      <c r="G845" s="864"/>
    </row>
    <row r="846" spans="1:7" ht="12.75" hidden="1" customHeight="1">
      <c r="A846" s="864"/>
      <c r="B846" s="864"/>
      <c r="C846" s="864"/>
      <c r="D846" s="864"/>
      <c r="E846" s="864"/>
      <c r="F846" s="864"/>
      <c r="G846" s="864"/>
    </row>
    <row r="847" spans="1:7" ht="12.75" hidden="1" customHeight="1">
      <c r="A847" s="864"/>
      <c r="B847" s="864"/>
      <c r="C847" s="864"/>
      <c r="D847" s="864"/>
      <c r="E847" s="864"/>
      <c r="F847" s="864"/>
      <c r="G847" s="864"/>
    </row>
    <row r="848" spans="1:7" ht="12.75" hidden="1" customHeight="1">
      <c r="A848" s="864"/>
      <c r="B848" s="864"/>
      <c r="C848" s="864"/>
      <c r="D848" s="864"/>
      <c r="E848" s="864"/>
      <c r="F848" s="864"/>
      <c r="G848" s="864"/>
    </row>
    <row r="849" spans="1:7" ht="12.75" hidden="1" customHeight="1">
      <c r="A849" s="864"/>
      <c r="B849" s="864"/>
      <c r="C849" s="864"/>
      <c r="D849" s="864"/>
      <c r="E849" s="864"/>
      <c r="F849" s="864"/>
      <c r="G849" s="864"/>
    </row>
    <row r="850" spans="1:7" ht="12.75" hidden="1" customHeight="1">
      <c r="A850" s="864"/>
      <c r="B850" s="864"/>
      <c r="C850" s="864"/>
      <c r="D850" s="864"/>
      <c r="E850" s="864"/>
      <c r="F850" s="864"/>
      <c r="G850" s="864"/>
    </row>
    <row r="851" spans="1:7" ht="12.75" hidden="1" customHeight="1">
      <c r="A851" s="864"/>
      <c r="B851" s="864"/>
      <c r="C851" s="864"/>
      <c r="D851" s="864"/>
      <c r="E851" s="864"/>
      <c r="F851" s="864"/>
      <c r="G851" s="864"/>
    </row>
    <row r="852" spans="1:7" ht="12.75" hidden="1" customHeight="1">
      <c r="A852" s="864"/>
      <c r="B852" s="864"/>
      <c r="C852" s="864"/>
      <c r="D852" s="864"/>
      <c r="E852" s="864"/>
      <c r="F852" s="864"/>
      <c r="G852" s="864"/>
    </row>
    <row r="853" spans="1:7" ht="12.75" hidden="1" customHeight="1">
      <c r="A853" s="864"/>
      <c r="B853" s="864"/>
      <c r="C853" s="864"/>
      <c r="D853" s="864"/>
      <c r="E853" s="864"/>
      <c r="F853" s="864"/>
      <c r="G853" s="864"/>
    </row>
    <row r="854" spans="1:7" ht="12.75" hidden="1" customHeight="1">
      <c r="A854" s="864"/>
      <c r="B854" s="864"/>
      <c r="C854" s="864"/>
      <c r="D854" s="864"/>
      <c r="E854" s="864"/>
      <c r="F854" s="864"/>
      <c r="G854" s="864"/>
    </row>
    <row r="855" spans="1:7" ht="12.75" hidden="1" customHeight="1">
      <c r="A855" s="864"/>
      <c r="B855" s="864"/>
      <c r="C855" s="864"/>
      <c r="D855" s="864"/>
      <c r="E855" s="864"/>
      <c r="F855" s="864"/>
      <c r="G855" s="864"/>
    </row>
    <row r="856" spans="1:7" ht="12.75" hidden="1" customHeight="1">
      <c r="A856" s="864"/>
      <c r="B856" s="864"/>
      <c r="C856" s="864"/>
      <c r="D856" s="864"/>
      <c r="E856" s="864"/>
      <c r="F856" s="864"/>
      <c r="G856" s="864"/>
    </row>
    <row r="857" spans="1:7" ht="12.75" hidden="1" customHeight="1">
      <c r="A857" s="864"/>
      <c r="B857" s="864"/>
      <c r="C857" s="864"/>
      <c r="D857" s="864"/>
      <c r="E857" s="864"/>
      <c r="F857" s="864"/>
      <c r="G857" s="864"/>
    </row>
    <row r="858" spans="1:7" ht="12.75" hidden="1" customHeight="1">
      <c r="A858" s="864"/>
      <c r="B858" s="864"/>
      <c r="C858" s="864"/>
      <c r="D858" s="864"/>
      <c r="E858" s="864"/>
      <c r="F858" s="864"/>
      <c r="G858" s="864"/>
    </row>
    <row r="859" spans="1:7" ht="12.75" hidden="1" customHeight="1">
      <c r="A859" s="864"/>
      <c r="B859" s="864"/>
      <c r="C859" s="864"/>
      <c r="D859" s="864"/>
      <c r="E859" s="864"/>
      <c r="F859" s="864"/>
      <c r="G859" s="864"/>
    </row>
    <row r="860" spans="1:7" ht="12.75" hidden="1" customHeight="1">
      <c r="A860" s="864"/>
      <c r="B860" s="864"/>
      <c r="C860" s="864"/>
      <c r="D860" s="864"/>
      <c r="E860" s="864"/>
      <c r="F860" s="864"/>
      <c r="G860" s="864"/>
    </row>
    <row r="861" spans="1:7" ht="12.75" hidden="1" customHeight="1">
      <c r="A861" s="864"/>
      <c r="B861" s="864"/>
      <c r="C861" s="864"/>
      <c r="D861" s="864"/>
      <c r="E861" s="864"/>
      <c r="F861" s="864"/>
      <c r="G861" s="864"/>
    </row>
    <row r="862" spans="1:7" ht="12.75" hidden="1" customHeight="1">
      <c r="A862" s="864"/>
      <c r="B862" s="864"/>
      <c r="C862" s="864"/>
      <c r="D862" s="864"/>
      <c r="E862" s="864"/>
      <c r="F862" s="864"/>
      <c r="G862" s="864"/>
    </row>
    <row r="863" spans="1:7" ht="12.75" hidden="1" customHeight="1">
      <c r="A863" s="864"/>
      <c r="B863" s="864"/>
      <c r="C863" s="864"/>
      <c r="D863" s="864"/>
      <c r="E863" s="864"/>
      <c r="F863" s="864"/>
      <c r="G863" s="864"/>
    </row>
    <row r="864" spans="1:7" ht="12.75" hidden="1" customHeight="1">
      <c r="A864" s="864"/>
      <c r="B864" s="864"/>
      <c r="C864" s="864"/>
      <c r="D864" s="864"/>
      <c r="E864" s="864"/>
      <c r="F864" s="864"/>
      <c r="G864" s="864"/>
    </row>
    <row r="865" spans="1:7" ht="12.75" hidden="1" customHeight="1">
      <c r="A865" s="864"/>
      <c r="B865" s="864"/>
      <c r="C865" s="864"/>
      <c r="D865" s="864"/>
      <c r="E865" s="864"/>
      <c r="F865" s="864"/>
      <c r="G865" s="864"/>
    </row>
    <row r="866" spans="1:7" ht="12.75" hidden="1" customHeight="1">
      <c r="A866" s="864"/>
      <c r="B866" s="864"/>
      <c r="C866" s="864"/>
      <c r="D866" s="864"/>
      <c r="E866" s="864"/>
      <c r="F866" s="864"/>
      <c r="G866" s="864"/>
    </row>
    <row r="867" spans="1:7" ht="12.75" hidden="1" customHeight="1">
      <c r="A867" s="864"/>
      <c r="B867" s="864"/>
      <c r="C867" s="864"/>
      <c r="D867" s="864"/>
      <c r="E867" s="864"/>
      <c r="F867" s="864"/>
      <c r="G867" s="864"/>
    </row>
    <row r="868" spans="1:7" ht="12.75" hidden="1" customHeight="1">
      <c r="A868" s="864"/>
      <c r="B868" s="864"/>
      <c r="C868" s="864"/>
      <c r="D868" s="864"/>
      <c r="E868" s="864"/>
      <c r="F868" s="864"/>
      <c r="G868" s="864"/>
    </row>
    <row r="869" spans="1:7" ht="12.75" hidden="1" customHeight="1">
      <c r="A869" s="864"/>
      <c r="B869" s="864"/>
      <c r="C869" s="864"/>
      <c r="D869" s="864"/>
      <c r="E869" s="864"/>
      <c r="F869" s="864"/>
      <c r="G869" s="864"/>
    </row>
    <row r="870" spans="1:7" ht="12.75" hidden="1" customHeight="1">
      <c r="A870" s="864"/>
      <c r="B870" s="864"/>
      <c r="C870" s="864"/>
      <c r="D870" s="864"/>
      <c r="E870" s="864"/>
      <c r="F870" s="864"/>
      <c r="G870" s="864"/>
    </row>
    <row r="871" spans="1:7" ht="12.75" hidden="1" customHeight="1">
      <c r="A871" s="864"/>
      <c r="B871" s="864"/>
      <c r="C871" s="864"/>
      <c r="D871" s="864"/>
      <c r="E871" s="864"/>
      <c r="F871" s="864"/>
      <c r="G871" s="864"/>
    </row>
    <row r="872" spans="1:7" ht="12.75" hidden="1" customHeight="1">
      <c r="A872" s="864"/>
      <c r="B872" s="864"/>
      <c r="C872" s="864"/>
      <c r="D872" s="864"/>
      <c r="E872" s="864"/>
      <c r="F872" s="864"/>
      <c r="G872" s="864"/>
    </row>
    <row r="873" spans="1:7" ht="12.75" hidden="1" customHeight="1">
      <c r="A873" s="864"/>
      <c r="B873" s="864"/>
      <c r="C873" s="864"/>
      <c r="D873" s="864"/>
      <c r="E873" s="864"/>
      <c r="F873" s="864"/>
      <c r="G873" s="864"/>
    </row>
    <row r="874" spans="1:7" ht="12.75" hidden="1" customHeight="1">
      <c r="A874" s="864"/>
      <c r="B874" s="864"/>
      <c r="C874" s="864"/>
      <c r="D874" s="864"/>
      <c r="E874" s="864"/>
      <c r="F874" s="864"/>
      <c r="G874" s="864"/>
    </row>
    <row r="875" spans="1:7" ht="12.75" hidden="1" customHeight="1">
      <c r="A875" s="864"/>
      <c r="B875" s="864"/>
      <c r="C875" s="864"/>
      <c r="D875" s="864"/>
      <c r="E875" s="864"/>
      <c r="F875" s="864"/>
      <c r="G875" s="864"/>
    </row>
    <row r="876" spans="1:7" ht="12.75" hidden="1" customHeight="1">
      <c r="A876" s="864"/>
      <c r="B876" s="864"/>
      <c r="C876" s="864"/>
      <c r="D876" s="864"/>
      <c r="E876" s="864"/>
      <c r="F876" s="864"/>
      <c r="G876" s="864"/>
    </row>
    <row r="877" spans="1:7" ht="12.75" hidden="1" customHeight="1">
      <c r="A877" s="864"/>
      <c r="B877" s="864"/>
      <c r="C877" s="864"/>
      <c r="D877" s="864"/>
      <c r="E877" s="864"/>
      <c r="F877" s="864"/>
      <c r="G877" s="864"/>
    </row>
    <row r="878" spans="1:7" ht="12.75" hidden="1" customHeight="1">
      <c r="A878" s="864"/>
      <c r="B878" s="864"/>
      <c r="C878" s="864"/>
      <c r="D878" s="864"/>
      <c r="E878" s="864"/>
      <c r="F878" s="864"/>
      <c r="G878" s="864"/>
    </row>
    <row r="879" spans="1:7" ht="12.75" hidden="1" customHeight="1">
      <c r="A879" s="864"/>
      <c r="B879" s="864"/>
      <c r="C879" s="864"/>
      <c r="D879" s="864"/>
      <c r="E879" s="864"/>
      <c r="F879" s="864"/>
      <c r="G879" s="864"/>
    </row>
    <row r="880" spans="1:7" ht="12.75" hidden="1" customHeight="1">
      <c r="A880" s="864"/>
      <c r="B880" s="864"/>
      <c r="C880" s="864"/>
      <c r="D880" s="864"/>
      <c r="E880" s="864"/>
      <c r="F880" s="864"/>
      <c r="G880" s="864"/>
    </row>
    <row r="881" spans="1:7" ht="12.75" hidden="1" customHeight="1">
      <c r="A881" s="864"/>
      <c r="B881" s="864"/>
      <c r="C881" s="864"/>
      <c r="D881" s="864"/>
      <c r="E881" s="864"/>
      <c r="F881" s="864"/>
      <c r="G881" s="864"/>
    </row>
    <row r="882" spans="1:7" ht="12.75" hidden="1" customHeight="1">
      <c r="A882" s="864"/>
      <c r="B882" s="864"/>
      <c r="C882" s="864"/>
      <c r="D882" s="864"/>
      <c r="E882" s="864"/>
      <c r="F882" s="864"/>
      <c r="G882" s="864"/>
    </row>
    <row r="883" spans="1:7" ht="12.75" hidden="1" customHeight="1">
      <c r="A883" s="864"/>
      <c r="B883" s="864"/>
      <c r="C883" s="864"/>
      <c r="D883" s="864"/>
      <c r="E883" s="864"/>
      <c r="F883" s="864"/>
      <c r="G883" s="864"/>
    </row>
    <row r="884" spans="1:7" ht="12.75" hidden="1" customHeight="1">
      <c r="A884" s="864"/>
      <c r="B884" s="864"/>
      <c r="C884" s="864"/>
      <c r="D884" s="864"/>
      <c r="E884" s="864"/>
      <c r="F884" s="864"/>
      <c r="G884" s="864"/>
    </row>
    <row r="885" spans="1:7" ht="12.75" hidden="1" customHeight="1">
      <c r="A885" s="864"/>
      <c r="B885" s="864"/>
      <c r="C885" s="864"/>
      <c r="D885" s="864"/>
      <c r="E885" s="864"/>
      <c r="F885" s="864"/>
      <c r="G885" s="864"/>
    </row>
    <row r="886" spans="1:7" ht="12.75" hidden="1" customHeight="1">
      <c r="A886" s="864"/>
      <c r="B886" s="864"/>
      <c r="C886" s="864"/>
      <c r="D886" s="864"/>
      <c r="E886" s="864"/>
      <c r="F886" s="864"/>
      <c r="G886" s="864"/>
    </row>
    <row r="887" spans="1:7" ht="12.75" hidden="1" customHeight="1">
      <c r="A887" s="864"/>
      <c r="B887" s="864"/>
      <c r="C887" s="864"/>
      <c r="D887" s="864"/>
      <c r="E887" s="864"/>
      <c r="F887" s="864"/>
      <c r="G887" s="864"/>
    </row>
    <row r="888" spans="1:7" ht="12.75" hidden="1" customHeight="1">
      <c r="A888" s="864"/>
      <c r="B888" s="864"/>
      <c r="C888" s="864"/>
      <c r="D888" s="864"/>
      <c r="E888" s="864"/>
      <c r="F888" s="864"/>
      <c r="G888" s="864"/>
    </row>
    <row r="889" spans="1:7" ht="12.75" hidden="1" customHeight="1">
      <c r="A889" s="864"/>
      <c r="B889" s="864"/>
      <c r="C889" s="864"/>
      <c r="D889" s="864"/>
      <c r="E889" s="864"/>
      <c r="F889" s="864"/>
      <c r="G889" s="864"/>
    </row>
    <row r="890" spans="1:7" ht="12.75" hidden="1" customHeight="1">
      <c r="A890" s="864"/>
      <c r="B890" s="864"/>
      <c r="C890" s="864"/>
      <c r="D890" s="864"/>
      <c r="E890" s="864"/>
      <c r="F890" s="864"/>
      <c r="G890" s="864"/>
    </row>
    <row r="891" spans="1:7" ht="12.75" hidden="1" customHeight="1">
      <c r="A891" s="864"/>
      <c r="B891" s="864"/>
      <c r="C891" s="864"/>
      <c r="D891" s="864"/>
      <c r="E891" s="864"/>
      <c r="F891" s="864"/>
      <c r="G891" s="864"/>
    </row>
    <row r="892" spans="1:7" ht="12.75" hidden="1" customHeight="1">
      <c r="A892" s="864"/>
      <c r="B892" s="864"/>
      <c r="C892" s="864"/>
      <c r="D892" s="864"/>
      <c r="E892" s="864"/>
      <c r="F892" s="864"/>
      <c r="G892" s="864"/>
    </row>
    <row r="893" spans="1:7" ht="12.75" hidden="1" customHeight="1">
      <c r="A893" s="864"/>
      <c r="B893" s="864"/>
      <c r="C893" s="864"/>
      <c r="D893" s="864"/>
      <c r="E893" s="864"/>
      <c r="F893" s="864"/>
      <c r="G893" s="864"/>
    </row>
    <row r="894" spans="1:7" ht="12.75" hidden="1" customHeight="1">
      <c r="A894" s="864"/>
      <c r="B894" s="864"/>
      <c r="C894" s="864"/>
      <c r="D894" s="864"/>
      <c r="E894" s="864"/>
      <c r="F894" s="864"/>
      <c r="G894" s="864"/>
    </row>
    <row r="895" spans="1:7" ht="12.75" hidden="1" customHeight="1">
      <c r="A895" s="864"/>
      <c r="B895" s="864"/>
      <c r="C895" s="864"/>
      <c r="D895" s="864"/>
      <c r="E895" s="864"/>
      <c r="F895" s="864"/>
      <c r="G895" s="864"/>
    </row>
    <row r="896" spans="1:7" ht="12.75" hidden="1" customHeight="1">
      <c r="A896" s="864"/>
      <c r="B896" s="864"/>
      <c r="C896" s="864"/>
      <c r="D896" s="864"/>
      <c r="E896" s="864"/>
      <c r="F896" s="864"/>
      <c r="G896" s="864"/>
    </row>
    <row r="897" spans="1:7" ht="12.75" hidden="1" customHeight="1">
      <c r="A897" s="864"/>
      <c r="B897" s="864"/>
      <c r="C897" s="864"/>
      <c r="D897" s="864"/>
      <c r="E897" s="864"/>
      <c r="F897" s="864"/>
      <c r="G897" s="864"/>
    </row>
    <row r="898" spans="1:7" ht="12.75" hidden="1" customHeight="1">
      <c r="A898" s="864"/>
      <c r="B898" s="864"/>
      <c r="C898" s="864"/>
      <c r="D898" s="864"/>
      <c r="E898" s="864"/>
      <c r="F898" s="864"/>
      <c r="G898" s="864"/>
    </row>
    <row r="899" spans="1:7" ht="12.75" hidden="1" customHeight="1">
      <c r="A899" s="864"/>
      <c r="B899" s="864"/>
      <c r="C899" s="864"/>
      <c r="D899" s="864"/>
      <c r="E899" s="864"/>
      <c r="F899" s="864"/>
      <c r="G899" s="864"/>
    </row>
    <row r="900" spans="1:7" ht="12.75" hidden="1" customHeight="1">
      <c r="A900" s="864"/>
      <c r="B900" s="864"/>
      <c r="C900" s="864"/>
      <c r="D900" s="864"/>
      <c r="E900" s="864"/>
      <c r="F900" s="864"/>
      <c r="G900" s="864"/>
    </row>
    <row r="901" spans="1:7" ht="12.75" hidden="1" customHeight="1">
      <c r="A901" s="864"/>
      <c r="B901" s="864"/>
      <c r="C901" s="864"/>
      <c r="D901" s="864"/>
      <c r="E901" s="864"/>
      <c r="F901" s="864"/>
      <c r="G901" s="864"/>
    </row>
    <row r="902" spans="1:7" ht="12.75" hidden="1" customHeight="1">
      <c r="A902" s="864"/>
      <c r="B902" s="864"/>
      <c r="C902" s="864"/>
      <c r="D902" s="864"/>
      <c r="E902" s="864"/>
      <c r="F902" s="864"/>
      <c r="G902" s="864"/>
    </row>
    <row r="903" spans="1:7" ht="12.75" hidden="1" customHeight="1">
      <c r="A903" s="864"/>
      <c r="B903" s="864"/>
      <c r="C903" s="864"/>
      <c r="D903" s="864"/>
      <c r="E903" s="864"/>
      <c r="F903" s="864"/>
      <c r="G903" s="864"/>
    </row>
    <row r="904" spans="1:7" ht="12.75" hidden="1" customHeight="1">
      <c r="A904" s="864"/>
      <c r="B904" s="864"/>
      <c r="C904" s="864"/>
      <c r="D904" s="864"/>
      <c r="E904" s="864"/>
      <c r="F904" s="864"/>
      <c r="G904" s="864"/>
    </row>
    <row r="905" spans="1:7" ht="12.75" hidden="1" customHeight="1">
      <c r="A905" s="864"/>
      <c r="B905" s="864"/>
      <c r="C905" s="864"/>
      <c r="D905" s="864"/>
      <c r="E905" s="864"/>
      <c r="F905" s="864"/>
      <c r="G905" s="864"/>
    </row>
    <row r="906" spans="1:7" ht="12.75" hidden="1" customHeight="1">
      <c r="A906" s="864"/>
      <c r="B906" s="864"/>
      <c r="C906" s="864"/>
      <c r="D906" s="864"/>
      <c r="E906" s="864"/>
      <c r="F906" s="864"/>
      <c r="G906" s="864"/>
    </row>
    <row r="907" spans="1:7" ht="12.75" hidden="1" customHeight="1">
      <c r="A907" s="864"/>
      <c r="B907" s="864"/>
      <c r="C907" s="864"/>
      <c r="D907" s="864"/>
      <c r="E907" s="864"/>
      <c r="F907" s="864"/>
      <c r="G907" s="864"/>
    </row>
    <row r="908" spans="1:7" ht="12.75" hidden="1" customHeight="1">
      <c r="A908" s="864"/>
      <c r="B908" s="864"/>
      <c r="C908" s="864"/>
      <c r="D908" s="864"/>
      <c r="E908" s="864"/>
      <c r="F908" s="864"/>
      <c r="G908" s="864"/>
    </row>
    <row r="909" spans="1:7" ht="12.75" hidden="1" customHeight="1">
      <c r="A909" s="864"/>
      <c r="B909" s="864"/>
      <c r="C909" s="864"/>
      <c r="D909" s="864"/>
      <c r="E909" s="864"/>
      <c r="F909" s="864"/>
      <c r="G909" s="864"/>
    </row>
    <row r="910" spans="1:7" ht="12.75" hidden="1" customHeight="1">
      <c r="A910" s="864"/>
      <c r="B910" s="864"/>
      <c r="C910" s="864"/>
      <c r="D910" s="864"/>
      <c r="E910" s="864"/>
      <c r="F910" s="864"/>
      <c r="G910" s="864"/>
    </row>
    <row r="911" spans="1:7" ht="12.75" hidden="1" customHeight="1">
      <c r="A911" s="864"/>
      <c r="B911" s="864"/>
      <c r="C911" s="864"/>
      <c r="D911" s="864"/>
      <c r="E911" s="864"/>
      <c r="F911" s="864"/>
      <c r="G911" s="864"/>
    </row>
    <row r="912" spans="1:7" ht="12.75" hidden="1" customHeight="1">
      <c r="A912" s="864"/>
      <c r="B912" s="864"/>
      <c r="C912" s="864"/>
      <c r="D912" s="864"/>
      <c r="E912" s="864"/>
      <c r="F912" s="864"/>
      <c r="G912" s="864"/>
    </row>
    <row r="913" spans="1:7" ht="12.75" hidden="1" customHeight="1">
      <c r="A913" s="864"/>
      <c r="B913" s="864"/>
      <c r="C913" s="864"/>
      <c r="D913" s="864"/>
      <c r="E913" s="864"/>
      <c r="F913" s="864"/>
      <c r="G913" s="864"/>
    </row>
    <row r="914" spans="1:7" ht="12.75" hidden="1" customHeight="1">
      <c r="A914" s="864"/>
      <c r="B914" s="864"/>
      <c r="C914" s="864"/>
      <c r="D914" s="864"/>
      <c r="E914" s="864"/>
      <c r="F914" s="864"/>
      <c r="G914" s="864"/>
    </row>
    <row r="915" spans="1:7" ht="12.75" hidden="1" customHeight="1">
      <c r="A915" s="864"/>
      <c r="B915" s="864"/>
      <c r="C915" s="864"/>
      <c r="D915" s="864"/>
      <c r="E915" s="864"/>
      <c r="F915" s="864"/>
      <c r="G915" s="864"/>
    </row>
    <row r="916" spans="1:7" ht="12.75" hidden="1" customHeight="1">
      <c r="A916" s="864"/>
      <c r="B916" s="864"/>
      <c r="C916" s="864"/>
      <c r="D916" s="864"/>
      <c r="E916" s="864"/>
      <c r="F916" s="864"/>
      <c r="G916" s="864"/>
    </row>
    <row r="917" spans="1:7" ht="12.75" hidden="1" customHeight="1">
      <c r="A917" s="864"/>
      <c r="B917" s="864"/>
      <c r="C917" s="864"/>
      <c r="D917" s="864"/>
      <c r="E917" s="864"/>
      <c r="F917" s="864"/>
      <c r="G917" s="864"/>
    </row>
    <row r="918" spans="1:7" ht="12.75" hidden="1" customHeight="1">
      <c r="A918" s="864"/>
      <c r="B918" s="864"/>
      <c r="C918" s="864"/>
      <c r="D918" s="864"/>
      <c r="E918" s="864"/>
      <c r="F918" s="864"/>
      <c r="G918" s="864"/>
    </row>
    <row r="919" spans="1:7" ht="12.75" hidden="1" customHeight="1">
      <c r="A919" s="864"/>
      <c r="B919" s="864"/>
      <c r="C919" s="864"/>
      <c r="D919" s="864"/>
      <c r="E919" s="864"/>
      <c r="F919" s="864"/>
      <c r="G919" s="864"/>
    </row>
    <row r="920" spans="1:7" ht="12.75" hidden="1" customHeight="1">
      <c r="A920" s="864"/>
      <c r="B920" s="864"/>
      <c r="C920" s="864"/>
      <c r="D920" s="864"/>
      <c r="E920" s="864"/>
      <c r="F920" s="864"/>
      <c r="G920" s="864"/>
    </row>
    <row r="921" spans="1:7" ht="12.75" hidden="1" customHeight="1">
      <c r="A921" s="864"/>
      <c r="B921" s="864"/>
      <c r="C921" s="864"/>
      <c r="D921" s="864"/>
      <c r="E921" s="864"/>
      <c r="F921" s="864"/>
      <c r="G921" s="864"/>
    </row>
    <row r="922" spans="1:7" ht="12.75" hidden="1" customHeight="1">
      <c r="A922" s="864"/>
      <c r="B922" s="864"/>
      <c r="C922" s="864"/>
      <c r="D922" s="864"/>
      <c r="E922" s="864"/>
      <c r="F922" s="864"/>
      <c r="G922" s="864"/>
    </row>
    <row r="923" spans="1:7" ht="12.75" hidden="1" customHeight="1">
      <c r="A923" s="864"/>
      <c r="B923" s="864"/>
      <c r="C923" s="864"/>
      <c r="D923" s="864"/>
      <c r="E923" s="864"/>
      <c r="F923" s="864"/>
      <c r="G923" s="864"/>
    </row>
    <row r="924" spans="1:7" ht="12.75" hidden="1" customHeight="1">
      <c r="A924" s="864"/>
      <c r="B924" s="864"/>
      <c r="C924" s="864"/>
      <c r="D924" s="864"/>
      <c r="E924" s="864"/>
      <c r="F924" s="864"/>
      <c r="G924" s="864"/>
    </row>
    <row r="925" spans="1:7" ht="12.75" hidden="1" customHeight="1">
      <c r="A925" s="864"/>
      <c r="B925" s="864"/>
      <c r="C925" s="864"/>
      <c r="D925" s="864"/>
      <c r="E925" s="864"/>
      <c r="F925" s="864"/>
      <c r="G925" s="864"/>
    </row>
    <row r="926" spans="1:7" ht="12.75" hidden="1" customHeight="1">
      <c r="A926" s="864"/>
      <c r="B926" s="864"/>
      <c r="C926" s="864"/>
      <c r="D926" s="864"/>
      <c r="E926" s="864"/>
      <c r="F926" s="864"/>
      <c r="G926" s="864"/>
    </row>
    <row r="927" spans="1:7" ht="12.75" hidden="1" customHeight="1">
      <c r="A927" s="864"/>
      <c r="B927" s="864"/>
      <c r="C927" s="864"/>
      <c r="D927" s="864"/>
      <c r="E927" s="864"/>
      <c r="F927" s="864"/>
      <c r="G927" s="864"/>
    </row>
    <row r="928" spans="1:7" ht="12.75" hidden="1" customHeight="1">
      <c r="A928" s="864"/>
      <c r="B928" s="864"/>
      <c r="C928" s="864"/>
      <c r="D928" s="864"/>
      <c r="E928" s="864"/>
      <c r="F928" s="864"/>
      <c r="G928" s="864"/>
    </row>
    <row r="929" spans="1:7" ht="12.75" hidden="1" customHeight="1">
      <c r="A929" s="864"/>
      <c r="B929" s="864"/>
      <c r="C929" s="864"/>
      <c r="D929" s="864"/>
      <c r="E929" s="864"/>
      <c r="F929" s="864"/>
      <c r="G929" s="864"/>
    </row>
    <row r="930" spans="1:7" ht="12.75" hidden="1" customHeight="1">
      <c r="A930" s="864"/>
      <c r="B930" s="864"/>
      <c r="C930" s="864"/>
      <c r="D930" s="864"/>
      <c r="E930" s="864"/>
      <c r="F930" s="864"/>
      <c r="G930" s="864"/>
    </row>
    <row r="931" spans="1:7" ht="12.75" hidden="1" customHeight="1">
      <c r="A931" s="864"/>
      <c r="B931" s="864"/>
      <c r="C931" s="864"/>
      <c r="D931" s="864"/>
      <c r="E931" s="864"/>
      <c r="F931" s="864"/>
      <c r="G931" s="864"/>
    </row>
    <row r="932" spans="1:7" ht="12.75" hidden="1" customHeight="1">
      <c r="A932" s="864"/>
      <c r="B932" s="864"/>
      <c r="C932" s="864"/>
      <c r="D932" s="864"/>
      <c r="E932" s="864"/>
      <c r="F932" s="864"/>
      <c r="G932" s="864"/>
    </row>
    <row r="933" spans="1:7" ht="12.75" hidden="1" customHeight="1">
      <c r="A933" s="864"/>
      <c r="B933" s="864"/>
      <c r="C933" s="864"/>
      <c r="D933" s="864"/>
      <c r="E933" s="864"/>
      <c r="F933" s="864"/>
      <c r="G933" s="864"/>
    </row>
    <row r="934" spans="1:7" ht="12.75" hidden="1" customHeight="1">
      <c r="A934" s="864"/>
      <c r="B934" s="864"/>
      <c r="C934" s="864"/>
      <c r="D934" s="864"/>
      <c r="E934" s="864"/>
      <c r="F934" s="864"/>
      <c r="G934" s="864"/>
    </row>
    <row r="935" spans="1:7" ht="12.75" hidden="1" customHeight="1">
      <c r="A935" s="864"/>
      <c r="B935" s="864"/>
      <c r="C935" s="864"/>
      <c r="D935" s="864"/>
      <c r="E935" s="864"/>
      <c r="F935" s="864"/>
      <c r="G935" s="864"/>
    </row>
    <row r="936" spans="1:7" ht="12.75" hidden="1" customHeight="1">
      <c r="A936" s="864"/>
      <c r="B936" s="864"/>
      <c r="C936" s="864"/>
      <c r="D936" s="864"/>
      <c r="E936" s="864"/>
      <c r="F936" s="864"/>
      <c r="G936" s="864"/>
    </row>
    <row r="937" spans="1:7" ht="12.75" hidden="1" customHeight="1">
      <c r="A937" s="864"/>
      <c r="B937" s="864"/>
      <c r="C937" s="864"/>
      <c r="D937" s="864"/>
      <c r="E937" s="864"/>
      <c r="F937" s="864"/>
      <c r="G937" s="864"/>
    </row>
    <row r="938" spans="1:7" ht="12.75" hidden="1" customHeight="1">
      <c r="A938" s="864"/>
      <c r="B938" s="864"/>
      <c r="C938" s="864"/>
      <c r="D938" s="864"/>
      <c r="E938" s="864"/>
      <c r="F938" s="864"/>
      <c r="G938" s="864"/>
    </row>
    <row r="939" spans="1:7" ht="12.75" hidden="1" customHeight="1">
      <c r="A939" s="864"/>
      <c r="B939" s="864"/>
      <c r="C939" s="864"/>
      <c r="D939" s="864"/>
      <c r="E939" s="864"/>
      <c r="F939" s="864"/>
      <c r="G939" s="864"/>
    </row>
    <row r="940" spans="1:7" ht="12.75" hidden="1" customHeight="1">
      <c r="A940" s="864"/>
      <c r="B940" s="864"/>
      <c r="C940" s="864"/>
      <c r="D940" s="864"/>
      <c r="E940" s="864"/>
      <c r="F940" s="864"/>
      <c r="G940" s="864"/>
    </row>
    <row r="941" spans="1:7" ht="12.75" hidden="1" customHeight="1">
      <c r="A941" s="864"/>
      <c r="B941" s="864"/>
      <c r="C941" s="864"/>
      <c r="D941" s="864"/>
      <c r="E941" s="864"/>
      <c r="F941" s="864"/>
      <c r="G941" s="864"/>
    </row>
    <row r="942" spans="1:7" ht="12.75" hidden="1" customHeight="1">
      <c r="A942" s="864"/>
      <c r="B942" s="864"/>
      <c r="C942" s="864"/>
      <c r="D942" s="864"/>
      <c r="E942" s="864"/>
      <c r="F942" s="864"/>
      <c r="G942" s="864"/>
    </row>
    <row r="943" spans="1:7" ht="12.75" hidden="1" customHeight="1">
      <c r="A943" s="864"/>
      <c r="B943" s="864"/>
      <c r="C943" s="864"/>
      <c r="D943" s="864"/>
      <c r="E943" s="864"/>
      <c r="F943" s="864"/>
      <c r="G943" s="864"/>
    </row>
    <row r="944" spans="1:7" ht="12.75" hidden="1" customHeight="1">
      <c r="A944" s="864"/>
      <c r="B944" s="864"/>
      <c r="C944" s="864"/>
      <c r="D944" s="864"/>
      <c r="E944" s="864"/>
      <c r="F944" s="864"/>
      <c r="G944" s="864"/>
    </row>
    <row r="945" spans="1:7" ht="12.75" hidden="1" customHeight="1">
      <c r="A945" s="864"/>
      <c r="B945" s="864"/>
      <c r="C945" s="864"/>
      <c r="D945" s="864"/>
      <c r="E945" s="864"/>
      <c r="F945" s="864"/>
      <c r="G945" s="864"/>
    </row>
    <row r="946" spans="1:7" ht="12.75" hidden="1" customHeight="1">
      <c r="A946" s="864"/>
      <c r="B946" s="864"/>
      <c r="C946" s="864"/>
      <c r="D946" s="864"/>
      <c r="E946" s="864"/>
      <c r="F946" s="864"/>
      <c r="G946" s="864"/>
    </row>
    <row r="947" spans="1:7" ht="12.75" hidden="1" customHeight="1">
      <c r="A947" s="864"/>
      <c r="B947" s="864"/>
      <c r="C947" s="864"/>
      <c r="D947" s="864"/>
      <c r="E947" s="864"/>
      <c r="F947" s="864"/>
      <c r="G947" s="864"/>
    </row>
    <row r="948" spans="1:7" ht="12.75" hidden="1" customHeight="1">
      <c r="A948" s="864"/>
      <c r="B948" s="864"/>
      <c r="C948" s="864"/>
      <c r="D948" s="864"/>
      <c r="E948" s="864"/>
      <c r="F948" s="864"/>
      <c r="G948" s="864"/>
    </row>
    <row r="949" spans="1:7" ht="12.75" hidden="1" customHeight="1">
      <c r="A949" s="864"/>
      <c r="B949" s="864"/>
      <c r="C949" s="864"/>
      <c r="D949" s="864"/>
      <c r="E949" s="864"/>
      <c r="F949" s="864"/>
      <c r="G949" s="864"/>
    </row>
    <row r="950" spans="1:7" ht="12.75" hidden="1" customHeight="1">
      <c r="A950" s="864"/>
      <c r="B950" s="864"/>
      <c r="C950" s="864"/>
      <c r="D950" s="864"/>
      <c r="E950" s="864"/>
      <c r="F950" s="864"/>
      <c r="G950" s="864"/>
    </row>
    <row r="951" spans="1:7" ht="12.75" hidden="1" customHeight="1">
      <c r="A951" s="864"/>
      <c r="B951" s="864"/>
      <c r="C951" s="864"/>
      <c r="D951" s="864"/>
      <c r="E951" s="864"/>
      <c r="F951" s="864"/>
      <c r="G951" s="864"/>
    </row>
    <row r="952" spans="1:7" ht="12.75" hidden="1" customHeight="1">
      <c r="A952" s="864"/>
      <c r="B952" s="864"/>
      <c r="C952" s="864"/>
      <c r="D952" s="864"/>
      <c r="E952" s="864"/>
      <c r="F952" s="864"/>
      <c r="G952" s="864"/>
    </row>
    <row r="953" spans="1:7" ht="12.75" hidden="1" customHeight="1">
      <c r="A953" s="864"/>
      <c r="B953" s="864"/>
      <c r="C953" s="864"/>
      <c r="D953" s="864"/>
      <c r="E953" s="864"/>
      <c r="F953" s="864"/>
      <c r="G953" s="864"/>
    </row>
    <row r="954" spans="1:7" ht="12.75" hidden="1" customHeight="1">
      <c r="A954" s="864"/>
      <c r="B954" s="864"/>
      <c r="C954" s="864"/>
      <c r="D954" s="864"/>
      <c r="E954" s="864"/>
      <c r="F954" s="864"/>
      <c r="G954" s="864"/>
    </row>
    <row r="955" spans="1:7" ht="12.75" hidden="1" customHeight="1">
      <c r="A955" s="864"/>
      <c r="B955" s="864"/>
      <c r="C955" s="864"/>
      <c r="D955" s="864"/>
      <c r="E955" s="864"/>
      <c r="F955" s="864"/>
      <c r="G955" s="864"/>
    </row>
    <row r="956" spans="1:7" ht="12.75" hidden="1" customHeight="1">
      <c r="A956" s="864"/>
      <c r="B956" s="864"/>
      <c r="C956" s="864"/>
      <c r="D956" s="864"/>
      <c r="E956" s="864"/>
      <c r="F956" s="864"/>
      <c r="G956" s="864"/>
    </row>
    <row r="957" spans="1:7" ht="12.75" hidden="1" customHeight="1">
      <c r="A957" s="864"/>
      <c r="B957" s="864"/>
      <c r="C957" s="864"/>
      <c r="D957" s="864"/>
      <c r="E957" s="864"/>
      <c r="F957" s="864"/>
      <c r="G957" s="864"/>
    </row>
    <row r="958" spans="1:7" ht="12.75" hidden="1" customHeight="1">
      <c r="A958" s="864"/>
      <c r="B958" s="864"/>
      <c r="C958" s="864"/>
      <c r="D958" s="864"/>
      <c r="E958" s="864"/>
      <c r="F958" s="864"/>
      <c r="G958" s="864"/>
    </row>
    <row r="959" spans="1:7" ht="12.75" hidden="1" customHeight="1">
      <c r="A959" s="864"/>
      <c r="B959" s="864"/>
      <c r="C959" s="864"/>
      <c r="D959" s="864"/>
      <c r="E959" s="864"/>
      <c r="F959" s="864"/>
      <c r="G959" s="864"/>
    </row>
    <row r="960" spans="1:7" ht="12.75" hidden="1" customHeight="1">
      <c r="A960" s="864"/>
      <c r="B960" s="864"/>
      <c r="C960" s="864"/>
      <c r="D960" s="864"/>
      <c r="E960" s="864"/>
      <c r="F960" s="864"/>
      <c r="G960" s="864"/>
    </row>
    <row r="961" spans="1:7" ht="12.75" hidden="1" customHeight="1">
      <c r="A961" s="864"/>
      <c r="B961" s="864"/>
      <c r="C961" s="864"/>
      <c r="D961" s="864"/>
      <c r="E961" s="864"/>
      <c r="F961" s="864"/>
      <c r="G961" s="864"/>
    </row>
    <row r="962" spans="1:7" ht="12.75" hidden="1" customHeight="1">
      <c r="A962" s="864"/>
      <c r="B962" s="864"/>
      <c r="C962" s="864"/>
      <c r="D962" s="864"/>
      <c r="E962" s="864"/>
      <c r="F962" s="864"/>
      <c r="G962" s="864"/>
    </row>
    <row r="963" spans="1:7" ht="12.75" hidden="1" customHeight="1">
      <c r="A963" s="864"/>
      <c r="B963" s="864"/>
      <c r="C963" s="864"/>
      <c r="D963" s="864"/>
      <c r="E963" s="864"/>
      <c r="F963" s="864"/>
      <c r="G963" s="864"/>
    </row>
    <row r="964" spans="1:7" ht="12.75" hidden="1" customHeight="1">
      <c r="A964" s="864"/>
      <c r="B964" s="864"/>
      <c r="C964" s="864"/>
      <c r="D964" s="864"/>
      <c r="E964" s="864"/>
      <c r="F964" s="864"/>
      <c r="G964" s="864"/>
    </row>
    <row r="965" spans="1:7" ht="12.75" hidden="1" customHeight="1">
      <c r="A965" s="864"/>
      <c r="B965" s="864"/>
      <c r="C965" s="864"/>
      <c r="D965" s="864"/>
      <c r="E965" s="864"/>
      <c r="F965" s="864"/>
      <c r="G965" s="864"/>
    </row>
    <row r="966" spans="1:7" ht="12.75" hidden="1" customHeight="1">
      <c r="A966" s="864"/>
      <c r="B966" s="864"/>
      <c r="C966" s="864"/>
      <c r="D966" s="864"/>
      <c r="E966" s="864"/>
      <c r="F966" s="864"/>
      <c r="G966" s="864"/>
    </row>
    <row r="967" spans="1:7" ht="12.75" hidden="1" customHeight="1">
      <c r="A967" s="864"/>
      <c r="B967" s="864"/>
      <c r="C967" s="864"/>
      <c r="D967" s="864"/>
      <c r="E967" s="864"/>
      <c r="F967" s="864"/>
      <c r="G967" s="864"/>
    </row>
    <row r="968" spans="1:7" ht="12.75" hidden="1" customHeight="1">
      <c r="A968" s="864"/>
      <c r="B968" s="864"/>
      <c r="C968" s="864"/>
      <c r="D968" s="864"/>
      <c r="E968" s="864"/>
      <c r="F968" s="864"/>
      <c r="G968" s="864"/>
    </row>
    <row r="969" spans="1:7" ht="12.75" hidden="1" customHeight="1">
      <c r="A969" s="864"/>
      <c r="B969" s="864"/>
      <c r="C969" s="864"/>
      <c r="D969" s="864"/>
      <c r="E969" s="864"/>
      <c r="F969" s="864"/>
      <c r="G969" s="864"/>
    </row>
    <row r="970" spans="1:7" ht="12.75" hidden="1" customHeight="1">
      <c r="A970" s="864"/>
      <c r="B970" s="864"/>
      <c r="C970" s="864"/>
      <c r="D970" s="864"/>
      <c r="E970" s="864"/>
      <c r="F970" s="864"/>
      <c r="G970" s="864"/>
    </row>
    <row r="971" spans="1:7" ht="12.75" hidden="1" customHeight="1">
      <c r="A971" s="864"/>
      <c r="B971" s="864"/>
      <c r="C971" s="864"/>
      <c r="D971" s="864"/>
      <c r="E971" s="864"/>
      <c r="F971" s="864"/>
      <c r="G971" s="864"/>
    </row>
    <row r="972" spans="1:7" ht="12.75" hidden="1" customHeight="1">
      <c r="A972" s="864"/>
      <c r="B972" s="864"/>
      <c r="C972" s="864"/>
      <c r="D972" s="864"/>
      <c r="E972" s="864"/>
      <c r="F972" s="864"/>
      <c r="G972" s="864"/>
    </row>
    <row r="973" spans="1:7" ht="12.75" hidden="1" customHeight="1">
      <c r="A973" s="864"/>
      <c r="B973" s="864"/>
      <c r="C973" s="864"/>
      <c r="D973" s="864"/>
      <c r="E973" s="864"/>
      <c r="F973" s="864"/>
      <c r="G973" s="864"/>
    </row>
    <row r="974" spans="1:7" ht="12.75" hidden="1" customHeight="1">
      <c r="A974" s="864"/>
      <c r="B974" s="864"/>
      <c r="C974" s="864"/>
      <c r="D974" s="864"/>
      <c r="E974" s="864"/>
      <c r="F974" s="864"/>
      <c r="G974" s="864"/>
    </row>
    <row r="975" spans="1:7" ht="12.75" hidden="1" customHeight="1">
      <c r="A975" s="864"/>
      <c r="B975" s="864"/>
      <c r="C975" s="864"/>
      <c r="D975" s="864"/>
      <c r="E975" s="864"/>
      <c r="F975" s="864"/>
      <c r="G975" s="864"/>
    </row>
    <row r="976" spans="1:7" ht="12.75" hidden="1" customHeight="1">
      <c r="A976" s="864"/>
      <c r="B976" s="864"/>
      <c r="C976" s="864"/>
      <c r="D976" s="864"/>
      <c r="E976" s="864"/>
      <c r="F976" s="864"/>
      <c r="G976" s="864"/>
    </row>
    <row r="977" spans="1:7" ht="12.75" hidden="1" customHeight="1">
      <c r="A977" s="864"/>
      <c r="B977" s="864"/>
      <c r="C977" s="864"/>
      <c r="D977" s="864"/>
      <c r="E977" s="864"/>
      <c r="F977" s="864"/>
      <c r="G977" s="864"/>
    </row>
    <row r="978" spans="1:7" ht="12.75" hidden="1" customHeight="1">
      <c r="A978" s="864"/>
      <c r="B978" s="864"/>
      <c r="C978" s="864"/>
      <c r="D978" s="864"/>
      <c r="E978" s="864"/>
      <c r="F978" s="864"/>
      <c r="G978" s="864"/>
    </row>
    <row r="979" spans="1:7" ht="12.75" hidden="1" customHeight="1">
      <c r="A979" s="864"/>
      <c r="B979" s="864"/>
      <c r="C979" s="864"/>
      <c r="D979" s="864"/>
      <c r="E979" s="864"/>
      <c r="F979" s="864"/>
      <c r="G979" s="864"/>
    </row>
    <row r="980" spans="1:7" ht="12.75" hidden="1" customHeight="1">
      <c r="A980" s="864"/>
      <c r="B980" s="864"/>
      <c r="C980" s="864"/>
      <c r="D980" s="864"/>
      <c r="E980" s="864"/>
      <c r="F980" s="864"/>
      <c r="G980" s="864"/>
    </row>
    <row r="981" spans="1:7" ht="12.75" hidden="1" customHeight="1">
      <c r="A981" s="864"/>
      <c r="B981" s="864"/>
      <c r="C981" s="864"/>
      <c r="D981" s="864"/>
      <c r="E981" s="864"/>
      <c r="F981" s="864"/>
      <c r="G981" s="864"/>
    </row>
    <row r="982" spans="1:7" ht="12.75" hidden="1" customHeight="1">
      <c r="A982" s="864"/>
      <c r="B982" s="864"/>
      <c r="C982" s="864"/>
      <c r="D982" s="864"/>
      <c r="E982" s="864"/>
      <c r="F982" s="864"/>
      <c r="G982" s="864"/>
    </row>
    <row r="983" spans="1:7" ht="12.75" hidden="1" customHeight="1">
      <c r="A983" s="864"/>
      <c r="B983" s="864"/>
      <c r="C983" s="864"/>
      <c r="D983" s="864"/>
      <c r="E983" s="864"/>
      <c r="F983" s="864"/>
      <c r="G983" s="864"/>
    </row>
    <row r="984" spans="1:7" ht="12.75" hidden="1" customHeight="1">
      <c r="A984" s="864"/>
      <c r="B984" s="864"/>
      <c r="C984" s="864"/>
      <c r="D984" s="864"/>
      <c r="E984" s="864"/>
      <c r="F984" s="864"/>
      <c r="G984" s="864"/>
    </row>
    <row r="985" spans="1:7" ht="12.75" hidden="1" customHeight="1">
      <c r="A985" s="864"/>
      <c r="B985" s="864"/>
      <c r="C985" s="864"/>
      <c r="D985" s="864"/>
      <c r="E985" s="864"/>
      <c r="F985" s="864"/>
      <c r="G985" s="864"/>
    </row>
    <row r="986" spans="1:7" ht="12.75" hidden="1" customHeight="1">
      <c r="A986" s="864"/>
      <c r="B986" s="864"/>
      <c r="C986" s="864"/>
      <c r="D986" s="864"/>
      <c r="E986" s="864"/>
      <c r="F986" s="864"/>
      <c r="G986" s="864"/>
    </row>
    <row r="987" spans="1:7" ht="12.75" hidden="1" customHeight="1">
      <c r="A987" s="864"/>
      <c r="B987" s="864"/>
      <c r="C987" s="864"/>
      <c r="D987" s="864"/>
      <c r="E987" s="864"/>
      <c r="F987" s="864"/>
      <c r="G987" s="864"/>
    </row>
    <row r="988" spans="1:7" ht="12.75" hidden="1" customHeight="1">
      <c r="A988" s="864"/>
      <c r="B988" s="864"/>
      <c r="C988" s="864"/>
      <c r="D988" s="864"/>
      <c r="E988" s="864"/>
      <c r="F988" s="864"/>
      <c r="G988" s="864"/>
    </row>
    <row r="989" spans="1:7" ht="12.75" hidden="1" customHeight="1">
      <c r="A989" s="864"/>
      <c r="B989" s="864"/>
      <c r="C989" s="864"/>
      <c r="D989" s="864"/>
      <c r="E989" s="864"/>
      <c r="F989" s="864"/>
      <c r="G989" s="864"/>
    </row>
    <row r="990" spans="1:7" ht="12.75" hidden="1" customHeight="1">
      <c r="A990" s="864"/>
      <c r="B990" s="864"/>
      <c r="C990" s="864"/>
      <c r="D990" s="864"/>
      <c r="E990" s="864"/>
      <c r="F990" s="864"/>
      <c r="G990" s="864"/>
    </row>
    <row r="991" spans="1:7" ht="12.75" hidden="1" customHeight="1">
      <c r="A991" s="864"/>
      <c r="B991" s="864"/>
      <c r="C991" s="864"/>
      <c r="D991" s="864"/>
      <c r="E991" s="864"/>
      <c r="F991" s="864"/>
      <c r="G991" s="864"/>
    </row>
    <row r="992" spans="1:7" ht="12.75" hidden="1" customHeight="1">
      <c r="A992" s="864"/>
      <c r="B992" s="864"/>
      <c r="C992" s="864"/>
      <c r="D992" s="864"/>
      <c r="E992" s="864"/>
      <c r="F992" s="864"/>
      <c r="G992" s="864"/>
    </row>
    <row r="993" spans="1:7" ht="12.75" hidden="1" customHeight="1">
      <c r="A993" s="864"/>
      <c r="B993" s="864"/>
      <c r="C993" s="864"/>
      <c r="D993" s="864"/>
      <c r="E993" s="864"/>
      <c r="F993" s="864"/>
      <c r="G993" s="864"/>
    </row>
    <row r="994" spans="1:7" ht="12.75" hidden="1" customHeight="1">
      <c r="A994" s="864"/>
      <c r="B994" s="864"/>
      <c r="C994" s="864"/>
      <c r="D994" s="864"/>
      <c r="E994" s="864"/>
      <c r="F994" s="864"/>
      <c r="G994" s="864"/>
    </row>
    <row r="995" spans="1:7" ht="12.75" hidden="1" customHeight="1">
      <c r="A995" s="864"/>
      <c r="B995" s="864"/>
      <c r="C995" s="864"/>
      <c r="D995" s="864"/>
      <c r="E995" s="864"/>
      <c r="F995" s="864"/>
      <c r="G995" s="864"/>
    </row>
    <row r="996" spans="1:7" ht="12.75" hidden="1" customHeight="1">
      <c r="A996" s="864"/>
      <c r="B996" s="864"/>
      <c r="C996" s="864"/>
      <c r="D996" s="864"/>
      <c r="E996" s="864"/>
      <c r="F996" s="864"/>
      <c r="G996" s="864"/>
    </row>
    <row r="997" spans="1:7" ht="12.75" hidden="1" customHeight="1">
      <c r="A997" s="864"/>
      <c r="B997" s="864"/>
      <c r="C997" s="864"/>
      <c r="D997" s="864"/>
      <c r="E997" s="864"/>
      <c r="F997" s="864"/>
      <c r="G997" s="864"/>
    </row>
    <row r="998" spans="1:7" ht="12.75" hidden="1" customHeight="1">
      <c r="A998" s="864"/>
      <c r="B998" s="864"/>
      <c r="C998" s="864"/>
      <c r="D998" s="864"/>
      <c r="E998" s="864"/>
      <c r="F998" s="864"/>
      <c r="G998" s="864"/>
    </row>
    <row r="999" spans="1:7" ht="12.75" hidden="1" customHeight="1">
      <c r="A999" s="864"/>
      <c r="B999" s="864"/>
      <c r="C999" s="864"/>
      <c r="D999" s="864"/>
      <c r="E999" s="864"/>
      <c r="F999" s="864"/>
      <c r="G999" s="864"/>
    </row>
    <row r="1000" spans="1:7" ht="12.75" hidden="1" customHeight="1">
      <c r="A1000" s="864"/>
      <c r="B1000" s="864"/>
      <c r="C1000" s="864"/>
      <c r="D1000" s="864"/>
      <c r="E1000" s="864"/>
      <c r="F1000" s="864"/>
      <c r="G1000" s="864"/>
    </row>
    <row r="1001" spans="1:7" ht="12.75" hidden="1" customHeight="1">
      <c r="A1001" s="864"/>
      <c r="B1001" s="864"/>
      <c r="C1001" s="864"/>
      <c r="D1001" s="864"/>
      <c r="E1001" s="864"/>
      <c r="F1001" s="864"/>
      <c r="G1001" s="864"/>
    </row>
    <row r="1002" spans="1:7" ht="12.75" hidden="1" customHeight="1">
      <c r="A1002" s="864"/>
      <c r="B1002" s="864"/>
      <c r="C1002" s="864"/>
      <c r="D1002" s="864"/>
      <c r="E1002" s="864"/>
      <c r="F1002" s="864"/>
      <c r="G1002" s="864"/>
    </row>
    <row r="1003" spans="1:7" ht="12.75" hidden="1" customHeight="1">
      <c r="A1003" s="864"/>
      <c r="B1003" s="864"/>
      <c r="C1003" s="864"/>
      <c r="D1003" s="864"/>
      <c r="E1003" s="864"/>
      <c r="F1003" s="864"/>
      <c r="G1003" s="864"/>
    </row>
    <row r="1004" spans="1:7" ht="12.75" hidden="1" customHeight="1">
      <c r="A1004" s="864"/>
      <c r="B1004" s="864"/>
      <c r="C1004" s="864"/>
      <c r="D1004" s="864"/>
      <c r="E1004" s="864"/>
      <c r="F1004" s="864"/>
      <c r="G1004" s="864"/>
    </row>
    <row r="1005" spans="1:7" ht="12.75" hidden="1" customHeight="1">
      <c r="A1005" s="864"/>
      <c r="B1005" s="864"/>
      <c r="C1005" s="864"/>
      <c r="D1005" s="864"/>
      <c r="E1005" s="864"/>
      <c r="F1005" s="864"/>
      <c r="G1005" s="864"/>
    </row>
    <row r="1006" spans="1:7" ht="12.75" hidden="1" customHeight="1">
      <c r="A1006" s="864"/>
      <c r="B1006" s="864"/>
      <c r="C1006" s="864"/>
      <c r="D1006" s="864"/>
      <c r="E1006" s="864"/>
      <c r="F1006" s="864"/>
      <c r="G1006" s="864"/>
    </row>
    <row r="1007" spans="1:7" ht="12.75" hidden="1" customHeight="1">
      <c r="A1007" s="864"/>
      <c r="B1007" s="864"/>
      <c r="C1007" s="864"/>
      <c r="D1007" s="864"/>
      <c r="E1007" s="864"/>
      <c r="F1007" s="864"/>
      <c r="G1007" s="864"/>
    </row>
    <row r="1008" spans="1:7" ht="12.75" hidden="1" customHeight="1">
      <c r="A1008" s="864"/>
      <c r="B1008" s="864"/>
      <c r="C1008" s="864"/>
      <c r="D1008" s="864"/>
      <c r="E1008" s="864"/>
      <c r="F1008" s="864"/>
      <c r="G1008" s="864"/>
    </row>
    <row r="1009" spans="1:7" ht="12.75" hidden="1" customHeight="1">
      <c r="A1009" s="864"/>
      <c r="B1009" s="864"/>
      <c r="C1009" s="864"/>
      <c r="D1009" s="864"/>
      <c r="E1009" s="864"/>
      <c r="F1009" s="864"/>
      <c r="G1009" s="864"/>
    </row>
    <row r="1010" spans="1:7" ht="12.75" hidden="1" customHeight="1">
      <c r="A1010" s="864"/>
      <c r="B1010" s="864"/>
      <c r="C1010" s="864"/>
      <c r="D1010" s="864"/>
      <c r="E1010" s="864"/>
      <c r="F1010" s="864"/>
      <c r="G1010" s="864"/>
    </row>
    <row r="1011" spans="1:7" ht="12.75" hidden="1" customHeight="1">
      <c r="A1011" s="864"/>
      <c r="B1011" s="864"/>
      <c r="C1011" s="864"/>
      <c r="D1011" s="864"/>
      <c r="E1011" s="864"/>
      <c r="F1011" s="864"/>
      <c r="G1011" s="864"/>
    </row>
    <row r="1012" spans="1:7" ht="12.75" hidden="1" customHeight="1">
      <c r="A1012" s="864"/>
      <c r="B1012" s="864"/>
      <c r="C1012" s="864"/>
      <c r="D1012" s="864"/>
      <c r="E1012" s="864"/>
      <c r="F1012" s="864"/>
      <c r="G1012" s="864"/>
    </row>
    <row r="1013" spans="1:7" ht="12.75" hidden="1" customHeight="1">
      <c r="A1013" s="864"/>
      <c r="B1013" s="864"/>
      <c r="C1013" s="864"/>
      <c r="D1013" s="864"/>
      <c r="E1013" s="864"/>
      <c r="F1013" s="864"/>
      <c r="G1013" s="864"/>
    </row>
    <row r="1014" spans="1:7" ht="12.75" hidden="1" customHeight="1">
      <c r="A1014" s="864"/>
      <c r="B1014" s="864"/>
      <c r="C1014" s="864"/>
      <c r="D1014" s="864"/>
      <c r="E1014" s="864"/>
      <c r="F1014" s="864"/>
      <c r="G1014" s="864"/>
    </row>
    <row r="1015" spans="1:7" ht="12.75" hidden="1" customHeight="1">
      <c r="A1015" s="864"/>
      <c r="B1015" s="864"/>
      <c r="C1015" s="864"/>
      <c r="D1015" s="864"/>
      <c r="E1015" s="864"/>
      <c r="F1015" s="864"/>
      <c r="G1015" s="864"/>
    </row>
    <row r="1016" spans="1:7" ht="12.75" hidden="1" customHeight="1">
      <c r="A1016" s="864"/>
      <c r="B1016" s="864"/>
      <c r="C1016" s="864"/>
      <c r="D1016" s="864"/>
      <c r="E1016" s="864"/>
      <c r="F1016" s="864"/>
      <c r="G1016" s="864"/>
    </row>
    <row r="1017" spans="1:7" ht="12.75" hidden="1" customHeight="1">
      <c r="A1017" s="864"/>
      <c r="B1017" s="864"/>
      <c r="C1017" s="864"/>
      <c r="D1017" s="864"/>
      <c r="E1017" s="864"/>
      <c r="F1017" s="864"/>
      <c r="G1017" s="864"/>
    </row>
    <row r="1018" spans="1:7" ht="12.75" hidden="1" customHeight="1">
      <c r="A1018" s="864"/>
      <c r="B1018" s="864"/>
      <c r="C1018" s="864"/>
      <c r="D1018" s="864"/>
      <c r="E1018" s="864"/>
      <c r="F1018" s="864"/>
      <c r="G1018" s="864"/>
    </row>
    <row r="1019" spans="1:7" ht="12.75" hidden="1" customHeight="1">
      <c r="A1019" s="864"/>
      <c r="B1019" s="864"/>
      <c r="C1019" s="864"/>
      <c r="D1019" s="864"/>
      <c r="E1019" s="864"/>
      <c r="F1019" s="864"/>
      <c r="G1019" s="864"/>
    </row>
    <row r="1020" spans="1:7" ht="12.75" hidden="1" customHeight="1">
      <c r="A1020" s="864"/>
      <c r="B1020" s="864"/>
      <c r="C1020" s="864"/>
      <c r="D1020" s="864"/>
      <c r="E1020" s="864"/>
      <c r="F1020" s="864"/>
      <c r="G1020" s="864"/>
    </row>
    <row r="1021" spans="1:7" ht="12.75" hidden="1" customHeight="1">
      <c r="A1021" s="864"/>
      <c r="B1021" s="864"/>
      <c r="C1021" s="864"/>
      <c r="D1021" s="864"/>
      <c r="E1021" s="864"/>
      <c r="F1021" s="864"/>
      <c r="G1021" s="864"/>
    </row>
    <row r="1022" spans="1:7" ht="12.75" hidden="1" customHeight="1">
      <c r="A1022" s="864"/>
      <c r="B1022" s="864"/>
      <c r="C1022" s="864"/>
      <c r="D1022" s="864"/>
      <c r="E1022" s="864"/>
      <c r="F1022" s="864"/>
      <c r="G1022" s="864"/>
    </row>
    <row r="1023" spans="1:7" ht="12.75" hidden="1" customHeight="1">
      <c r="A1023" s="864"/>
      <c r="B1023" s="864"/>
      <c r="C1023" s="864"/>
      <c r="D1023" s="864"/>
      <c r="E1023" s="864"/>
      <c r="F1023" s="864"/>
      <c r="G1023" s="864"/>
    </row>
    <row r="1024" spans="1:7" ht="12.75" hidden="1" customHeight="1">
      <c r="A1024" s="864"/>
      <c r="B1024" s="864"/>
      <c r="C1024" s="864"/>
      <c r="D1024" s="864"/>
      <c r="E1024" s="864"/>
      <c r="F1024" s="864"/>
      <c r="G1024" s="864"/>
    </row>
    <row r="1025" spans="1:7" ht="12.75" hidden="1" customHeight="1">
      <c r="A1025" s="864"/>
      <c r="B1025" s="864"/>
      <c r="C1025" s="864"/>
      <c r="D1025" s="864"/>
      <c r="E1025" s="864"/>
      <c r="F1025" s="864"/>
      <c r="G1025" s="864"/>
    </row>
    <row r="1026" spans="1:7" ht="12.75" hidden="1" customHeight="1">
      <c r="A1026" s="864"/>
      <c r="B1026" s="864"/>
      <c r="C1026" s="864"/>
      <c r="D1026" s="864"/>
      <c r="E1026" s="864"/>
      <c r="F1026" s="864"/>
      <c r="G1026" s="864"/>
    </row>
    <row r="1027" spans="1:7" ht="12.75" hidden="1" customHeight="1">
      <c r="A1027" s="864"/>
      <c r="B1027" s="864"/>
      <c r="C1027" s="864"/>
      <c r="D1027" s="864"/>
      <c r="E1027" s="864"/>
      <c r="F1027" s="864"/>
      <c r="G1027" s="864"/>
    </row>
    <row r="1028" spans="1:7" ht="12.75" hidden="1" customHeight="1">
      <c r="A1028" s="864"/>
      <c r="B1028" s="864"/>
      <c r="C1028" s="864"/>
      <c r="D1028" s="864"/>
      <c r="E1028" s="864"/>
      <c r="F1028" s="864"/>
      <c r="G1028" s="864"/>
    </row>
    <row r="1029" spans="1:7" ht="12.75" hidden="1" customHeight="1">
      <c r="A1029" s="864"/>
      <c r="B1029" s="864"/>
      <c r="C1029" s="864"/>
      <c r="D1029" s="864"/>
      <c r="E1029" s="864"/>
      <c r="F1029" s="864"/>
      <c r="G1029" s="864"/>
    </row>
    <row r="1030" spans="1:7" ht="12.75" hidden="1" customHeight="1">
      <c r="A1030" s="864"/>
      <c r="B1030" s="864"/>
      <c r="C1030" s="864"/>
      <c r="D1030" s="864"/>
      <c r="E1030" s="864"/>
      <c r="F1030" s="864"/>
      <c r="G1030" s="864"/>
    </row>
    <row r="1031" spans="1:7" ht="12.75" hidden="1" customHeight="1">
      <c r="A1031" s="864"/>
      <c r="B1031" s="864"/>
      <c r="C1031" s="864"/>
      <c r="D1031" s="864"/>
      <c r="E1031" s="864"/>
      <c r="F1031" s="864"/>
      <c r="G1031" s="864"/>
    </row>
    <row r="1032" spans="1:7" ht="12.75" hidden="1" customHeight="1">
      <c r="A1032" s="864"/>
      <c r="B1032" s="864"/>
      <c r="C1032" s="864"/>
      <c r="D1032" s="864"/>
      <c r="E1032" s="864"/>
      <c r="F1032" s="864"/>
      <c r="G1032" s="864"/>
    </row>
    <row r="1033" spans="1:7" ht="12.75" hidden="1" customHeight="1">
      <c r="A1033" s="864"/>
      <c r="B1033" s="864"/>
      <c r="C1033" s="864"/>
      <c r="D1033" s="864"/>
      <c r="E1033" s="864"/>
      <c r="F1033" s="864"/>
      <c r="G1033" s="864"/>
    </row>
    <row r="1034" spans="1:7" ht="12.75" hidden="1" customHeight="1">
      <c r="A1034" s="864"/>
      <c r="B1034" s="864"/>
      <c r="C1034" s="864"/>
      <c r="D1034" s="864"/>
      <c r="E1034" s="864"/>
      <c r="F1034" s="864"/>
      <c r="G1034" s="864"/>
    </row>
    <row r="1035" spans="1:7" ht="12.75" hidden="1" customHeight="1">
      <c r="A1035" s="864"/>
      <c r="B1035" s="864"/>
      <c r="C1035" s="864"/>
      <c r="D1035" s="864"/>
      <c r="E1035" s="864"/>
      <c r="F1035" s="864"/>
      <c r="G1035" s="864"/>
    </row>
    <row r="1036" spans="1:7" ht="12.75" hidden="1" customHeight="1">
      <c r="A1036" s="864"/>
      <c r="B1036" s="864"/>
      <c r="C1036" s="864"/>
      <c r="D1036" s="864"/>
      <c r="E1036" s="864"/>
      <c r="F1036" s="864"/>
      <c r="G1036" s="864"/>
    </row>
    <row r="1037" spans="1:7" ht="12.75" hidden="1" customHeight="1">
      <c r="A1037" s="864"/>
      <c r="B1037" s="864"/>
      <c r="C1037" s="864"/>
      <c r="D1037" s="864"/>
      <c r="E1037" s="864"/>
      <c r="F1037" s="864"/>
      <c r="G1037" s="864"/>
    </row>
    <row r="1038" spans="1:7" ht="12.75" hidden="1" customHeight="1">
      <c r="A1038" s="864"/>
      <c r="B1038" s="864"/>
      <c r="C1038" s="864"/>
      <c r="D1038" s="864"/>
      <c r="E1038" s="864"/>
      <c r="F1038" s="864"/>
      <c r="G1038" s="864"/>
    </row>
    <row r="1039" spans="1:7" ht="12.75" hidden="1" customHeight="1">
      <c r="A1039" s="864"/>
      <c r="B1039" s="864"/>
      <c r="C1039" s="864"/>
      <c r="D1039" s="864"/>
      <c r="E1039" s="864"/>
      <c r="F1039" s="864"/>
      <c r="G1039" s="864"/>
    </row>
    <row r="1040" spans="1:7" ht="12.75" hidden="1" customHeight="1">
      <c r="A1040" s="864"/>
      <c r="B1040" s="864"/>
      <c r="C1040" s="864"/>
      <c r="D1040" s="864"/>
      <c r="E1040" s="864"/>
      <c r="F1040" s="864"/>
      <c r="G1040" s="864"/>
    </row>
    <row r="1041" spans="1:7" ht="12.75" hidden="1" customHeight="1">
      <c r="A1041" s="864"/>
      <c r="B1041" s="864"/>
      <c r="C1041" s="864"/>
      <c r="D1041" s="864"/>
      <c r="E1041" s="864"/>
      <c r="F1041" s="864"/>
      <c r="G1041" s="864"/>
    </row>
    <row r="1042" spans="1:7" ht="12.75" hidden="1" customHeight="1">
      <c r="A1042" s="864"/>
      <c r="B1042" s="864"/>
      <c r="C1042" s="864"/>
      <c r="D1042" s="864"/>
      <c r="E1042" s="864"/>
      <c r="F1042" s="864"/>
      <c r="G1042" s="864"/>
    </row>
    <row r="1043" spans="1:7" ht="12.75" hidden="1" customHeight="1">
      <c r="A1043" s="864"/>
      <c r="B1043" s="864"/>
      <c r="C1043" s="864"/>
      <c r="D1043" s="864"/>
      <c r="E1043" s="864"/>
      <c r="F1043" s="864"/>
      <c r="G1043" s="864"/>
    </row>
    <row r="1044" spans="1:7" ht="12.75" hidden="1" customHeight="1">
      <c r="A1044" s="864"/>
      <c r="B1044" s="864"/>
      <c r="C1044" s="864"/>
      <c r="D1044" s="864"/>
      <c r="E1044" s="864"/>
      <c r="F1044" s="864"/>
      <c r="G1044" s="864"/>
    </row>
    <row r="1045" spans="1:7" ht="12.75" hidden="1" customHeight="1">
      <c r="A1045" s="864"/>
      <c r="B1045" s="864"/>
      <c r="C1045" s="864"/>
      <c r="D1045" s="864"/>
      <c r="E1045" s="864"/>
      <c r="F1045" s="864"/>
      <c r="G1045" s="864"/>
    </row>
    <row r="1046" spans="1:7" ht="12.75" hidden="1" customHeight="1">
      <c r="A1046" s="864"/>
      <c r="B1046" s="864"/>
      <c r="C1046" s="864"/>
      <c r="D1046" s="864"/>
      <c r="E1046" s="864"/>
      <c r="F1046" s="864"/>
      <c r="G1046" s="864"/>
    </row>
    <row r="1047" spans="1:7" ht="12.75" hidden="1" customHeight="1">
      <c r="A1047" s="864"/>
      <c r="B1047" s="864"/>
      <c r="C1047" s="864"/>
      <c r="D1047" s="864"/>
      <c r="E1047" s="864"/>
      <c r="F1047" s="864"/>
      <c r="G1047" s="864"/>
    </row>
    <row r="1048" spans="1:7" ht="12.75" hidden="1" customHeight="1">
      <c r="A1048" s="864"/>
      <c r="B1048" s="864"/>
      <c r="C1048" s="864"/>
      <c r="D1048" s="864"/>
      <c r="E1048" s="864"/>
      <c r="F1048" s="864"/>
      <c r="G1048" s="864"/>
    </row>
    <row r="1049" spans="1:7" ht="12.75" hidden="1" customHeight="1">
      <c r="A1049" s="864"/>
      <c r="B1049" s="864"/>
      <c r="C1049" s="864"/>
      <c r="D1049" s="864"/>
      <c r="E1049" s="864"/>
      <c r="F1049" s="864"/>
      <c r="G1049" s="864"/>
    </row>
    <row r="1050" spans="1:7" ht="12.75" hidden="1" customHeight="1">
      <c r="A1050" s="864"/>
      <c r="B1050" s="864"/>
      <c r="C1050" s="864"/>
      <c r="D1050" s="864"/>
      <c r="E1050" s="864"/>
      <c r="F1050" s="864"/>
      <c r="G1050" s="864"/>
    </row>
    <row r="1051" spans="1:7" ht="12.75" hidden="1" customHeight="1">
      <c r="A1051" s="864"/>
      <c r="B1051" s="864"/>
      <c r="C1051" s="864"/>
      <c r="D1051" s="864"/>
      <c r="E1051" s="864"/>
      <c r="F1051" s="864"/>
      <c r="G1051" s="864"/>
    </row>
    <row r="1052" spans="1:7" ht="12.75" hidden="1" customHeight="1">
      <c r="A1052" s="864"/>
      <c r="B1052" s="864"/>
      <c r="C1052" s="864"/>
      <c r="D1052" s="864"/>
      <c r="E1052" s="864"/>
      <c r="F1052" s="864"/>
      <c r="G1052" s="864"/>
    </row>
    <row r="1053" spans="1:7" ht="12.75" hidden="1" customHeight="1">
      <c r="A1053" s="864"/>
      <c r="B1053" s="864"/>
      <c r="C1053" s="864"/>
      <c r="D1053" s="864"/>
      <c r="E1053" s="864"/>
      <c r="F1053" s="864"/>
      <c r="G1053" s="864"/>
    </row>
    <row r="1054" spans="1:7" ht="12.75" hidden="1" customHeight="1">
      <c r="A1054" s="864"/>
      <c r="B1054" s="864"/>
      <c r="C1054" s="864"/>
      <c r="D1054" s="864"/>
      <c r="E1054" s="864"/>
      <c r="F1054" s="864"/>
      <c r="G1054" s="864"/>
    </row>
    <row r="1055" spans="1:7" ht="12.75" hidden="1" customHeight="1">
      <c r="A1055" s="864"/>
      <c r="B1055" s="864"/>
      <c r="C1055" s="864"/>
      <c r="D1055" s="864"/>
      <c r="E1055" s="864"/>
      <c r="F1055" s="864"/>
      <c r="G1055" s="864"/>
    </row>
    <row r="1056" spans="1:7" ht="12.75" hidden="1" customHeight="1">
      <c r="A1056" s="864"/>
      <c r="B1056" s="864"/>
      <c r="C1056" s="864"/>
      <c r="D1056" s="864"/>
      <c r="E1056" s="864"/>
      <c r="F1056" s="864"/>
      <c r="G1056" s="864"/>
    </row>
    <row r="1057" spans="1:7" ht="12.75" hidden="1" customHeight="1">
      <c r="A1057" s="864"/>
      <c r="B1057" s="864"/>
      <c r="C1057" s="864"/>
      <c r="D1057" s="864"/>
      <c r="E1057" s="864"/>
      <c r="F1057" s="864"/>
      <c r="G1057" s="864"/>
    </row>
    <row r="1058" spans="1:7" ht="12.75" hidden="1" customHeight="1">
      <c r="A1058" s="864"/>
      <c r="B1058" s="864"/>
      <c r="C1058" s="864"/>
      <c r="D1058" s="864"/>
      <c r="E1058" s="864"/>
      <c r="F1058" s="864"/>
      <c r="G1058" s="864"/>
    </row>
    <row r="1059" spans="1:7" ht="12.75" hidden="1" customHeight="1">
      <c r="A1059" s="864"/>
      <c r="B1059" s="864"/>
      <c r="C1059" s="864"/>
      <c r="D1059" s="864"/>
      <c r="E1059" s="864"/>
      <c r="F1059" s="864"/>
      <c r="G1059" s="864"/>
    </row>
    <row r="1060" spans="1:7" ht="12.75" hidden="1" customHeight="1">
      <c r="A1060" s="864"/>
      <c r="B1060" s="864"/>
      <c r="C1060" s="864"/>
      <c r="D1060" s="864"/>
      <c r="E1060" s="864"/>
      <c r="F1060" s="864"/>
      <c r="G1060" s="864"/>
    </row>
    <row r="1061" spans="1:7" ht="12.75" hidden="1" customHeight="1">
      <c r="A1061" s="864"/>
      <c r="B1061" s="864"/>
      <c r="C1061" s="864"/>
      <c r="D1061" s="864"/>
      <c r="E1061" s="864"/>
      <c r="F1061" s="864"/>
      <c r="G1061" s="864"/>
    </row>
    <row r="1062" spans="1:7" ht="12.75" hidden="1" customHeight="1">
      <c r="A1062" s="864"/>
      <c r="B1062" s="864"/>
      <c r="C1062" s="864"/>
      <c r="D1062" s="864"/>
      <c r="E1062" s="864"/>
      <c r="F1062" s="864"/>
      <c r="G1062" s="864"/>
    </row>
    <row r="1063" spans="1:7" ht="12.75" hidden="1" customHeight="1">
      <c r="A1063" s="864"/>
      <c r="B1063" s="864"/>
      <c r="C1063" s="864"/>
      <c r="D1063" s="864"/>
      <c r="E1063" s="864"/>
      <c r="F1063" s="864"/>
      <c r="G1063" s="864"/>
    </row>
    <row r="1064" spans="1:7" ht="12.75" hidden="1" customHeight="1">
      <c r="A1064" s="864"/>
      <c r="B1064" s="864"/>
      <c r="C1064" s="864"/>
      <c r="D1064" s="864"/>
      <c r="E1064" s="864"/>
      <c r="F1064" s="864"/>
      <c r="G1064" s="864"/>
    </row>
    <row r="1065" spans="1:7" ht="12.75" hidden="1" customHeight="1">
      <c r="A1065" s="864"/>
      <c r="B1065" s="864"/>
      <c r="C1065" s="864"/>
      <c r="D1065" s="864"/>
      <c r="E1065" s="864"/>
      <c r="F1065" s="864"/>
      <c r="G1065" s="864"/>
    </row>
    <row r="1066" spans="1:7" ht="12.75" hidden="1" customHeight="1">
      <c r="A1066" s="864"/>
      <c r="B1066" s="864"/>
      <c r="C1066" s="864"/>
      <c r="D1066" s="864"/>
      <c r="E1066" s="864"/>
      <c r="F1066" s="864"/>
      <c r="G1066" s="864"/>
    </row>
    <row r="1067" spans="1:7" ht="12.75" hidden="1" customHeight="1">
      <c r="A1067" s="864"/>
      <c r="B1067" s="864"/>
      <c r="C1067" s="864"/>
      <c r="D1067" s="864"/>
      <c r="E1067" s="864"/>
      <c r="F1067" s="864"/>
      <c r="G1067" s="864"/>
    </row>
    <row r="1068" spans="1:7" ht="12.75" hidden="1" customHeight="1">
      <c r="A1068" s="864"/>
      <c r="B1068" s="864"/>
      <c r="C1068" s="864"/>
      <c r="D1068" s="864"/>
      <c r="E1068" s="864"/>
      <c r="F1068" s="864"/>
      <c r="G1068" s="864"/>
    </row>
    <row r="1069" spans="1:7" ht="12.75" hidden="1" customHeight="1">
      <c r="A1069" s="864"/>
      <c r="B1069" s="864"/>
      <c r="C1069" s="864"/>
      <c r="D1069" s="864"/>
      <c r="E1069" s="864"/>
      <c r="F1069" s="864"/>
      <c r="G1069" s="864"/>
    </row>
    <row r="1070" spans="1:7" ht="12.75" hidden="1" customHeight="1">
      <c r="A1070" s="864"/>
      <c r="B1070" s="864"/>
      <c r="C1070" s="864"/>
      <c r="D1070" s="864"/>
      <c r="E1070" s="864"/>
      <c r="F1070" s="864"/>
      <c r="G1070" s="864"/>
    </row>
    <row r="1071" spans="1:7" ht="12.75" hidden="1" customHeight="1">
      <c r="A1071" s="864"/>
      <c r="B1071" s="864"/>
      <c r="C1071" s="864"/>
      <c r="D1071" s="864"/>
      <c r="E1071" s="864"/>
      <c r="F1071" s="864"/>
      <c r="G1071" s="864"/>
    </row>
    <row r="1072" spans="1:7" ht="12.75" hidden="1" customHeight="1">
      <c r="A1072" s="864"/>
      <c r="B1072" s="864"/>
      <c r="C1072" s="864"/>
      <c r="D1072" s="864"/>
      <c r="E1072" s="864"/>
      <c r="F1072" s="864"/>
      <c r="G1072" s="864"/>
    </row>
    <row r="1073" spans="1:7" ht="12.75" hidden="1" customHeight="1">
      <c r="A1073" s="864"/>
      <c r="B1073" s="864"/>
      <c r="C1073" s="864"/>
      <c r="D1073" s="864"/>
      <c r="E1073" s="864"/>
      <c r="F1073" s="864"/>
      <c r="G1073" s="864"/>
    </row>
    <row r="1074" spans="1:7" ht="12.75" hidden="1" customHeight="1">
      <c r="A1074" s="864"/>
      <c r="B1074" s="864"/>
      <c r="C1074" s="864"/>
      <c r="D1074" s="864"/>
      <c r="E1074" s="864"/>
      <c r="F1074" s="864"/>
      <c r="G1074" s="864"/>
    </row>
    <row r="1075" spans="1:7" ht="12.75" hidden="1" customHeight="1">
      <c r="A1075" s="864"/>
      <c r="B1075" s="864"/>
      <c r="C1075" s="864"/>
      <c r="D1075" s="864"/>
      <c r="E1075" s="864"/>
      <c r="F1075" s="864"/>
      <c r="G1075" s="864"/>
    </row>
    <row r="1076" spans="1:7" ht="12.75" hidden="1" customHeight="1">
      <c r="A1076" s="864"/>
      <c r="B1076" s="864"/>
      <c r="C1076" s="864"/>
      <c r="D1076" s="864"/>
      <c r="E1076" s="864"/>
      <c r="F1076" s="864"/>
      <c r="G1076" s="864"/>
    </row>
    <row r="1077" spans="1:7" hidden="1">
      <c r="A1077" s="864"/>
      <c r="B1077" s="864"/>
      <c r="C1077" s="864"/>
      <c r="D1077" s="864"/>
      <c r="E1077" s="864"/>
      <c r="F1077" s="864"/>
      <c r="G1077" s="864"/>
    </row>
    <row r="1078" spans="1:7" hidden="1">
      <c r="A1078" s="864"/>
      <c r="B1078" s="864"/>
      <c r="C1078" s="864"/>
      <c r="D1078" s="864"/>
      <c r="E1078" s="864"/>
      <c r="F1078" s="864"/>
      <c r="G1078" s="864"/>
    </row>
    <row r="1079" spans="1:7" hidden="1">
      <c r="A1079" s="864"/>
      <c r="B1079" s="864"/>
      <c r="C1079" s="864"/>
      <c r="D1079" s="864"/>
      <c r="E1079" s="864"/>
      <c r="F1079" s="864"/>
      <c r="G1079" s="864"/>
    </row>
    <row r="1080" spans="1:7" hidden="1">
      <c r="A1080" s="864"/>
      <c r="B1080" s="864"/>
      <c r="C1080" s="864"/>
      <c r="D1080" s="864"/>
      <c r="E1080" s="864"/>
      <c r="F1080" s="864"/>
      <c r="G1080" s="864"/>
    </row>
    <row r="1081" spans="1:7" hidden="1">
      <c r="A1081" s="864"/>
      <c r="B1081" s="864"/>
      <c r="C1081" s="864"/>
      <c r="D1081" s="864"/>
      <c r="E1081" s="864"/>
      <c r="F1081" s="864"/>
      <c r="G1081" s="864"/>
    </row>
    <row r="1082" spans="1:7" hidden="1">
      <c r="A1082" s="864"/>
      <c r="B1082" s="864"/>
      <c r="C1082" s="864"/>
      <c r="D1082" s="864"/>
      <c r="E1082" s="864"/>
      <c r="F1082" s="864"/>
      <c r="G1082" s="864"/>
    </row>
    <row r="1083" spans="1:7" hidden="1">
      <c r="A1083" s="864"/>
      <c r="B1083" s="864"/>
      <c r="C1083" s="864"/>
      <c r="D1083" s="864"/>
      <c r="E1083" s="864"/>
      <c r="F1083" s="864"/>
      <c r="G1083" s="864"/>
    </row>
    <row r="1084" spans="1:7" hidden="1">
      <c r="A1084" s="864"/>
      <c r="B1084" s="864"/>
      <c r="C1084" s="864"/>
      <c r="D1084" s="864"/>
      <c r="E1084" s="864"/>
      <c r="F1084" s="864"/>
      <c r="G1084" s="864"/>
    </row>
    <row r="1085" spans="1:7" hidden="1">
      <c r="A1085" s="864"/>
      <c r="B1085" s="864"/>
      <c r="C1085" s="864"/>
      <c r="D1085" s="864"/>
      <c r="E1085" s="864"/>
      <c r="F1085" s="864"/>
      <c r="G1085" s="864"/>
    </row>
    <row r="1086" spans="1:7" hidden="1">
      <c r="A1086" s="864"/>
      <c r="B1086" s="864"/>
      <c r="C1086" s="864"/>
      <c r="D1086" s="864"/>
      <c r="E1086" s="864"/>
      <c r="F1086" s="864"/>
      <c r="G1086" s="864"/>
    </row>
    <row r="1087" spans="1:7" hidden="1">
      <c r="A1087" s="864"/>
      <c r="B1087" s="864"/>
      <c r="C1087" s="864"/>
      <c r="D1087" s="864"/>
      <c r="E1087" s="864"/>
      <c r="F1087" s="864"/>
      <c r="G1087" s="864"/>
    </row>
    <row r="1088" spans="1:7" hidden="1">
      <c r="A1088" s="864"/>
      <c r="B1088" s="864"/>
      <c r="C1088" s="864"/>
      <c r="D1088" s="864"/>
      <c r="E1088" s="864"/>
      <c r="F1088" s="864"/>
      <c r="G1088" s="864"/>
    </row>
    <row r="1089" spans="1:7" hidden="1">
      <c r="A1089" s="864"/>
      <c r="B1089" s="864"/>
      <c r="C1089" s="864"/>
      <c r="D1089" s="864"/>
      <c r="E1089" s="864"/>
      <c r="F1089" s="864"/>
      <c r="G1089" s="864"/>
    </row>
    <row r="1090" spans="1:7" hidden="1">
      <c r="A1090" s="864"/>
      <c r="B1090" s="864"/>
      <c r="C1090" s="864"/>
      <c r="D1090" s="864"/>
      <c r="E1090" s="864"/>
      <c r="F1090" s="864"/>
      <c r="G1090" s="864"/>
    </row>
    <row r="1091" spans="1:7" hidden="1">
      <c r="A1091" s="864"/>
      <c r="B1091" s="864"/>
      <c r="C1091" s="864"/>
      <c r="D1091" s="864"/>
      <c r="E1091" s="864"/>
      <c r="F1091" s="864"/>
      <c r="G1091" s="864"/>
    </row>
    <row r="1092" spans="1:7" hidden="1">
      <c r="A1092" s="864"/>
      <c r="B1092" s="864"/>
      <c r="C1092" s="864"/>
      <c r="D1092" s="864"/>
      <c r="E1092" s="864"/>
      <c r="F1092" s="864"/>
      <c r="G1092" s="864"/>
    </row>
    <row r="1093" spans="1:7" hidden="1">
      <c r="A1093" s="864"/>
      <c r="B1093" s="864"/>
      <c r="C1093" s="864"/>
      <c r="D1093" s="864"/>
      <c r="E1093" s="864"/>
      <c r="F1093" s="864"/>
      <c r="G1093" s="864"/>
    </row>
    <row r="1094" spans="1:7" hidden="1">
      <c r="A1094" s="864"/>
      <c r="B1094" s="864"/>
      <c r="C1094" s="864"/>
      <c r="D1094" s="864"/>
      <c r="E1094" s="864"/>
      <c r="F1094" s="864"/>
      <c r="G1094" s="864"/>
    </row>
    <row r="1095" spans="1:7" hidden="1">
      <c r="A1095" s="864"/>
      <c r="B1095" s="864"/>
      <c r="C1095" s="864"/>
      <c r="D1095" s="864"/>
      <c r="E1095" s="864"/>
      <c r="F1095" s="864"/>
      <c r="G1095" s="864"/>
    </row>
    <row r="1096" spans="1:7" hidden="1">
      <c r="A1096" s="864"/>
      <c r="B1096" s="864"/>
      <c r="C1096" s="864"/>
      <c r="D1096" s="864"/>
      <c r="E1096" s="864"/>
      <c r="F1096" s="864"/>
      <c r="G1096" s="864"/>
    </row>
    <row r="1097" spans="1:7" hidden="1">
      <c r="A1097" s="864"/>
      <c r="B1097" s="864"/>
      <c r="C1097" s="864"/>
      <c r="D1097" s="864"/>
      <c r="E1097" s="864"/>
      <c r="F1097" s="864"/>
      <c r="G1097" s="864"/>
    </row>
    <row r="1098" spans="1:7" hidden="1">
      <c r="A1098" s="864"/>
      <c r="B1098" s="864"/>
      <c r="C1098" s="864"/>
      <c r="D1098" s="864"/>
      <c r="E1098" s="864"/>
      <c r="F1098" s="864"/>
      <c r="G1098" s="864"/>
    </row>
    <row r="1099" spans="1:7" hidden="1">
      <c r="A1099" s="864"/>
      <c r="B1099" s="864"/>
      <c r="C1099" s="864"/>
      <c r="D1099" s="864"/>
      <c r="E1099" s="864"/>
      <c r="F1099" s="864"/>
      <c r="G1099" s="864"/>
    </row>
    <row r="1100" spans="1:7" hidden="1">
      <c r="A1100" s="864"/>
      <c r="B1100" s="864"/>
      <c r="C1100" s="864"/>
      <c r="D1100" s="864"/>
      <c r="E1100" s="864"/>
      <c r="F1100" s="864"/>
      <c r="G1100" s="864"/>
    </row>
    <row r="1101" spans="1:7" hidden="1">
      <c r="A1101" s="864"/>
      <c r="B1101" s="864"/>
      <c r="C1101" s="864"/>
      <c r="D1101" s="864"/>
      <c r="E1101" s="864"/>
      <c r="F1101" s="864"/>
      <c r="G1101" s="864"/>
    </row>
    <row r="1102" spans="1:7" hidden="1">
      <c r="A1102" s="864"/>
      <c r="B1102" s="864"/>
      <c r="C1102" s="864"/>
      <c r="D1102" s="864"/>
      <c r="E1102" s="864"/>
      <c r="F1102" s="864"/>
      <c r="G1102" s="864"/>
    </row>
    <row r="1103" spans="1:7" hidden="1">
      <c r="A1103" s="864"/>
      <c r="B1103" s="864"/>
      <c r="C1103" s="864"/>
      <c r="D1103" s="864"/>
      <c r="E1103" s="864"/>
      <c r="F1103" s="864"/>
      <c r="G1103" s="864"/>
    </row>
    <row r="1104" spans="1:7" hidden="1">
      <c r="A1104" s="864"/>
      <c r="B1104" s="864"/>
      <c r="C1104" s="864"/>
      <c r="D1104" s="864"/>
      <c r="E1104" s="864"/>
      <c r="F1104" s="864"/>
      <c r="G1104" s="864"/>
    </row>
    <row r="1105" spans="1:7" hidden="1">
      <c r="A1105" s="864"/>
      <c r="B1105" s="864"/>
      <c r="C1105" s="864"/>
      <c r="D1105" s="864"/>
      <c r="E1105" s="864"/>
      <c r="F1105" s="864"/>
      <c r="G1105" s="864"/>
    </row>
    <row r="1106" spans="1:7" hidden="1">
      <c r="A1106" s="864"/>
      <c r="B1106" s="864"/>
      <c r="C1106" s="864"/>
      <c r="D1106" s="864"/>
      <c r="E1106" s="864"/>
      <c r="F1106" s="864"/>
      <c r="G1106" s="864"/>
    </row>
    <row r="1107" spans="1:7" hidden="1">
      <c r="A1107" s="864"/>
      <c r="B1107" s="864"/>
      <c r="C1107" s="864"/>
      <c r="D1107" s="864"/>
      <c r="E1107" s="864"/>
      <c r="F1107" s="864"/>
      <c r="G1107" s="864"/>
    </row>
    <row r="1108" spans="1:7" hidden="1">
      <c r="A1108" s="864"/>
      <c r="B1108" s="864"/>
      <c r="C1108" s="864"/>
      <c r="D1108" s="864"/>
      <c r="E1108" s="864"/>
      <c r="F1108" s="864"/>
      <c r="G1108" s="864"/>
    </row>
    <row r="1109" spans="1:7" hidden="1">
      <c r="A1109" s="864"/>
      <c r="B1109" s="864"/>
      <c r="C1109" s="864"/>
      <c r="D1109" s="864"/>
      <c r="E1109" s="864"/>
      <c r="F1109" s="864"/>
      <c r="G1109" s="864"/>
    </row>
    <row r="1110" spans="1:7" hidden="1">
      <c r="A1110" s="864"/>
      <c r="B1110" s="864"/>
      <c r="C1110" s="864"/>
      <c r="D1110" s="864"/>
      <c r="E1110" s="864"/>
      <c r="F1110" s="864"/>
      <c r="G1110" s="864"/>
    </row>
    <row r="1111" spans="1:7" hidden="1">
      <c r="A1111" s="864"/>
      <c r="B1111" s="864"/>
      <c r="C1111" s="864"/>
      <c r="D1111" s="864"/>
      <c r="E1111" s="864"/>
      <c r="F1111" s="864"/>
      <c r="G1111" s="864"/>
    </row>
    <row r="1112" spans="1:7" hidden="1">
      <c r="A1112" s="864"/>
      <c r="B1112" s="864"/>
      <c r="C1112" s="864"/>
      <c r="D1112" s="864"/>
      <c r="E1112" s="864"/>
      <c r="F1112" s="864"/>
      <c r="G1112" s="864"/>
    </row>
    <row r="1113" spans="1:7" hidden="1">
      <c r="A1113" s="864"/>
      <c r="B1113" s="864"/>
      <c r="C1113" s="864"/>
      <c r="D1113" s="864"/>
      <c r="E1113" s="864"/>
      <c r="F1113" s="864"/>
      <c r="G1113" s="864"/>
    </row>
    <row r="1114" spans="1:7" hidden="1">
      <c r="A1114" s="864"/>
      <c r="B1114" s="864"/>
      <c r="C1114" s="864"/>
      <c r="D1114" s="864"/>
      <c r="E1114" s="864"/>
      <c r="F1114" s="864"/>
      <c r="G1114" s="864"/>
    </row>
    <row r="1115" spans="1:7" hidden="1">
      <c r="A1115" s="864"/>
      <c r="B1115" s="864"/>
      <c r="C1115" s="864"/>
      <c r="D1115" s="864"/>
      <c r="E1115" s="864"/>
      <c r="F1115" s="864"/>
      <c r="G1115" s="864"/>
    </row>
    <row r="1116" spans="1:7" hidden="1">
      <c r="A1116" s="864"/>
      <c r="B1116" s="864"/>
      <c r="C1116" s="864"/>
      <c r="D1116" s="864"/>
      <c r="E1116" s="864"/>
      <c r="F1116" s="864"/>
      <c r="G1116" s="864"/>
    </row>
    <row r="1117" spans="1:7" hidden="1">
      <c r="A1117" s="864"/>
      <c r="B1117" s="864"/>
      <c r="C1117" s="864"/>
      <c r="D1117" s="864"/>
      <c r="E1117" s="864"/>
      <c r="F1117" s="864"/>
      <c r="G1117" s="864"/>
    </row>
    <row r="1118" spans="1:7" hidden="1">
      <c r="A1118" s="864"/>
      <c r="B1118" s="864"/>
      <c r="C1118" s="864"/>
      <c r="D1118" s="864"/>
      <c r="E1118" s="864"/>
      <c r="F1118" s="864"/>
      <c r="G1118" s="864"/>
    </row>
    <row r="1119" spans="1:7" hidden="1">
      <c r="A1119" s="864"/>
      <c r="B1119" s="864"/>
      <c r="C1119" s="864"/>
      <c r="D1119" s="864"/>
      <c r="E1119" s="864"/>
      <c r="F1119" s="864"/>
      <c r="G1119" s="864"/>
    </row>
    <row r="1120" spans="1:7" hidden="1">
      <c r="A1120" s="864"/>
      <c r="B1120" s="864"/>
      <c r="C1120" s="864"/>
      <c r="D1120" s="864"/>
      <c r="E1120" s="864"/>
      <c r="F1120" s="864"/>
      <c r="G1120" s="864"/>
    </row>
    <row r="1121" spans="1:7" hidden="1">
      <c r="A1121" s="864"/>
      <c r="B1121" s="864"/>
      <c r="C1121" s="864"/>
      <c r="D1121" s="864"/>
      <c r="E1121" s="864"/>
      <c r="F1121" s="864"/>
      <c r="G1121" s="864"/>
    </row>
    <row r="1122" spans="1:7" hidden="1">
      <c r="A1122" s="864"/>
      <c r="B1122" s="864"/>
      <c r="C1122" s="864"/>
      <c r="D1122" s="864"/>
      <c r="E1122" s="864"/>
      <c r="F1122" s="864"/>
      <c r="G1122" s="864"/>
    </row>
    <row r="1123" spans="1:7" hidden="1">
      <c r="A1123" s="864"/>
      <c r="B1123" s="864"/>
      <c r="C1123" s="864"/>
      <c r="D1123" s="864"/>
      <c r="E1123" s="864"/>
      <c r="F1123" s="864"/>
      <c r="G1123" s="864"/>
    </row>
    <row r="1124" spans="1:7" hidden="1">
      <c r="A1124" s="864"/>
      <c r="B1124" s="864"/>
      <c r="C1124" s="864"/>
      <c r="D1124" s="864"/>
      <c r="E1124" s="864"/>
      <c r="F1124" s="864"/>
      <c r="G1124" s="864"/>
    </row>
    <row r="1125" spans="1:7" hidden="1">
      <c r="A1125" s="864"/>
      <c r="B1125" s="864"/>
      <c r="C1125" s="864"/>
      <c r="D1125" s="864"/>
      <c r="E1125" s="864"/>
      <c r="F1125" s="864"/>
      <c r="G1125" s="864"/>
    </row>
    <row r="1126" spans="1:7" hidden="1">
      <c r="A1126" s="864"/>
      <c r="B1126" s="864"/>
      <c r="C1126" s="864"/>
      <c r="D1126" s="864"/>
      <c r="E1126" s="864"/>
      <c r="F1126" s="864"/>
      <c r="G1126" s="864"/>
    </row>
    <row r="1127" spans="1:7" hidden="1">
      <c r="A1127" s="864"/>
      <c r="B1127" s="864"/>
      <c r="C1127" s="864"/>
      <c r="D1127" s="864"/>
      <c r="E1127" s="864"/>
      <c r="F1127" s="864"/>
      <c r="G1127" s="864"/>
    </row>
    <row r="1128" spans="1:7" hidden="1">
      <c r="A1128" s="864"/>
      <c r="B1128" s="864"/>
      <c r="C1128" s="864"/>
      <c r="D1128" s="864"/>
      <c r="E1128" s="864"/>
      <c r="F1128" s="864"/>
      <c r="G1128" s="864"/>
    </row>
    <row r="1129" spans="1:7" hidden="1">
      <c r="A1129" s="864"/>
      <c r="B1129" s="864"/>
      <c r="C1129" s="864"/>
      <c r="D1129" s="864"/>
      <c r="E1129" s="864"/>
      <c r="F1129" s="864"/>
      <c r="G1129" s="864"/>
    </row>
    <row r="1130" spans="1:7" hidden="1">
      <c r="A1130" s="864"/>
      <c r="B1130" s="864"/>
      <c r="C1130" s="864"/>
      <c r="D1130" s="864"/>
      <c r="E1130" s="864"/>
      <c r="F1130" s="864"/>
      <c r="G1130" s="864"/>
    </row>
    <row r="1131" spans="1:7" hidden="1">
      <c r="A1131" s="864"/>
      <c r="B1131" s="864"/>
      <c r="C1131" s="864"/>
      <c r="D1131" s="864"/>
      <c r="E1131" s="864"/>
      <c r="F1131" s="864"/>
      <c r="G1131" s="864"/>
    </row>
    <row r="1132" spans="1:7" hidden="1">
      <c r="A1132" s="864"/>
      <c r="B1132" s="864"/>
      <c r="C1132" s="864"/>
      <c r="D1132" s="864"/>
      <c r="E1132" s="864"/>
      <c r="F1132" s="864"/>
      <c r="G1132" s="864"/>
    </row>
    <row r="1133" spans="1:7" hidden="1">
      <c r="A1133" s="864"/>
      <c r="B1133" s="864"/>
      <c r="C1133" s="864"/>
      <c r="D1133" s="864"/>
      <c r="E1133" s="864"/>
      <c r="F1133" s="864"/>
      <c r="G1133" s="864"/>
    </row>
    <row r="1134" spans="1:7" hidden="1">
      <c r="A1134" s="864"/>
      <c r="B1134" s="864"/>
      <c r="C1134" s="864"/>
      <c r="D1134" s="864"/>
      <c r="E1134" s="864"/>
      <c r="F1134" s="864"/>
      <c r="G1134" s="864"/>
    </row>
    <row r="1135" spans="1:7" hidden="1">
      <c r="A1135" s="864"/>
      <c r="B1135" s="864"/>
      <c r="C1135" s="864"/>
      <c r="D1135" s="864"/>
      <c r="E1135" s="864"/>
      <c r="F1135" s="864"/>
      <c r="G1135" s="864"/>
    </row>
    <row r="1136" spans="1:7" hidden="1">
      <c r="A1136" s="864"/>
      <c r="B1136" s="864"/>
      <c r="C1136" s="864"/>
      <c r="D1136" s="864"/>
      <c r="E1136" s="864"/>
      <c r="F1136" s="864"/>
      <c r="G1136" s="864"/>
    </row>
    <row r="1137" spans="1:7" hidden="1">
      <c r="A1137" s="864"/>
      <c r="B1137" s="864"/>
      <c r="C1137" s="864"/>
      <c r="D1137" s="864"/>
      <c r="E1137" s="864"/>
      <c r="F1137" s="864"/>
      <c r="G1137" s="864"/>
    </row>
    <row r="1138" spans="1:7" hidden="1">
      <c r="A1138" s="864"/>
      <c r="B1138" s="864"/>
      <c r="C1138" s="864"/>
      <c r="D1138" s="864"/>
      <c r="E1138" s="864"/>
      <c r="F1138" s="864"/>
      <c r="G1138" s="864"/>
    </row>
    <row r="1139" spans="1:7" hidden="1">
      <c r="A1139" s="864"/>
      <c r="B1139" s="864"/>
      <c r="C1139" s="864"/>
      <c r="D1139" s="864"/>
      <c r="E1139" s="864"/>
      <c r="F1139" s="864"/>
      <c r="G1139" s="864"/>
    </row>
    <row r="1140" spans="1:7" hidden="1">
      <c r="A1140" s="864"/>
      <c r="B1140" s="864"/>
      <c r="C1140" s="864"/>
      <c r="D1140" s="864"/>
      <c r="E1140" s="864"/>
      <c r="F1140" s="864"/>
      <c r="G1140" s="864"/>
    </row>
    <row r="1141" spans="1:7" hidden="1">
      <c r="A1141" s="864"/>
      <c r="B1141" s="864"/>
      <c r="C1141" s="864"/>
      <c r="D1141" s="864"/>
      <c r="E1141" s="864"/>
      <c r="F1141" s="864"/>
      <c r="G1141" s="864"/>
    </row>
    <row r="1142" spans="1:7" hidden="1">
      <c r="A1142" s="864"/>
      <c r="B1142" s="864"/>
      <c r="C1142" s="864"/>
      <c r="D1142" s="864"/>
      <c r="E1142" s="864"/>
      <c r="F1142" s="864"/>
      <c r="G1142" s="864"/>
    </row>
    <row r="1143" spans="1:7" hidden="1">
      <c r="A1143" s="864"/>
      <c r="B1143" s="864"/>
      <c r="C1143" s="864"/>
      <c r="D1143" s="864"/>
      <c r="E1143" s="864"/>
      <c r="F1143" s="864"/>
      <c r="G1143" s="864"/>
    </row>
    <row r="1144" spans="1:7" hidden="1">
      <c r="A1144" s="864"/>
      <c r="B1144" s="864"/>
      <c r="C1144" s="864"/>
      <c r="D1144" s="864"/>
      <c r="E1144" s="864"/>
      <c r="F1144" s="864"/>
      <c r="G1144" s="864"/>
    </row>
    <row r="1145" spans="1:7" hidden="1">
      <c r="A1145" s="864"/>
      <c r="B1145" s="864"/>
      <c r="C1145" s="864"/>
      <c r="D1145" s="864"/>
      <c r="E1145" s="864"/>
      <c r="F1145" s="864"/>
      <c r="G1145" s="864"/>
    </row>
    <row r="1146" spans="1:7" hidden="1">
      <c r="A1146" s="864"/>
      <c r="B1146" s="864"/>
      <c r="C1146" s="864"/>
      <c r="D1146" s="864"/>
      <c r="E1146" s="864"/>
      <c r="F1146" s="864"/>
      <c r="G1146" s="864"/>
    </row>
    <row r="1147" spans="1:7" hidden="1">
      <c r="A1147" s="864"/>
      <c r="B1147" s="864"/>
      <c r="C1147" s="864"/>
      <c r="D1147" s="864"/>
      <c r="E1147" s="864"/>
      <c r="F1147" s="864"/>
      <c r="G1147" s="864"/>
    </row>
    <row r="1148" spans="1:7" hidden="1">
      <c r="A1148" s="864"/>
      <c r="B1148" s="864"/>
      <c r="C1148" s="864"/>
      <c r="D1148" s="864"/>
      <c r="E1148" s="864"/>
      <c r="F1148" s="864"/>
      <c r="G1148" s="864"/>
    </row>
    <row r="1149" spans="1:7" hidden="1">
      <c r="A1149" s="864"/>
      <c r="B1149" s="864"/>
      <c r="C1149" s="864"/>
      <c r="D1149" s="864"/>
      <c r="E1149" s="864"/>
      <c r="F1149" s="864"/>
      <c r="G1149" s="864"/>
    </row>
    <row r="1150" spans="1:7" hidden="1">
      <c r="A1150" s="864"/>
      <c r="B1150" s="864"/>
      <c r="C1150" s="864"/>
      <c r="D1150" s="864"/>
      <c r="E1150" s="864"/>
      <c r="F1150" s="864"/>
      <c r="G1150" s="864"/>
    </row>
    <row r="1151" spans="1:7" hidden="1">
      <c r="A1151" s="864"/>
      <c r="B1151" s="864"/>
      <c r="C1151" s="864"/>
      <c r="D1151" s="864"/>
      <c r="E1151" s="864"/>
      <c r="F1151" s="864"/>
      <c r="G1151" s="864"/>
    </row>
    <row r="1152" spans="1:7" hidden="1">
      <c r="A1152" s="864"/>
      <c r="B1152" s="864"/>
      <c r="C1152" s="864"/>
      <c r="D1152" s="864"/>
      <c r="E1152" s="864"/>
      <c r="F1152" s="864"/>
      <c r="G1152" s="864"/>
    </row>
    <row r="1153" spans="1:7" hidden="1">
      <c r="A1153" s="864"/>
      <c r="B1153" s="864"/>
      <c r="C1153" s="864"/>
      <c r="D1153" s="864"/>
      <c r="E1153" s="864"/>
      <c r="F1153" s="864"/>
      <c r="G1153" s="864"/>
    </row>
    <row r="1154" spans="1:7" hidden="1">
      <c r="A1154" s="864"/>
      <c r="B1154" s="864"/>
      <c r="C1154" s="864"/>
      <c r="D1154" s="864"/>
      <c r="E1154" s="864"/>
      <c r="F1154" s="864"/>
      <c r="G1154" s="864"/>
    </row>
    <row r="1155" spans="1:7" hidden="1">
      <c r="A1155" s="864"/>
      <c r="B1155" s="864"/>
      <c r="C1155" s="864"/>
      <c r="D1155" s="864"/>
      <c r="E1155" s="864"/>
      <c r="F1155" s="864"/>
      <c r="G1155" s="864"/>
    </row>
    <row r="1156" spans="1:7" hidden="1">
      <c r="A1156" s="864"/>
      <c r="B1156" s="864"/>
      <c r="C1156" s="864"/>
      <c r="D1156" s="864"/>
      <c r="E1156" s="864"/>
      <c r="F1156" s="864"/>
      <c r="G1156" s="864"/>
    </row>
    <row r="1157" spans="1:7" hidden="1">
      <c r="A1157" s="864"/>
      <c r="B1157" s="864"/>
      <c r="C1157" s="864"/>
      <c r="D1157" s="864"/>
      <c r="E1157" s="864"/>
      <c r="F1157" s="864"/>
      <c r="G1157" s="864"/>
    </row>
    <row r="1158" spans="1:7" hidden="1">
      <c r="A1158" s="864"/>
      <c r="B1158" s="864"/>
      <c r="C1158" s="864"/>
      <c r="D1158" s="864"/>
      <c r="E1158" s="864"/>
      <c r="F1158" s="864"/>
      <c r="G1158" s="864"/>
    </row>
    <row r="1159" spans="1:7" hidden="1">
      <c r="A1159" s="864"/>
      <c r="B1159" s="864"/>
      <c r="C1159" s="864"/>
      <c r="D1159" s="864"/>
      <c r="E1159" s="864"/>
      <c r="F1159" s="864"/>
      <c r="G1159" s="864"/>
    </row>
    <row r="1160" spans="1:7" hidden="1">
      <c r="A1160" s="864"/>
      <c r="B1160" s="864"/>
      <c r="C1160" s="864"/>
      <c r="D1160" s="864"/>
      <c r="E1160" s="864"/>
      <c r="F1160" s="864"/>
      <c r="G1160" s="864"/>
    </row>
    <row r="1161" spans="1:7" hidden="1">
      <c r="A1161" s="864"/>
      <c r="B1161" s="864"/>
      <c r="C1161" s="864"/>
      <c r="D1161" s="864"/>
      <c r="E1161" s="864"/>
      <c r="F1161" s="864"/>
      <c r="G1161" s="864"/>
    </row>
    <row r="1162" spans="1:7" hidden="1">
      <c r="A1162" s="864"/>
      <c r="B1162" s="864"/>
      <c r="C1162" s="864"/>
      <c r="D1162" s="864"/>
      <c r="E1162" s="864"/>
      <c r="F1162" s="864"/>
      <c r="G1162" s="864"/>
    </row>
    <row r="1163" spans="1:7" hidden="1">
      <c r="A1163" s="864"/>
      <c r="B1163" s="864"/>
      <c r="C1163" s="864"/>
      <c r="D1163" s="864"/>
      <c r="E1163" s="864"/>
      <c r="F1163" s="864"/>
      <c r="G1163" s="864"/>
    </row>
    <row r="1164" spans="1:7" hidden="1">
      <c r="A1164" s="864"/>
      <c r="B1164" s="864"/>
      <c r="C1164" s="864"/>
      <c r="D1164" s="864"/>
      <c r="E1164" s="864"/>
      <c r="F1164" s="864"/>
      <c r="G1164" s="864"/>
    </row>
    <row r="1165" spans="1:7" hidden="1">
      <c r="A1165" s="864"/>
      <c r="B1165" s="864"/>
      <c r="C1165" s="864"/>
      <c r="D1165" s="864"/>
      <c r="E1165" s="864"/>
      <c r="F1165" s="864"/>
      <c r="G1165" s="864"/>
    </row>
    <row r="1166" spans="1:7" hidden="1">
      <c r="A1166" s="864"/>
      <c r="B1166" s="864"/>
      <c r="C1166" s="864"/>
      <c r="D1166" s="864"/>
      <c r="E1166" s="864"/>
      <c r="F1166" s="864"/>
      <c r="G1166" s="864"/>
    </row>
    <row r="1167" spans="1:7" hidden="1">
      <c r="A1167" s="864"/>
      <c r="B1167" s="864"/>
      <c r="C1167" s="864"/>
      <c r="D1167" s="864"/>
      <c r="E1167" s="864"/>
      <c r="F1167" s="864"/>
      <c r="G1167" s="864"/>
    </row>
    <row r="1168" spans="1:7" hidden="1">
      <c r="A1168" s="864"/>
      <c r="B1168" s="864"/>
      <c r="C1168" s="864"/>
      <c r="D1168" s="864"/>
      <c r="E1168" s="864"/>
      <c r="F1168" s="864"/>
      <c r="G1168" s="864"/>
    </row>
    <row r="1169" spans="1:7" hidden="1">
      <c r="A1169" s="864"/>
      <c r="B1169" s="864"/>
      <c r="C1169" s="864"/>
      <c r="D1169" s="864"/>
      <c r="E1169" s="864"/>
      <c r="F1169" s="864"/>
      <c r="G1169" s="864"/>
    </row>
    <row r="1170" spans="1:7" hidden="1">
      <c r="A1170" s="864"/>
      <c r="B1170" s="864"/>
      <c r="C1170" s="864"/>
      <c r="D1170" s="864"/>
      <c r="E1170" s="864"/>
      <c r="F1170" s="864"/>
      <c r="G1170" s="864"/>
    </row>
    <row r="1171" spans="1:7" hidden="1">
      <c r="A1171" s="864"/>
      <c r="B1171" s="864"/>
      <c r="C1171" s="864"/>
      <c r="D1171" s="864"/>
      <c r="E1171" s="864"/>
      <c r="F1171" s="864"/>
      <c r="G1171" s="864"/>
    </row>
    <row r="1172" spans="1:7" hidden="1">
      <c r="A1172" s="864"/>
      <c r="B1172" s="864"/>
      <c r="C1172" s="864"/>
      <c r="D1172" s="864"/>
      <c r="E1172" s="864"/>
      <c r="F1172" s="864"/>
      <c r="G1172" s="864"/>
    </row>
    <row r="1173" spans="1:7" hidden="1">
      <c r="A1173" s="864"/>
      <c r="B1173" s="864"/>
      <c r="C1173" s="864"/>
      <c r="D1173" s="864"/>
      <c r="E1173" s="864"/>
      <c r="F1173" s="864"/>
      <c r="G1173" s="864"/>
    </row>
    <row r="1174" spans="1:7" hidden="1">
      <c r="A1174" s="864"/>
      <c r="B1174" s="864"/>
      <c r="C1174" s="864"/>
      <c r="D1174" s="864"/>
      <c r="E1174" s="864"/>
      <c r="F1174" s="864"/>
      <c r="G1174" s="864"/>
    </row>
    <row r="1175" spans="1:7" hidden="1">
      <c r="A1175" s="864"/>
      <c r="B1175" s="864"/>
      <c r="C1175" s="864"/>
      <c r="D1175" s="864"/>
      <c r="E1175" s="864"/>
      <c r="F1175" s="864"/>
      <c r="G1175" s="864"/>
    </row>
    <row r="1176" spans="1:7" hidden="1">
      <c r="A1176" s="864"/>
      <c r="B1176" s="864"/>
      <c r="C1176" s="864"/>
      <c r="D1176" s="864"/>
      <c r="E1176" s="864"/>
      <c r="F1176" s="864"/>
      <c r="G1176" s="864"/>
    </row>
    <row r="1177" spans="1:7" hidden="1">
      <c r="A1177" s="864"/>
      <c r="B1177" s="864"/>
      <c r="C1177" s="864"/>
      <c r="D1177" s="864"/>
      <c r="E1177" s="864"/>
      <c r="F1177" s="864"/>
      <c r="G1177" s="864"/>
    </row>
    <row r="1178" spans="1:7" hidden="1">
      <c r="A1178" s="864"/>
      <c r="B1178" s="864"/>
      <c r="C1178" s="864"/>
      <c r="D1178" s="864"/>
      <c r="E1178" s="864"/>
      <c r="F1178" s="864"/>
      <c r="G1178" s="864"/>
    </row>
    <row r="1179" spans="1:7" hidden="1">
      <c r="A1179" s="864"/>
      <c r="B1179" s="864"/>
      <c r="C1179" s="864"/>
      <c r="D1179" s="864"/>
      <c r="E1179" s="864"/>
      <c r="F1179" s="864"/>
      <c r="G1179" s="864"/>
    </row>
    <row r="1180" spans="1:7" hidden="1">
      <c r="A1180" s="864"/>
      <c r="B1180" s="864"/>
      <c r="C1180" s="864"/>
      <c r="D1180" s="864"/>
      <c r="E1180" s="864"/>
      <c r="F1180" s="864"/>
      <c r="G1180" s="864"/>
    </row>
    <row r="1181" spans="1:7" hidden="1">
      <c r="A1181" s="864"/>
      <c r="B1181" s="864"/>
      <c r="C1181" s="864"/>
      <c r="D1181" s="864"/>
      <c r="E1181" s="864"/>
      <c r="F1181" s="864"/>
      <c r="G1181" s="864"/>
    </row>
    <row r="1182" spans="1:7" hidden="1">
      <c r="A1182" s="864"/>
      <c r="B1182" s="864"/>
      <c r="C1182" s="864"/>
      <c r="D1182" s="864"/>
      <c r="E1182" s="864"/>
      <c r="F1182" s="864"/>
      <c r="G1182" s="864"/>
    </row>
    <row r="1183" spans="1:7" hidden="1">
      <c r="A1183" s="864"/>
      <c r="B1183" s="864"/>
      <c r="C1183" s="864"/>
      <c r="D1183" s="864"/>
      <c r="E1183" s="864"/>
      <c r="F1183" s="864"/>
      <c r="G1183" s="864"/>
    </row>
    <row r="1184" spans="1:7" hidden="1">
      <c r="A1184" s="864"/>
      <c r="B1184" s="864"/>
      <c r="C1184" s="864"/>
      <c r="D1184" s="864"/>
      <c r="E1184" s="864"/>
      <c r="F1184" s="864"/>
      <c r="G1184" s="864"/>
    </row>
    <row r="1185" spans="1:7" hidden="1">
      <c r="A1185" s="864"/>
      <c r="B1185" s="864"/>
      <c r="C1185" s="864"/>
      <c r="D1185" s="864"/>
      <c r="E1185" s="864"/>
      <c r="F1185" s="864"/>
      <c r="G1185" s="864"/>
    </row>
    <row r="1186" spans="1:7" hidden="1">
      <c r="A1186" s="864"/>
      <c r="B1186" s="864"/>
      <c r="C1186" s="864"/>
      <c r="D1186" s="864"/>
      <c r="E1186" s="864"/>
      <c r="F1186" s="864"/>
      <c r="G1186" s="864"/>
    </row>
    <row r="1187" spans="1:7" hidden="1">
      <c r="A1187" s="864"/>
      <c r="B1187" s="864"/>
      <c r="C1187" s="864"/>
      <c r="D1187" s="864"/>
      <c r="E1187" s="864"/>
      <c r="F1187" s="864"/>
      <c r="G1187" s="864"/>
    </row>
    <row r="1188" spans="1:7" hidden="1">
      <c r="A1188" s="864"/>
      <c r="B1188" s="864"/>
      <c r="C1188" s="864"/>
      <c r="D1188" s="864"/>
      <c r="E1188" s="864"/>
      <c r="F1188" s="864"/>
      <c r="G1188" s="864"/>
    </row>
    <row r="1189" spans="1:7" hidden="1">
      <c r="A1189" s="864"/>
      <c r="B1189" s="864"/>
      <c r="C1189" s="864"/>
      <c r="D1189" s="864"/>
      <c r="E1189" s="864"/>
      <c r="F1189" s="864"/>
      <c r="G1189" s="864"/>
    </row>
    <row r="1190" spans="1:7" hidden="1">
      <c r="A1190" s="864"/>
      <c r="B1190" s="864"/>
      <c r="C1190" s="864"/>
      <c r="D1190" s="864"/>
      <c r="E1190" s="864"/>
      <c r="F1190" s="864"/>
      <c r="G1190" s="864"/>
    </row>
    <row r="1191" spans="1:7" hidden="1">
      <c r="A1191" s="864"/>
      <c r="B1191" s="864"/>
      <c r="C1191" s="864"/>
      <c r="D1191" s="864"/>
      <c r="E1191" s="864"/>
      <c r="F1191" s="864"/>
      <c r="G1191" s="864"/>
    </row>
    <row r="1192" spans="1:7" hidden="1">
      <c r="A1192" s="864"/>
      <c r="B1192" s="864"/>
      <c r="C1192" s="864"/>
      <c r="D1192" s="864"/>
      <c r="E1192" s="864"/>
      <c r="F1192" s="864"/>
      <c r="G1192" s="864"/>
    </row>
    <row r="1193" spans="1:7" hidden="1">
      <c r="A1193" s="864"/>
      <c r="B1193" s="864"/>
      <c r="C1193" s="864"/>
      <c r="D1193" s="864"/>
      <c r="E1193" s="864"/>
      <c r="F1193" s="864"/>
      <c r="G1193" s="864"/>
    </row>
    <row r="1194" spans="1:7" hidden="1">
      <c r="A1194" s="864"/>
      <c r="B1194" s="864"/>
      <c r="C1194" s="864"/>
      <c r="D1194" s="864"/>
      <c r="E1194" s="864"/>
      <c r="F1194" s="864"/>
      <c r="G1194" s="864"/>
    </row>
    <row r="1195" spans="1:7" hidden="1">
      <c r="A1195" s="864"/>
      <c r="B1195" s="864"/>
      <c r="C1195" s="864"/>
      <c r="D1195" s="864"/>
      <c r="E1195" s="864"/>
      <c r="F1195" s="864"/>
      <c r="G1195" s="864"/>
    </row>
    <row r="1196" spans="1:7" hidden="1">
      <c r="A1196" s="864"/>
      <c r="B1196" s="864"/>
      <c r="C1196" s="864"/>
      <c r="D1196" s="864"/>
      <c r="E1196" s="864"/>
      <c r="F1196" s="864"/>
      <c r="G1196" s="864"/>
    </row>
    <row r="1197" spans="1:7" hidden="1">
      <c r="A1197" s="864"/>
      <c r="B1197" s="864"/>
      <c r="C1197" s="864"/>
      <c r="D1197" s="864"/>
      <c r="E1197" s="864"/>
      <c r="F1197" s="864"/>
      <c r="G1197" s="864"/>
    </row>
    <row r="1198" spans="1:7" hidden="1">
      <c r="A1198" s="864"/>
      <c r="B1198" s="864"/>
      <c r="C1198" s="864"/>
      <c r="D1198" s="864"/>
      <c r="E1198" s="864"/>
      <c r="F1198" s="864"/>
      <c r="G1198" s="864"/>
    </row>
    <row r="1199" spans="1:7" hidden="1">
      <c r="A1199" s="864"/>
      <c r="B1199" s="864"/>
      <c r="C1199" s="864"/>
      <c r="D1199" s="864"/>
      <c r="E1199" s="864"/>
      <c r="F1199" s="864"/>
      <c r="G1199" s="864"/>
    </row>
    <row r="1200" spans="1:7" hidden="1">
      <c r="A1200" s="864"/>
      <c r="B1200" s="864"/>
      <c r="C1200" s="864"/>
      <c r="D1200" s="864"/>
      <c r="E1200" s="864"/>
      <c r="F1200" s="864"/>
      <c r="G1200" s="864"/>
    </row>
    <row r="1201" spans="1:7" hidden="1">
      <c r="A1201" s="864"/>
      <c r="B1201" s="864"/>
      <c r="C1201" s="864"/>
      <c r="D1201" s="864"/>
      <c r="E1201" s="864"/>
      <c r="F1201" s="864"/>
      <c r="G1201" s="864"/>
    </row>
    <row r="1202" spans="1:7" hidden="1">
      <c r="A1202" s="864"/>
      <c r="B1202" s="864"/>
      <c r="C1202" s="864"/>
      <c r="D1202" s="864"/>
      <c r="E1202" s="864"/>
      <c r="F1202" s="864"/>
      <c r="G1202" s="864"/>
    </row>
    <row r="1203" spans="1:7" hidden="1">
      <c r="A1203" s="864"/>
      <c r="B1203" s="864"/>
      <c r="C1203" s="864"/>
      <c r="D1203" s="864"/>
      <c r="E1203" s="864"/>
      <c r="F1203" s="864"/>
      <c r="G1203" s="864"/>
    </row>
    <row r="1204" spans="1:7" hidden="1">
      <c r="A1204" s="864"/>
      <c r="B1204" s="864"/>
      <c r="C1204" s="864"/>
      <c r="D1204" s="864"/>
      <c r="E1204" s="864"/>
      <c r="F1204" s="864"/>
      <c r="G1204" s="864"/>
    </row>
    <row r="1205" spans="1:7" hidden="1">
      <c r="A1205" s="864"/>
      <c r="B1205" s="864"/>
      <c r="C1205" s="864"/>
      <c r="D1205" s="864"/>
      <c r="E1205" s="864"/>
      <c r="F1205" s="864"/>
      <c r="G1205" s="864"/>
    </row>
    <row r="1206" spans="1:7" hidden="1">
      <c r="A1206" s="864"/>
      <c r="B1206" s="864"/>
      <c r="C1206" s="864"/>
      <c r="D1206" s="864"/>
      <c r="E1206" s="864"/>
      <c r="F1206" s="864"/>
      <c r="G1206" s="864"/>
    </row>
    <row r="1207" spans="1:7" hidden="1">
      <c r="A1207" s="864"/>
      <c r="B1207" s="864"/>
      <c r="C1207" s="864"/>
      <c r="D1207" s="864"/>
      <c r="E1207" s="864"/>
      <c r="F1207" s="864"/>
      <c r="G1207" s="864"/>
    </row>
    <row r="1208" spans="1:7" hidden="1">
      <c r="A1208" s="864"/>
      <c r="B1208" s="864"/>
      <c r="C1208" s="864"/>
      <c r="D1208" s="864"/>
      <c r="E1208" s="864"/>
      <c r="F1208" s="864"/>
      <c r="G1208" s="864"/>
    </row>
    <row r="1209" spans="1:7" hidden="1">
      <c r="A1209" s="864"/>
      <c r="B1209" s="864"/>
      <c r="C1209" s="864"/>
      <c r="D1209" s="864"/>
      <c r="E1209" s="864"/>
      <c r="F1209" s="864"/>
      <c r="G1209" s="864"/>
    </row>
    <row r="1210" spans="1:7" hidden="1">
      <c r="A1210" s="864"/>
      <c r="B1210" s="864"/>
      <c r="C1210" s="864"/>
      <c r="D1210" s="864"/>
      <c r="E1210" s="864"/>
      <c r="F1210" s="864"/>
      <c r="G1210" s="864"/>
    </row>
    <row r="1211" spans="1:7" hidden="1">
      <c r="A1211" s="864"/>
      <c r="B1211" s="864"/>
      <c r="C1211" s="864"/>
      <c r="D1211" s="864"/>
      <c r="E1211" s="864"/>
      <c r="F1211" s="864"/>
      <c r="G1211" s="864"/>
    </row>
    <row r="1212" spans="1:7" hidden="1">
      <c r="A1212" s="864"/>
      <c r="B1212" s="864"/>
      <c r="C1212" s="864"/>
      <c r="D1212" s="864"/>
      <c r="E1212" s="864"/>
      <c r="F1212" s="864"/>
      <c r="G1212" s="864"/>
    </row>
    <row r="1213" spans="1:7" hidden="1">
      <c r="A1213" s="864"/>
      <c r="B1213" s="864"/>
      <c r="C1213" s="864"/>
      <c r="D1213" s="864"/>
      <c r="E1213" s="864"/>
      <c r="F1213" s="864"/>
      <c r="G1213" s="864"/>
    </row>
    <row r="1214" spans="1:7" hidden="1">
      <c r="A1214" s="864"/>
      <c r="B1214" s="864"/>
      <c r="C1214" s="864"/>
      <c r="D1214" s="864"/>
      <c r="E1214" s="864"/>
      <c r="F1214" s="864"/>
      <c r="G1214" s="864"/>
    </row>
    <row r="1215" spans="1:7" hidden="1">
      <c r="A1215" s="864"/>
      <c r="B1215" s="864"/>
      <c r="C1215" s="864"/>
      <c r="D1215" s="864"/>
      <c r="E1215" s="864"/>
      <c r="F1215" s="864"/>
      <c r="G1215" s="864"/>
    </row>
    <row r="1216" spans="1:7" hidden="1">
      <c r="A1216" s="864"/>
      <c r="B1216" s="864"/>
      <c r="C1216" s="864"/>
      <c r="D1216" s="864"/>
      <c r="E1216" s="864"/>
      <c r="F1216" s="864"/>
      <c r="G1216" s="864"/>
    </row>
    <row r="1217" spans="1:7" hidden="1">
      <c r="A1217" s="864"/>
      <c r="B1217" s="864"/>
      <c r="C1217" s="864"/>
      <c r="D1217" s="864"/>
      <c r="E1217" s="864"/>
      <c r="F1217" s="864"/>
      <c r="G1217" s="864"/>
    </row>
    <row r="1218" spans="1:7" hidden="1">
      <c r="A1218" s="864"/>
      <c r="B1218" s="864"/>
      <c r="C1218" s="864"/>
      <c r="D1218" s="864"/>
      <c r="E1218" s="864"/>
      <c r="F1218" s="864"/>
      <c r="G1218" s="864"/>
    </row>
    <row r="1219" spans="1:7" hidden="1">
      <c r="A1219" s="864"/>
      <c r="B1219" s="864"/>
      <c r="C1219" s="864"/>
      <c r="D1219" s="864"/>
      <c r="E1219" s="864"/>
      <c r="F1219" s="864"/>
      <c r="G1219" s="864"/>
    </row>
    <row r="1220" spans="1:7" hidden="1">
      <c r="A1220" s="864"/>
      <c r="B1220" s="864"/>
      <c r="C1220" s="864"/>
      <c r="D1220" s="864"/>
      <c r="E1220" s="864"/>
      <c r="F1220" s="864"/>
      <c r="G1220" s="864"/>
    </row>
    <row r="1221" spans="1:7" hidden="1">
      <c r="A1221" s="864"/>
      <c r="B1221" s="864"/>
      <c r="C1221" s="864"/>
      <c r="D1221" s="864"/>
      <c r="E1221" s="864"/>
      <c r="F1221" s="864"/>
      <c r="G1221" s="864"/>
    </row>
    <row r="1222" spans="1:7" hidden="1">
      <c r="A1222" s="864"/>
      <c r="B1222" s="864"/>
      <c r="C1222" s="864"/>
      <c r="D1222" s="864"/>
      <c r="E1222" s="864"/>
      <c r="F1222" s="864"/>
      <c r="G1222" s="864"/>
    </row>
    <row r="1223" spans="1:7" hidden="1">
      <c r="A1223" s="864"/>
      <c r="B1223" s="864"/>
      <c r="C1223" s="864"/>
      <c r="D1223" s="864"/>
      <c r="E1223" s="864"/>
      <c r="F1223" s="864"/>
      <c r="G1223" s="864"/>
    </row>
    <row r="1224" spans="1:7" hidden="1">
      <c r="A1224" s="864"/>
      <c r="B1224" s="864"/>
      <c r="C1224" s="864"/>
      <c r="D1224" s="864"/>
      <c r="E1224" s="864"/>
      <c r="F1224" s="864"/>
      <c r="G1224" s="864"/>
    </row>
    <row r="1225" spans="1:7" hidden="1">
      <c r="A1225" s="864"/>
      <c r="B1225" s="864"/>
      <c r="C1225" s="864"/>
      <c r="D1225" s="864"/>
      <c r="E1225" s="864"/>
      <c r="F1225" s="864"/>
      <c r="G1225" s="864"/>
    </row>
    <row r="1226" spans="1:7" hidden="1">
      <c r="A1226" s="864"/>
      <c r="B1226" s="864"/>
      <c r="C1226" s="864"/>
      <c r="D1226" s="864"/>
      <c r="E1226" s="864"/>
      <c r="F1226" s="864"/>
      <c r="G1226" s="864"/>
    </row>
    <row r="1227" spans="1:7" hidden="1">
      <c r="A1227" s="864"/>
      <c r="B1227" s="864"/>
      <c r="C1227" s="864"/>
      <c r="D1227" s="864"/>
      <c r="E1227" s="864"/>
      <c r="F1227" s="864"/>
      <c r="G1227" s="864"/>
    </row>
    <row r="1228" spans="1:7" hidden="1">
      <c r="A1228" s="864"/>
      <c r="B1228" s="864"/>
      <c r="C1228" s="864"/>
      <c r="D1228" s="864"/>
      <c r="E1228" s="864"/>
      <c r="F1228" s="864"/>
      <c r="G1228" s="864"/>
    </row>
    <row r="1229" spans="1:7" hidden="1">
      <c r="A1229" s="864"/>
      <c r="B1229" s="864"/>
      <c r="C1229" s="864"/>
      <c r="D1229" s="864"/>
      <c r="E1229" s="864"/>
      <c r="F1229" s="864"/>
      <c r="G1229" s="864"/>
    </row>
    <row r="1230" spans="1:7" hidden="1">
      <c r="A1230" s="864"/>
      <c r="B1230" s="864"/>
      <c r="C1230" s="864"/>
      <c r="D1230" s="864"/>
      <c r="E1230" s="864"/>
      <c r="F1230" s="864"/>
      <c r="G1230" s="864"/>
    </row>
    <row r="1231" spans="1:7" hidden="1">
      <c r="A1231" s="864"/>
      <c r="B1231" s="864"/>
      <c r="C1231" s="864"/>
      <c r="D1231" s="864"/>
      <c r="E1231" s="864"/>
      <c r="F1231" s="864"/>
      <c r="G1231" s="864"/>
    </row>
    <row r="1232" spans="1:7" hidden="1">
      <c r="A1232" s="864"/>
      <c r="B1232" s="864"/>
      <c r="C1232" s="864"/>
      <c r="D1232" s="864"/>
      <c r="E1232" s="864"/>
      <c r="F1232" s="864"/>
      <c r="G1232" s="864"/>
    </row>
    <row r="1233" spans="1:7" hidden="1">
      <c r="A1233" s="864"/>
      <c r="B1233" s="864"/>
      <c r="C1233" s="864"/>
      <c r="D1233" s="864"/>
      <c r="E1233" s="864"/>
      <c r="F1233" s="864"/>
      <c r="G1233" s="864"/>
    </row>
    <row r="1234" spans="1:7" hidden="1">
      <c r="A1234" s="864"/>
      <c r="B1234" s="864"/>
      <c r="C1234" s="864"/>
      <c r="D1234" s="864"/>
      <c r="E1234" s="864"/>
      <c r="F1234" s="864"/>
      <c r="G1234" s="864"/>
    </row>
    <row r="1235" spans="1:7" hidden="1">
      <c r="A1235" s="864"/>
      <c r="B1235" s="864"/>
      <c r="C1235" s="864"/>
      <c r="D1235" s="864"/>
      <c r="E1235" s="864"/>
      <c r="F1235" s="864"/>
      <c r="G1235" s="864"/>
    </row>
    <row r="1236" spans="1:7" hidden="1">
      <c r="A1236" s="864"/>
      <c r="B1236" s="864"/>
      <c r="C1236" s="864"/>
      <c r="D1236" s="864"/>
      <c r="E1236" s="864"/>
      <c r="F1236" s="864"/>
      <c r="G1236" s="864"/>
    </row>
    <row r="1237" spans="1:7" hidden="1">
      <c r="A1237" s="864"/>
      <c r="B1237" s="864"/>
      <c r="C1237" s="864"/>
      <c r="D1237" s="864"/>
      <c r="E1237" s="864"/>
      <c r="F1237" s="864"/>
      <c r="G1237" s="864"/>
    </row>
    <row r="1238" spans="1:7" hidden="1">
      <c r="A1238" s="864"/>
      <c r="B1238" s="864"/>
      <c r="C1238" s="864"/>
      <c r="D1238" s="864"/>
      <c r="E1238" s="864"/>
      <c r="F1238" s="864"/>
      <c r="G1238" s="864"/>
    </row>
    <row r="1239" spans="1:7" hidden="1">
      <c r="A1239" s="864"/>
      <c r="B1239" s="864"/>
      <c r="C1239" s="864"/>
      <c r="D1239" s="864"/>
      <c r="E1239" s="864"/>
      <c r="F1239" s="864"/>
      <c r="G1239" s="864"/>
    </row>
    <row r="1240" spans="1:7" hidden="1">
      <c r="A1240" s="864"/>
      <c r="B1240" s="864"/>
      <c r="C1240" s="864"/>
      <c r="D1240" s="864"/>
      <c r="E1240" s="864"/>
      <c r="F1240" s="864"/>
      <c r="G1240" s="864"/>
    </row>
    <row r="1241" spans="1:7" hidden="1">
      <c r="A1241" s="864"/>
      <c r="B1241" s="864"/>
      <c r="C1241" s="864"/>
      <c r="D1241" s="864"/>
      <c r="E1241" s="864"/>
      <c r="F1241" s="864"/>
      <c r="G1241" s="864"/>
    </row>
    <row r="1242" spans="1:7" hidden="1">
      <c r="A1242" s="864"/>
      <c r="B1242" s="864"/>
      <c r="C1242" s="864"/>
      <c r="D1242" s="864"/>
      <c r="E1242" s="864"/>
      <c r="F1242" s="864"/>
      <c r="G1242" s="864"/>
    </row>
    <row r="1243" spans="1:7" hidden="1">
      <c r="A1243" s="864"/>
      <c r="B1243" s="864"/>
      <c r="C1243" s="864"/>
      <c r="D1243" s="864"/>
      <c r="E1243" s="864"/>
      <c r="F1243" s="864"/>
      <c r="G1243" s="864"/>
    </row>
    <row r="1244" spans="1:7" hidden="1">
      <c r="A1244" s="864"/>
      <c r="B1244" s="864"/>
      <c r="C1244" s="864"/>
      <c r="D1244" s="864"/>
      <c r="E1244" s="864"/>
      <c r="F1244" s="864"/>
      <c r="G1244" s="864"/>
    </row>
    <row r="1245" spans="1:7" hidden="1">
      <c r="A1245" s="864"/>
      <c r="B1245" s="864"/>
      <c r="C1245" s="864"/>
      <c r="D1245" s="864"/>
      <c r="E1245" s="864"/>
      <c r="F1245" s="864"/>
      <c r="G1245" s="864"/>
    </row>
    <row r="1246" spans="1:7" hidden="1">
      <c r="A1246" s="864"/>
      <c r="B1246" s="864"/>
      <c r="C1246" s="864"/>
      <c r="D1246" s="864"/>
      <c r="E1246" s="864"/>
      <c r="F1246" s="864"/>
      <c r="G1246" s="864"/>
    </row>
    <row r="1247" spans="1:7" hidden="1">
      <c r="A1247" s="864"/>
      <c r="B1247" s="864"/>
      <c r="C1247" s="864"/>
      <c r="D1247" s="864"/>
      <c r="E1247" s="864"/>
      <c r="F1247" s="864"/>
      <c r="G1247" s="864"/>
    </row>
    <row r="1248" spans="1:7" hidden="1">
      <c r="A1248" s="864"/>
      <c r="B1248" s="864"/>
      <c r="C1248" s="864"/>
      <c r="D1248" s="864"/>
      <c r="E1248" s="864"/>
      <c r="F1248" s="864"/>
      <c r="G1248" s="864"/>
    </row>
    <row r="1249" spans="1:7" hidden="1">
      <c r="A1249" s="864"/>
      <c r="B1249" s="864"/>
      <c r="C1249" s="864"/>
      <c r="D1249" s="864"/>
      <c r="E1249" s="864"/>
      <c r="F1249" s="864"/>
      <c r="G1249" s="864"/>
    </row>
    <row r="1250" spans="1:7" hidden="1">
      <c r="A1250" s="864"/>
      <c r="B1250" s="864"/>
      <c r="C1250" s="864"/>
      <c r="D1250" s="864"/>
      <c r="E1250" s="864"/>
      <c r="F1250" s="864"/>
      <c r="G1250" s="864"/>
    </row>
    <row r="1251" spans="1:7" hidden="1">
      <c r="A1251" s="864"/>
      <c r="B1251" s="864"/>
      <c r="C1251" s="864"/>
      <c r="D1251" s="864"/>
      <c r="E1251" s="864"/>
      <c r="F1251" s="864"/>
      <c r="G1251" s="864"/>
    </row>
    <row r="1252" spans="1:7" hidden="1">
      <c r="A1252" s="864"/>
      <c r="B1252" s="864"/>
      <c r="C1252" s="864"/>
      <c r="D1252" s="864"/>
      <c r="E1252" s="864"/>
      <c r="F1252" s="864"/>
      <c r="G1252" s="864"/>
    </row>
    <row r="1253" spans="1:7" hidden="1">
      <c r="A1253" s="864"/>
      <c r="B1253" s="864"/>
      <c r="C1253" s="864"/>
      <c r="D1253" s="864"/>
      <c r="E1253" s="864"/>
      <c r="F1253" s="864"/>
      <c r="G1253" s="864"/>
    </row>
    <row r="1254" spans="1:7" hidden="1">
      <c r="A1254" s="864"/>
      <c r="B1254" s="864"/>
      <c r="C1254" s="864"/>
      <c r="D1254" s="864"/>
      <c r="E1254" s="864"/>
      <c r="F1254" s="864"/>
      <c r="G1254" s="864"/>
    </row>
    <row r="1255" spans="1:7" hidden="1">
      <c r="A1255" s="864"/>
      <c r="B1255" s="864"/>
      <c r="C1255" s="864"/>
      <c r="D1255" s="864"/>
      <c r="E1255" s="864"/>
      <c r="F1255" s="864"/>
      <c r="G1255" s="864"/>
    </row>
    <row r="1256" spans="1:7" hidden="1">
      <c r="A1256" s="864"/>
      <c r="B1256" s="864"/>
      <c r="C1256" s="864"/>
      <c r="D1256" s="864"/>
      <c r="E1256" s="864"/>
      <c r="F1256" s="864"/>
      <c r="G1256" s="864"/>
    </row>
    <row r="1257" spans="1:7" hidden="1">
      <c r="A1257" s="864"/>
      <c r="B1257" s="864"/>
      <c r="C1257" s="864"/>
      <c r="D1257" s="864"/>
      <c r="E1257" s="864"/>
      <c r="F1257" s="864"/>
      <c r="G1257" s="864"/>
    </row>
    <row r="1258" spans="1:7" hidden="1">
      <c r="A1258" s="864"/>
      <c r="B1258" s="864"/>
      <c r="C1258" s="864"/>
      <c r="D1258" s="864"/>
      <c r="E1258" s="864"/>
      <c r="F1258" s="864"/>
      <c r="G1258" s="864"/>
    </row>
    <row r="1259" spans="1:7" hidden="1">
      <c r="A1259" s="864"/>
      <c r="B1259" s="864"/>
      <c r="C1259" s="864"/>
      <c r="D1259" s="864"/>
      <c r="E1259" s="864"/>
      <c r="F1259" s="864"/>
      <c r="G1259" s="864"/>
    </row>
    <row r="1260" spans="1:7" hidden="1">
      <c r="A1260" s="864"/>
      <c r="B1260" s="864"/>
      <c r="C1260" s="864"/>
      <c r="D1260" s="864"/>
      <c r="E1260" s="864"/>
      <c r="F1260" s="864"/>
      <c r="G1260" s="864"/>
    </row>
    <row r="1261" spans="1:7" hidden="1">
      <c r="A1261" s="864"/>
      <c r="B1261" s="864"/>
      <c r="C1261" s="864"/>
      <c r="D1261" s="864"/>
      <c r="E1261" s="864"/>
      <c r="F1261" s="864"/>
      <c r="G1261" s="864"/>
    </row>
    <row r="1262" spans="1:7" hidden="1">
      <c r="A1262" s="864"/>
      <c r="B1262" s="864"/>
      <c r="C1262" s="864"/>
      <c r="D1262" s="864"/>
      <c r="E1262" s="864"/>
      <c r="F1262" s="864"/>
      <c r="G1262" s="864"/>
    </row>
    <row r="1263" spans="1:7" hidden="1">
      <c r="A1263" s="864"/>
      <c r="B1263" s="864"/>
      <c r="C1263" s="864"/>
      <c r="D1263" s="864"/>
      <c r="E1263" s="864"/>
      <c r="F1263" s="864"/>
      <c r="G1263" s="864"/>
    </row>
    <row r="1264" spans="1:7" hidden="1">
      <c r="A1264" s="864"/>
      <c r="B1264" s="864"/>
      <c r="C1264" s="864"/>
      <c r="D1264" s="864"/>
      <c r="E1264" s="864"/>
      <c r="F1264" s="864"/>
      <c r="G1264" s="864"/>
    </row>
    <row r="1265" spans="1:7" hidden="1">
      <c r="A1265" s="864"/>
      <c r="B1265" s="864"/>
      <c r="C1265" s="864"/>
      <c r="D1265" s="864"/>
      <c r="E1265" s="864"/>
      <c r="F1265" s="864"/>
      <c r="G1265" s="864"/>
    </row>
    <row r="1266" spans="1:7" hidden="1">
      <c r="A1266" s="864"/>
      <c r="B1266" s="864"/>
      <c r="C1266" s="864"/>
      <c r="D1266" s="864"/>
      <c r="E1266" s="864"/>
      <c r="F1266" s="864"/>
      <c r="G1266" s="864"/>
    </row>
    <row r="1267" spans="1:7" hidden="1">
      <c r="A1267" s="864"/>
      <c r="B1267" s="864"/>
      <c r="C1267" s="864"/>
      <c r="D1267" s="864"/>
      <c r="E1267" s="864"/>
      <c r="F1267" s="864"/>
      <c r="G1267" s="864"/>
    </row>
    <row r="1268" spans="1:7" hidden="1">
      <c r="A1268" s="864"/>
      <c r="B1268" s="864"/>
      <c r="C1268" s="864"/>
      <c r="D1268" s="864"/>
      <c r="E1268" s="864"/>
      <c r="F1268" s="864"/>
      <c r="G1268" s="864"/>
    </row>
    <row r="1269" spans="1:7" hidden="1">
      <c r="A1269" s="864"/>
      <c r="B1269" s="864"/>
      <c r="C1269" s="864"/>
      <c r="D1269" s="864"/>
      <c r="E1269" s="864"/>
      <c r="F1269" s="864"/>
      <c r="G1269" s="864"/>
    </row>
    <row r="1270" spans="1:7" hidden="1">
      <c r="A1270" s="864"/>
      <c r="B1270" s="864"/>
      <c r="C1270" s="864"/>
      <c r="D1270" s="864"/>
      <c r="E1270" s="864"/>
      <c r="F1270" s="864"/>
      <c r="G1270" s="864"/>
    </row>
    <row r="1271" spans="1:7" hidden="1">
      <c r="A1271" s="864"/>
      <c r="B1271" s="864"/>
      <c r="C1271" s="864"/>
      <c r="D1271" s="864"/>
      <c r="E1271" s="864"/>
      <c r="F1271" s="864"/>
      <c r="G1271" s="864"/>
    </row>
    <row r="1272" spans="1:7" hidden="1">
      <c r="A1272" s="864"/>
      <c r="B1272" s="864"/>
      <c r="C1272" s="864"/>
      <c r="D1272" s="864"/>
      <c r="E1272" s="864"/>
      <c r="F1272" s="864"/>
      <c r="G1272" s="864"/>
    </row>
    <row r="1273" spans="1:7" hidden="1">
      <c r="A1273" s="864"/>
      <c r="B1273" s="864"/>
      <c r="C1273" s="864"/>
      <c r="D1273" s="864"/>
      <c r="E1273" s="864"/>
      <c r="F1273" s="864"/>
      <c r="G1273" s="864"/>
    </row>
    <row r="1274" spans="1:7" hidden="1">
      <c r="A1274" s="864"/>
      <c r="B1274" s="864"/>
      <c r="C1274" s="864"/>
      <c r="D1274" s="864"/>
      <c r="E1274" s="864"/>
      <c r="F1274" s="864"/>
      <c r="G1274" s="864"/>
    </row>
    <row r="1275" spans="1:7" hidden="1">
      <c r="A1275" s="864"/>
      <c r="B1275" s="864"/>
      <c r="C1275" s="864"/>
      <c r="D1275" s="864"/>
      <c r="E1275" s="864"/>
      <c r="F1275" s="864"/>
      <c r="G1275" s="864"/>
    </row>
    <row r="1276" spans="1:7" hidden="1">
      <c r="A1276" s="864"/>
      <c r="B1276" s="864"/>
      <c r="C1276" s="864"/>
      <c r="D1276" s="864"/>
      <c r="E1276" s="864"/>
      <c r="F1276" s="864"/>
      <c r="G1276" s="864"/>
    </row>
    <row r="1277" spans="1:7" hidden="1">
      <c r="A1277" s="864"/>
      <c r="B1277" s="864"/>
      <c r="C1277" s="864"/>
      <c r="D1277" s="864"/>
      <c r="E1277" s="864"/>
      <c r="F1277" s="864"/>
      <c r="G1277" s="864"/>
    </row>
    <row r="1278" spans="1:7" hidden="1">
      <c r="A1278" s="864"/>
      <c r="B1278" s="864"/>
      <c r="C1278" s="864"/>
      <c r="D1278" s="864"/>
      <c r="E1278" s="864"/>
      <c r="F1278" s="864"/>
      <c r="G1278" s="864"/>
    </row>
    <row r="1279" spans="1:7" hidden="1">
      <c r="A1279" s="864"/>
      <c r="B1279" s="864"/>
      <c r="C1279" s="864"/>
      <c r="D1279" s="864"/>
      <c r="E1279" s="864"/>
      <c r="F1279" s="864"/>
      <c r="G1279" s="864"/>
    </row>
    <row r="1280" spans="1:7" hidden="1">
      <c r="A1280" s="864"/>
      <c r="B1280" s="864"/>
      <c r="C1280" s="864"/>
      <c r="D1280" s="864"/>
      <c r="E1280" s="864"/>
      <c r="F1280" s="864"/>
      <c r="G1280" s="864"/>
    </row>
    <row r="1281" spans="1:7" hidden="1">
      <c r="A1281" s="864"/>
      <c r="B1281" s="864"/>
      <c r="C1281" s="864"/>
      <c r="D1281" s="864"/>
      <c r="E1281" s="864"/>
      <c r="F1281" s="864"/>
      <c r="G1281" s="864"/>
    </row>
    <row r="1282" spans="1:7" hidden="1">
      <c r="A1282" s="864"/>
      <c r="B1282" s="864"/>
      <c r="C1282" s="864"/>
      <c r="D1282" s="864"/>
      <c r="E1282" s="864"/>
      <c r="F1282" s="864"/>
      <c r="G1282" s="864"/>
    </row>
    <row r="1283" spans="1:7" hidden="1">
      <c r="A1283" s="864"/>
      <c r="B1283" s="864"/>
      <c r="C1283" s="864"/>
      <c r="D1283" s="864"/>
      <c r="E1283" s="864"/>
      <c r="F1283" s="864"/>
      <c r="G1283" s="864"/>
    </row>
    <row r="1284" spans="1:7" hidden="1">
      <c r="A1284" s="864"/>
      <c r="B1284" s="864"/>
      <c r="C1284" s="864"/>
      <c r="D1284" s="864"/>
      <c r="E1284" s="864"/>
      <c r="F1284" s="864"/>
      <c r="G1284" s="864"/>
    </row>
    <row r="1285" spans="1:7" hidden="1">
      <c r="A1285" s="864"/>
      <c r="B1285" s="864"/>
      <c r="C1285" s="864"/>
      <c r="D1285" s="864"/>
      <c r="E1285" s="864"/>
      <c r="F1285" s="864"/>
      <c r="G1285" s="864"/>
    </row>
    <row r="1286" spans="1:7" hidden="1">
      <c r="A1286" s="864"/>
      <c r="B1286" s="864"/>
      <c r="C1286" s="864"/>
      <c r="D1286" s="864"/>
      <c r="E1286" s="864"/>
      <c r="F1286" s="864"/>
      <c r="G1286" s="864"/>
    </row>
    <row r="1287" spans="1:7" hidden="1">
      <c r="A1287" s="864"/>
      <c r="B1287" s="864"/>
      <c r="C1287" s="864"/>
      <c r="D1287" s="864"/>
      <c r="E1287" s="864"/>
      <c r="F1287" s="864"/>
      <c r="G1287" s="864"/>
    </row>
    <row r="1288" spans="1:7" hidden="1">
      <c r="A1288" s="864"/>
      <c r="B1288" s="864"/>
      <c r="C1288" s="864"/>
      <c r="D1288" s="864"/>
      <c r="E1288" s="864"/>
      <c r="F1288" s="864"/>
      <c r="G1288" s="864"/>
    </row>
    <row r="1289" spans="1:7" hidden="1">
      <c r="A1289" s="864"/>
      <c r="B1289" s="864"/>
      <c r="C1289" s="864"/>
      <c r="D1289" s="864"/>
      <c r="E1289" s="864"/>
      <c r="F1289" s="864"/>
      <c r="G1289" s="864"/>
    </row>
    <row r="1290" spans="1:7" hidden="1">
      <c r="A1290" s="864"/>
      <c r="B1290" s="864"/>
      <c r="C1290" s="864"/>
      <c r="D1290" s="864"/>
      <c r="E1290" s="864"/>
      <c r="F1290" s="864"/>
      <c r="G1290" s="864"/>
    </row>
    <row r="1291" spans="1:7" hidden="1">
      <c r="A1291" s="864"/>
      <c r="B1291" s="864"/>
      <c r="C1291" s="864"/>
      <c r="D1291" s="864"/>
      <c r="E1291" s="864"/>
      <c r="F1291" s="864"/>
      <c r="G1291" s="864"/>
    </row>
    <row r="1292" spans="1:7" hidden="1">
      <c r="A1292" s="864"/>
      <c r="B1292" s="864"/>
      <c r="C1292" s="864"/>
      <c r="D1292" s="864"/>
      <c r="E1292" s="864"/>
      <c r="F1292" s="864"/>
      <c r="G1292" s="864"/>
    </row>
    <row r="1293" spans="1:7" hidden="1">
      <c r="A1293" s="864"/>
      <c r="B1293" s="864"/>
      <c r="C1293" s="864"/>
      <c r="D1293" s="864"/>
      <c r="E1293" s="864"/>
      <c r="F1293" s="864"/>
      <c r="G1293" s="864"/>
    </row>
    <row r="1294" spans="1:7" hidden="1">
      <c r="A1294" s="864"/>
      <c r="B1294" s="864"/>
      <c r="C1294" s="864"/>
      <c r="D1294" s="864"/>
      <c r="E1294" s="864"/>
      <c r="F1294" s="864"/>
      <c r="G1294" s="864"/>
    </row>
    <row r="1295" spans="1:7" hidden="1">
      <c r="A1295" s="864"/>
      <c r="B1295" s="864"/>
      <c r="C1295" s="864"/>
      <c r="D1295" s="864"/>
      <c r="E1295" s="864"/>
      <c r="F1295" s="864"/>
      <c r="G1295" s="864"/>
    </row>
    <row r="1296" spans="1:7" hidden="1">
      <c r="A1296" s="864"/>
      <c r="B1296" s="864"/>
      <c r="C1296" s="864"/>
      <c r="D1296" s="864"/>
      <c r="E1296" s="864"/>
      <c r="F1296" s="864"/>
      <c r="G1296" s="864"/>
    </row>
    <row r="1297" spans="1:7" hidden="1">
      <c r="A1297" s="864"/>
      <c r="B1297" s="864"/>
      <c r="C1297" s="864"/>
      <c r="D1297" s="864"/>
      <c r="E1297" s="864"/>
      <c r="F1297" s="864"/>
      <c r="G1297" s="864"/>
    </row>
    <row r="1298" spans="1:7" hidden="1">
      <c r="A1298" s="864"/>
      <c r="B1298" s="864"/>
      <c r="C1298" s="864"/>
      <c r="D1298" s="864"/>
      <c r="E1298" s="864"/>
      <c r="F1298" s="864"/>
      <c r="G1298" s="864"/>
    </row>
    <row r="1299" spans="1:7" hidden="1">
      <c r="A1299" s="864"/>
      <c r="B1299" s="864"/>
      <c r="C1299" s="864"/>
      <c r="D1299" s="864"/>
      <c r="E1299" s="864"/>
      <c r="F1299" s="864"/>
      <c r="G1299" s="864"/>
    </row>
    <row r="1300" spans="1:7" hidden="1">
      <c r="A1300" s="864"/>
      <c r="B1300" s="864"/>
      <c r="C1300" s="864"/>
      <c r="D1300" s="864"/>
      <c r="E1300" s="864"/>
      <c r="F1300" s="864"/>
      <c r="G1300" s="864"/>
    </row>
    <row r="1301" spans="1:7" hidden="1">
      <c r="A1301" s="864"/>
      <c r="B1301" s="864"/>
      <c r="C1301" s="864"/>
      <c r="D1301" s="864"/>
      <c r="E1301" s="864"/>
      <c r="F1301" s="864"/>
      <c r="G1301" s="864"/>
    </row>
    <row r="1302" spans="1:7" hidden="1">
      <c r="A1302" s="864"/>
      <c r="B1302" s="864"/>
      <c r="C1302" s="864"/>
      <c r="D1302" s="864"/>
      <c r="E1302" s="864"/>
      <c r="F1302" s="864"/>
      <c r="G1302" s="864"/>
    </row>
    <row r="1303" spans="1:7" hidden="1">
      <c r="A1303" s="864"/>
      <c r="B1303" s="864"/>
      <c r="C1303" s="864"/>
      <c r="D1303" s="864"/>
      <c r="E1303" s="864"/>
      <c r="F1303" s="864"/>
      <c r="G1303" s="864"/>
    </row>
    <row r="1304" spans="1:7" hidden="1">
      <c r="A1304" s="864"/>
      <c r="B1304" s="864"/>
      <c r="C1304" s="864"/>
      <c r="D1304" s="864"/>
      <c r="E1304" s="864"/>
      <c r="F1304" s="864"/>
      <c r="G1304" s="864"/>
    </row>
    <row r="1305" spans="1:7" hidden="1">
      <c r="A1305" s="864"/>
      <c r="B1305" s="864"/>
      <c r="C1305" s="864"/>
      <c r="D1305" s="864"/>
      <c r="E1305" s="864"/>
      <c r="F1305" s="864"/>
      <c r="G1305" s="864"/>
    </row>
    <row r="1306" spans="1:7" hidden="1">
      <c r="A1306" s="864"/>
      <c r="B1306" s="864"/>
      <c r="C1306" s="864"/>
      <c r="D1306" s="864"/>
      <c r="E1306" s="864"/>
      <c r="F1306" s="864"/>
      <c r="G1306" s="864"/>
    </row>
    <row r="1307" spans="1:7" hidden="1">
      <c r="A1307" s="864"/>
      <c r="B1307" s="864"/>
      <c r="C1307" s="864"/>
      <c r="D1307" s="864"/>
      <c r="E1307" s="864"/>
      <c r="F1307" s="864"/>
      <c r="G1307" s="864"/>
    </row>
    <row r="1308" spans="1:7" hidden="1">
      <c r="A1308" s="864"/>
      <c r="B1308" s="864"/>
      <c r="C1308" s="864"/>
      <c r="D1308" s="864"/>
      <c r="E1308" s="864"/>
      <c r="F1308" s="864"/>
      <c r="G1308" s="864"/>
    </row>
    <row r="1309" spans="1:7" hidden="1">
      <c r="A1309" s="864"/>
      <c r="B1309" s="864"/>
      <c r="C1309" s="864"/>
      <c r="D1309" s="864"/>
      <c r="E1309" s="864"/>
      <c r="F1309" s="864"/>
      <c r="G1309" s="864"/>
    </row>
    <row r="1310" spans="1:7" hidden="1">
      <c r="A1310" s="864"/>
      <c r="B1310" s="864"/>
      <c r="C1310" s="864"/>
      <c r="D1310" s="864"/>
      <c r="E1310" s="864"/>
      <c r="F1310" s="864"/>
      <c r="G1310" s="864"/>
    </row>
    <row r="1311" spans="1:7" hidden="1">
      <c r="A1311" s="864"/>
      <c r="B1311" s="864"/>
      <c r="C1311" s="864"/>
      <c r="D1311" s="864"/>
      <c r="E1311" s="864"/>
      <c r="F1311" s="864"/>
      <c r="G1311" s="864"/>
    </row>
    <row r="1312" spans="1:7" hidden="1">
      <c r="A1312" s="864"/>
      <c r="B1312" s="864"/>
      <c r="C1312" s="864"/>
      <c r="D1312" s="864"/>
      <c r="E1312" s="864"/>
      <c r="F1312" s="864"/>
      <c r="G1312" s="864"/>
    </row>
    <row r="1313" spans="1:7" hidden="1">
      <c r="A1313" s="864"/>
      <c r="B1313" s="864"/>
      <c r="C1313" s="864"/>
      <c r="D1313" s="864"/>
      <c r="E1313" s="864"/>
      <c r="F1313" s="864"/>
      <c r="G1313" s="864"/>
    </row>
    <row r="1314" spans="1:7" hidden="1">
      <c r="A1314" s="864"/>
      <c r="B1314" s="864"/>
      <c r="C1314" s="864"/>
      <c r="D1314" s="864"/>
      <c r="E1314" s="864"/>
      <c r="F1314" s="864"/>
      <c r="G1314" s="864"/>
    </row>
    <row r="1315" spans="1:7" hidden="1">
      <c r="A1315" s="864"/>
      <c r="B1315" s="864"/>
      <c r="C1315" s="864"/>
      <c r="D1315" s="864"/>
      <c r="E1315" s="864"/>
      <c r="F1315" s="864"/>
      <c r="G1315" s="864"/>
    </row>
    <row r="1316" spans="1:7" hidden="1">
      <c r="A1316" s="864"/>
      <c r="B1316" s="864"/>
      <c r="C1316" s="864"/>
      <c r="D1316" s="864"/>
      <c r="E1316" s="864"/>
      <c r="F1316" s="864"/>
      <c r="G1316" s="864"/>
    </row>
    <row r="1317" spans="1:7" hidden="1">
      <c r="A1317" s="864"/>
      <c r="B1317" s="864"/>
      <c r="C1317" s="864"/>
      <c r="D1317" s="864"/>
      <c r="E1317" s="864"/>
      <c r="F1317" s="864"/>
      <c r="G1317" s="864"/>
    </row>
    <row r="1318" spans="1:7" hidden="1">
      <c r="A1318" s="864"/>
      <c r="B1318" s="864"/>
      <c r="C1318" s="864"/>
      <c r="D1318" s="864"/>
      <c r="E1318" s="864"/>
      <c r="F1318" s="864"/>
      <c r="G1318" s="864"/>
    </row>
    <row r="1319" spans="1:7" hidden="1">
      <c r="A1319" s="864"/>
      <c r="B1319" s="864"/>
      <c r="C1319" s="864"/>
      <c r="D1319" s="864"/>
      <c r="E1319" s="864"/>
      <c r="F1319" s="864"/>
      <c r="G1319" s="864"/>
    </row>
    <row r="1320" spans="1:7" hidden="1">
      <c r="A1320" s="864"/>
      <c r="B1320" s="864"/>
      <c r="C1320" s="864"/>
      <c r="D1320" s="864"/>
      <c r="E1320" s="864"/>
      <c r="F1320" s="864"/>
      <c r="G1320" s="864"/>
    </row>
    <row r="1321" spans="1:7" hidden="1">
      <c r="A1321" s="864"/>
      <c r="B1321" s="864"/>
      <c r="C1321" s="864"/>
      <c r="D1321" s="864"/>
      <c r="E1321" s="864"/>
      <c r="F1321" s="864"/>
      <c r="G1321" s="864"/>
    </row>
    <row r="1322" spans="1:7" hidden="1">
      <c r="A1322" s="864"/>
      <c r="B1322" s="864"/>
      <c r="C1322" s="864"/>
      <c r="D1322" s="864"/>
      <c r="E1322" s="864"/>
      <c r="F1322" s="864"/>
      <c r="G1322" s="864"/>
    </row>
    <row r="1323" spans="1:7" hidden="1">
      <c r="A1323" s="864"/>
      <c r="B1323" s="864"/>
      <c r="C1323" s="864"/>
      <c r="D1323" s="864"/>
      <c r="E1323" s="864"/>
      <c r="F1323" s="864"/>
      <c r="G1323" s="864"/>
    </row>
    <row r="1324" spans="1:7" hidden="1">
      <c r="A1324" s="864"/>
      <c r="B1324" s="864"/>
      <c r="C1324" s="864"/>
      <c r="D1324" s="864"/>
      <c r="E1324" s="864"/>
      <c r="F1324" s="864"/>
      <c r="G1324" s="864"/>
    </row>
    <row r="1325" spans="1:7" hidden="1">
      <c r="A1325" s="864"/>
      <c r="B1325" s="864"/>
      <c r="C1325" s="864"/>
      <c r="D1325" s="864"/>
      <c r="E1325" s="864"/>
      <c r="F1325" s="864"/>
      <c r="G1325" s="864"/>
    </row>
    <row r="1326" spans="1:7" hidden="1">
      <c r="A1326" s="864"/>
      <c r="B1326" s="864"/>
      <c r="C1326" s="864"/>
      <c r="D1326" s="864"/>
      <c r="E1326" s="864"/>
      <c r="F1326" s="864"/>
      <c r="G1326" s="864"/>
    </row>
    <row r="1327" spans="1:7" hidden="1">
      <c r="A1327" s="864"/>
      <c r="B1327" s="864"/>
      <c r="C1327" s="864"/>
      <c r="D1327" s="864"/>
      <c r="E1327" s="864"/>
      <c r="F1327" s="864"/>
      <c r="G1327" s="864"/>
    </row>
    <row r="1328" spans="1:7" hidden="1">
      <c r="A1328" s="864"/>
      <c r="B1328" s="864"/>
      <c r="C1328" s="864"/>
      <c r="D1328" s="864"/>
      <c r="E1328" s="864"/>
      <c r="F1328" s="864"/>
      <c r="G1328" s="864"/>
    </row>
    <row r="1329" spans="1:7" hidden="1">
      <c r="A1329" s="864"/>
      <c r="B1329" s="864"/>
      <c r="C1329" s="864"/>
      <c r="D1329" s="864"/>
      <c r="E1329" s="864"/>
      <c r="F1329" s="864"/>
      <c r="G1329" s="864"/>
    </row>
    <row r="1330" spans="1:7" hidden="1">
      <c r="A1330" s="864"/>
      <c r="B1330" s="864"/>
      <c r="C1330" s="864"/>
      <c r="D1330" s="864"/>
      <c r="E1330" s="864"/>
      <c r="F1330" s="864"/>
      <c r="G1330" s="864"/>
    </row>
    <row r="1331" spans="1:7" hidden="1"/>
    <row r="1332" spans="1:7" hidden="1"/>
    <row r="1333" spans="1:7" hidden="1"/>
    <row r="1334" spans="1:7" hidden="1"/>
    <row r="1335" spans="1:7" hidden="1"/>
    <row r="1336" spans="1:7" hidden="1"/>
    <row r="1337" spans="1:7" hidden="1"/>
    <row r="1338" spans="1:7" hidden="1">
      <c r="A1338" s="864"/>
      <c r="B1338" s="864"/>
      <c r="C1338" s="864"/>
      <c r="D1338" s="864"/>
      <c r="E1338" s="864"/>
      <c r="F1338" s="864"/>
      <c r="G1338" s="864"/>
    </row>
    <row r="1339" spans="1:7" hidden="1">
      <c r="A1339" s="864"/>
      <c r="B1339" s="864"/>
      <c r="C1339" s="864"/>
      <c r="D1339" s="864"/>
      <c r="E1339" s="864"/>
      <c r="F1339" s="864"/>
      <c r="G1339" s="864"/>
    </row>
    <row r="1340" spans="1:7" hidden="1">
      <c r="A1340" s="864"/>
      <c r="B1340" s="864"/>
      <c r="C1340" s="864"/>
      <c r="D1340" s="864"/>
      <c r="E1340" s="864"/>
      <c r="F1340" s="864"/>
      <c r="G1340" s="864"/>
    </row>
    <row r="1341" spans="1:7" hidden="1">
      <c r="A1341" s="864"/>
      <c r="B1341" s="864"/>
      <c r="C1341" s="864"/>
      <c r="D1341" s="864"/>
      <c r="E1341" s="864"/>
      <c r="F1341" s="864"/>
      <c r="G1341" s="864"/>
    </row>
    <row r="1342" spans="1:7" hidden="1">
      <c r="A1342" s="864"/>
      <c r="B1342" s="864"/>
      <c r="C1342" s="864"/>
      <c r="D1342" s="864"/>
      <c r="E1342" s="864"/>
      <c r="F1342" s="864"/>
      <c r="G1342" s="864"/>
    </row>
    <row r="1343" spans="1:7" hidden="1">
      <c r="A1343" s="864"/>
      <c r="B1343" s="864"/>
      <c r="C1343" s="864"/>
      <c r="D1343" s="864"/>
      <c r="E1343" s="864"/>
      <c r="F1343" s="864"/>
      <c r="G1343" s="864"/>
    </row>
    <row r="1344" spans="1:7" hidden="1">
      <c r="A1344" s="864"/>
      <c r="B1344" s="864"/>
      <c r="C1344" s="864"/>
      <c r="D1344" s="864"/>
      <c r="E1344" s="864"/>
      <c r="F1344" s="864"/>
      <c r="G1344" s="864"/>
    </row>
    <row r="1345" spans="1:7" hidden="1">
      <c r="A1345" s="864"/>
      <c r="B1345" s="864"/>
      <c r="C1345" s="864"/>
      <c r="D1345" s="864"/>
      <c r="E1345" s="864"/>
      <c r="F1345" s="864"/>
      <c r="G1345" s="864"/>
    </row>
    <row r="1346" spans="1:7" hidden="1">
      <c r="A1346" s="864"/>
      <c r="B1346" s="864"/>
      <c r="C1346" s="864"/>
      <c r="D1346" s="864"/>
      <c r="E1346" s="864"/>
      <c r="F1346" s="864"/>
      <c r="G1346" s="864"/>
    </row>
    <row r="1347" spans="1:7" hidden="1">
      <c r="A1347" s="864"/>
      <c r="B1347" s="864"/>
      <c r="C1347" s="864"/>
      <c r="D1347" s="864"/>
      <c r="E1347" s="864"/>
      <c r="F1347" s="864"/>
      <c r="G1347" s="864"/>
    </row>
    <row r="1348" spans="1:7" hidden="1">
      <c r="A1348" s="864"/>
      <c r="B1348" s="864"/>
      <c r="C1348" s="864"/>
      <c r="D1348" s="864"/>
      <c r="E1348" s="864"/>
      <c r="F1348" s="864"/>
      <c r="G1348" s="864"/>
    </row>
    <row r="1349" spans="1:7" hidden="1">
      <c r="A1349" s="864"/>
      <c r="B1349" s="864"/>
      <c r="C1349" s="864"/>
      <c r="D1349" s="864"/>
      <c r="E1349" s="864"/>
      <c r="F1349" s="864"/>
      <c r="G1349" s="864"/>
    </row>
    <row r="1350" spans="1:7" hidden="1">
      <c r="A1350" s="864"/>
      <c r="B1350" s="864"/>
      <c r="C1350" s="864"/>
      <c r="D1350" s="864"/>
      <c r="E1350" s="864"/>
      <c r="F1350" s="864"/>
      <c r="G1350" s="864"/>
    </row>
    <row r="1351" spans="1:7" hidden="1">
      <c r="A1351" s="864"/>
      <c r="B1351" s="864"/>
      <c r="C1351" s="864"/>
      <c r="D1351" s="864"/>
      <c r="E1351" s="864"/>
      <c r="F1351" s="864"/>
      <c r="G1351" s="864"/>
    </row>
    <row r="1352" spans="1:7" hidden="1">
      <c r="A1352" s="864"/>
      <c r="B1352" s="864"/>
      <c r="C1352" s="864"/>
      <c r="D1352" s="864"/>
      <c r="E1352" s="864"/>
      <c r="F1352" s="864"/>
      <c r="G1352" s="864"/>
    </row>
    <row r="1353" spans="1:7" hidden="1">
      <c r="A1353" s="864"/>
      <c r="B1353" s="864"/>
      <c r="C1353" s="864"/>
      <c r="D1353" s="864"/>
      <c r="E1353" s="864"/>
      <c r="F1353" s="864"/>
      <c r="G1353" s="864"/>
    </row>
    <row r="1354" spans="1:7" hidden="1">
      <c r="A1354" s="864"/>
      <c r="B1354" s="864"/>
      <c r="C1354" s="864"/>
      <c r="D1354" s="864"/>
      <c r="E1354" s="864"/>
      <c r="F1354" s="864"/>
      <c r="G1354" s="864"/>
    </row>
    <row r="1355" spans="1:7" hidden="1">
      <c r="A1355" s="864"/>
      <c r="B1355" s="864"/>
      <c r="C1355" s="864"/>
      <c r="D1355" s="864"/>
      <c r="E1355" s="864"/>
      <c r="F1355" s="864"/>
      <c r="G1355" s="864"/>
    </row>
    <row r="1356" spans="1:7" hidden="1">
      <c r="A1356" s="864"/>
      <c r="B1356" s="864"/>
      <c r="C1356" s="864"/>
      <c r="D1356" s="864"/>
      <c r="E1356" s="864"/>
      <c r="F1356" s="864"/>
      <c r="G1356" s="864"/>
    </row>
    <row r="1357" spans="1:7" hidden="1">
      <c r="A1357" s="864"/>
      <c r="B1357" s="864"/>
      <c r="C1357" s="864"/>
      <c r="D1357" s="864"/>
      <c r="E1357" s="864"/>
      <c r="F1357" s="864"/>
      <c r="G1357" s="864"/>
    </row>
    <row r="1358" spans="1:7" hidden="1">
      <c r="A1358" s="864"/>
      <c r="B1358" s="864"/>
      <c r="C1358" s="864"/>
      <c r="D1358" s="864"/>
      <c r="E1358" s="864"/>
      <c r="F1358" s="864"/>
      <c r="G1358" s="864"/>
    </row>
    <row r="1359" spans="1:7" hidden="1">
      <c r="A1359" s="864"/>
      <c r="B1359" s="864"/>
      <c r="C1359" s="864"/>
      <c r="D1359" s="864"/>
      <c r="E1359" s="864"/>
      <c r="F1359" s="864"/>
      <c r="G1359" s="864"/>
    </row>
    <row r="1360" spans="1:7" hidden="1">
      <c r="A1360" s="864"/>
      <c r="B1360" s="864"/>
      <c r="C1360" s="864"/>
      <c r="D1360" s="864"/>
      <c r="E1360" s="864"/>
      <c r="F1360" s="864"/>
      <c r="G1360" s="864"/>
    </row>
    <row r="1361" spans="1:7" hidden="1">
      <c r="A1361" s="864"/>
      <c r="B1361" s="864"/>
      <c r="C1361" s="864"/>
      <c r="D1361" s="864"/>
      <c r="E1361" s="864"/>
      <c r="F1361" s="864"/>
      <c r="G1361" s="864"/>
    </row>
    <row r="1362" spans="1:7" hidden="1">
      <c r="A1362" s="864"/>
      <c r="B1362" s="864"/>
      <c r="C1362" s="864"/>
      <c r="D1362" s="864"/>
      <c r="E1362" s="864"/>
      <c r="F1362" s="864"/>
      <c r="G1362" s="864"/>
    </row>
    <row r="1363" spans="1:7" hidden="1">
      <c r="A1363" s="864"/>
      <c r="B1363" s="864"/>
      <c r="C1363" s="864"/>
      <c r="D1363" s="864"/>
      <c r="E1363" s="864"/>
      <c r="F1363" s="864"/>
      <c r="G1363" s="864"/>
    </row>
    <row r="1364" spans="1:7" hidden="1">
      <c r="A1364" s="864"/>
      <c r="B1364" s="864"/>
      <c r="C1364" s="864"/>
      <c r="D1364" s="864"/>
      <c r="E1364" s="864"/>
      <c r="F1364" s="864"/>
      <c r="G1364" s="864"/>
    </row>
    <row r="1365" spans="1:7" hidden="1">
      <c r="A1365" s="864"/>
      <c r="B1365" s="864"/>
      <c r="C1365" s="864"/>
      <c r="D1365" s="864"/>
      <c r="E1365" s="864"/>
      <c r="F1365" s="864"/>
      <c r="G1365" s="864"/>
    </row>
    <row r="1366" spans="1:7" hidden="1">
      <c r="A1366" s="864"/>
      <c r="B1366" s="864"/>
      <c r="C1366" s="864"/>
      <c r="D1366" s="864"/>
      <c r="E1366" s="864"/>
      <c r="F1366" s="864"/>
      <c r="G1366" s="864"/>
    </row>
    <row r="1367" spans="1:7" hidden="1">
      <c r="A1367" s="864"/>
      <c r="B1367" s="864"/>
      <c r="C1367" s="864"/>
      <c r="D1367" s="864"/>
      <c r="E1367" s="864"/>
      <c r="F1367" s="864"/>
      <c r="G1367" s="864"/>
    </row>
    <row r="1368" spans="1:7" hidden="1">
      <c r="A1368" s="864"/>
      <c r="B1368" s="864"/>
      <c r="C1368" s="864"/>
      <c r="D1368" s="864"/>
      <c r="E1368" s="864"/>
      <c r="F1368" s="864"/>
      <c r="G1368" s="864"/>
    </row>
    <row r="1369" spans="1:7" hidden="1">
      <c r="A1369" s="864"/>
      <c r="B1369" s="864"/>
      <c r="C1369" s="864"/>
      <c r="D1369" s="864"/>
      <c r="E1369" s="864"/>
      <c r="F1369" s="864"/>
      <c r="G1369" s="864"/>
    </row>
    <row r="1370" spans="1:7" hidden="1">
      <c r="A1370" s="864"/>
      <c r="B1370" s="864"/>
      <c r="C1370" s="864"/>
      <c r="D1370" s="864"/>
      <c r="E1370" s="864"/>
      <c r="F1370" s="864"/>
      <c r="G1370" s="864"/>
    </row>
    <row r="1371" spans="1:7" hidden="1">
      <c r="A1371" s="864"/>
      <c r="B1371" s="864"/>
      <c r="C1371" s="864"/>
      <c r="D1371" s="864"/>
      <c r="E1371" s="864"/>
      <c r="F1371" s="864"/>
      <c r="G1371" s="864"/>
    </row>
    <row r="1372" spans="1:7" hidden="1">
      <c r="A1372" s="864"/>
      <c r="B1372" s="864"/>
      <c r="C1372" s="864"/>
      <c r="D1372" s="864"/>
      <c r="E1372" s="864"/>
      <c r="F1372" s="864"/>
      <c r="G1372" s="864"/>
    </row>
    <row r="1373" spans="1:7" hidden="1">
      <c r="A1373" s="864"/>
      <c r="B1373" s="864"/>
      <c r="C1373" s="864"/>
      <c r="D1373" s="864"/>
      <c r="E1373" s="864"/>
      <c r="F1373" s="864"/>
      <c r="G1373" s="864"/>
    </row>
    <row r="1374" spans="1:7" hidden="1">
      <c r="A1374" s="864"/>
      <c r="B1374" s="864"/>
      <c r="C1374" s="864"/>
      <c r="D1374" s="864"/>
      <c r="E1374" s="864"/>
      <c r="F1374" s="864"/>
      <c r="G1374" s="864"/>
    </row>
    <row r="1375" spans="1:7" hidden="1">
      <c r="A1375" s="864"/>
      <c r="B1375" s="864"/>
      <c r="C1375" s="864"/>
      <c r="D1375" s="864"/>
      <c r="E1375" s="864"/>
      <c r="F1375" s="864"/>
      <c r="G1375" s="864"/>
    </row>
    <row r="1376" spans="1:7" hidden="1">
      <c r="A1376" s="864"/>
      <c r="B1376" s="864"/>
      <c r="C1376" s="864"/>
      <c r="D1376" s="864"/>
      <c r="E1376" s="864"/>
      <c r="F1376" s="864"/>
      <c r="G1376" s="864"/>
    </row>
    <row r="1377" spans="1:7" hidden="1">
      <c r="A1377" s="864"/>
      <c r="B1377" s="864"/>
      <c r="C1377" s="864"/>
      <c r="D1377" s="864"/>
      <c r="E1377" s="864"/>
      <c r="F1377" s="864"/>
      <c r="G1377" s="864"/>
    </row>
    <row r="1378" spans="1:7" hidden="1">
      <c r="A1378" s="864"/>
      <c r="B1378" s="864"/>
      <c r="C1378" s="864"/>
      <c r="D1378" s="864"/>
      <c r="E1378" s="864"/>
      <c r="F1378" s="864"/>
      <c r="G1378" s="864"/>
    </row>
    <row r="1379" spans="1:7" hidden="1">
      <c r="A1379" s="864"/>
      <c r="B1379" s="864"/>
      <c r="C1379" s="864"/>
      <c r="D1379" s="864"/>
      <c r="E1379" s="864"/>
      <c r="F1379" s="864"/>
      <c r="G1379" s="864"/>
    </row>
    <row r="1380" spans="1:7" hidden="1">
      <c r="A1380" s="864"/>
      <c r="B1380" s="864"/>
      <c r="C1380" s="864"/>
      <c r="D1380" s="864"/>
      <c r="E1380" s="864"/>
      <c r="F1380" s="864"/>
      <c r="G1380" s="864"/>
    </row>
    <row r="1381" spans="1:7" hidden="1">
      <c r="A1381" s="864"/>
      <c r="B1381" s="864"/>
      <c r="C1381" s="864"/>
      <c r="D1381" s="864"/>
      <c r="E1381" s="864"/>
      <c r="F1381" s="864"/>
      <c r="G1381" s="864"/>
    </row>
    <row r="1382" spans="1:7" hidden="1">
      <c r="A1382" s="864"/>
      <c r="B1382" s="864"/>
      <c r="C1382" s="864"/>
      <c r="D1382" s="864"/>
      <c r="E1382" s="864"/>
      <c r="F1382" s="864"/>
      <c r="G1382" s="864"/>
    </row>
    <row r="1383" spans="1:7" hidden="1">
      <c r="A1383" s="864"/>
      <c r="B1383" s="864"/>
      <c r="C1383" s="864"/>
      <c r="D1383" s="864"/>
      <c r="E1383" s="864"/>
      <c r="F1383" s="864"/>
      <c r="G1383" s="864"/>
    </row>
    <row r="1384" spans="1:7" hidden="1">
      <c r="A1384" s="864"/>
      <c r="B1384" s="864"/>
      <c r="C1384" s="864"/>
      <c r="D1384" s="864"/>
      <c r="E1384" s="864"/>
      <c r="F1384" s="864"/>
      <c r="G1384" s="864"/>
    </row>
    <row r="1385" spans="1:7" hidden="1">
      <c r="A1385" s="864"/>
      <c r="B1385" s="864"/>
      <c r="C1385" s="864"/>
      <c r="D1385" s="864"/>
      <c r="E1385" s="864"/>
      <c r="F1385" s="864"/>
      <c r="G1385" s="864"/>
    </row>
    <row r="1386" spans="1:7" hidden="1">
      <c r="A1386" s="864"/>
      <c r="B1386" s="864"/>
      <c r="C1386" s="864"/>
      <c r="D1386" s="864"/>
      <c r="E1386" s="864"/>
      <c r="F1386" s="864"/>
      <c r="G1386" s="864"/>
    </row>
    <row r="1387" spans="1:7" hidden="1">
      <c r="A1387" s="864"/>
      <c r="B1387" s="864"/>
      <c r="C1387" s="864"/>
      <c r="D1387" s="864"/>
      <c r="E1387" s="864"/>
      <c r="F1387" s="864"/>
      <c r="G1387" s="864"/>
    </row>
    <row r="1388" spans="1:7" hidden="1">
      <c r="A1388" s="864"/>
      <c r="B1388" s="864"/>
      <c r="C1388" s="864"/>
      <c r="D1388" s="864"/>
      <c r="E1388" s="864"/>
      <c r="F1388" s="864"/>
      <c r="G1388" s="864"/>
    </row>
    <row r="1389" spans="1:7" hidden="1">
      <c r="A1389" s="864"/>
      <c r="B1389" s="864"/>
      <c r="C1389" s="864"/>
      <c r="D1389" s="864"/>
      <c r="E1389" s="864"/>
      <c r="F1389" s="864"/>
      <c r="G1389" s="864"/>
    </row>
    <row r="1390" spans="1:7" hidden="1">
      <c r="A1390" s="864"/>
      <c r="B1390" s="864"/>
      <c r="C1390" s="864"/>
      <c r="D1390" s="864"/>
      <c r="E1390" s="864"/>
      <c r="F1390" s="864"/>
      <c r="G1390" s="864"/>
    </row>
    <row r="1391" spans="1:7" hidden="1">
      <c r="A1391" s="864"/>
      <c r="B1391" s="864"/>
      <c r="C1391" s="864"/>
      <c r="D1391" s="864"/>
      <c r="E1391" s="864"/>
      <c r="F1391" s="864"/>
      <c r="G1391" s="864"/>
    </row>
    <row r="1392" spans="1:7" hidden="1">
      <c r="A1392" s="864"/>
      <c r="B1392" s="864"/>
      <c r="C1392" s="864"/>
      <c r="D1392" s="864"/>
      <c r="E1392" s="864"/>
      <c r="F1392" s="864"/>
      <c r="G1392" s="864"/>
    </row>
    <row r="1393" spans="1:7" hidden="1">
      <c r="A1393" s="864"/>
      <c r="B1393" s="864"/>
      <c r="C1393" s="864"/>
      <c r="D1393" s="864"/>
      <c r="E1393" s="864"/>
      <c r="F1393" s="864"/>
      <c r="G1393" s="864"/>
    </row>
    <row r="1394" spans="1:7" hidden="1">
      <c r="A1394" s="864"/>
      <c r="B1394" s="864"/>
      <c r="C1394" s="864"/>
      <c r="D1394" s="864"/>
      <c r="E1394" s="864"/>
      <c r="F1394" s="864"/>
      <c r="G1394" s="864"/>
    </row>
    <row r="1395" spans="1:7" hidden="1">
      <c r="A1395" s="864"/>
      <c r="B1395" s="864"/>
      <c r="C1395" s="864"/>
      <c r="D1395" s="864"/>
      <c r="E1395" s="864"/>
      <c r="F1395" s="864"/>
      <c r="G1395" s="864"/>
    </row>
    <row r="1396" spans="1:7" hidden="1">
      <c r="A1396" s="864"/>
      <c r="B1396" s="864"/>
      <c r="C1396" s="864"/>
      <c r="D1396" s="864"/>
      <c r="E1396" s="864"/>
      <c r="F1396" s="864"/>
      <c r="G1396" s="864"/>
    </row>
    <row r="1397" spans="1:7" hidden="1">
      <c r="A1397" s="864"/>
      <c r="B1397" s="864"/>
      <c r="C1397" s="864"/>
      <c r="D1397" s="864"/>
      <c r="E1397" s="864"/>
      <c r="F1397" s="864"/>
      <c r="G1397" s="864"/>
    </row>
    <row r="1398" spans="1:7" hidden="1">
      <c r="A1398" s="864"/>
      <c r="B1398" s="864"/>
      <c r="C1398" s="864"/>
      <c r="D1398" s="864"/>
      <c r="E1398" s="864"/>
      <c r="F1398" s="864"/>
      <c r="G1398" s="864"/>
    </row>
    <row r="1399" spans="1:7" hidden="1">
      <c r="A1399" s="864"/>
      <c r="B1399" s="864"/>
      <c r="C1399" s="864"/>
      <c r="D1399" s="864"/>
      <c r="E1399" s="864"/>
      <c r="F1399" s="864"/>
      <c r="G1399" s="864"/>
    </row>
    <row r="1400" spans="1:7" hidden="1">
      <c r="A1400" s="864"/>
      <c r="B1400" s="864"/>
      <c r="C1400" s="864"/>
      <c r="D1400" s="864"/>
      <c r="E1400" s="864"/>
      <c r="F1400" s="864"/>
      <c r="G1400" s="864"/>
    </row>
    <row r="1401" spans="1:7" hidden="1">
      <c r="A1401" s="864"/>
      <c r="B1401" s="864"/>
      <c r="C1401" s="864"/>
      <c r="D1401" s="864"/>
      <c r="E1401" s="864"/>
      <c r="F1401" s="864"/>
      <c r="G1401" s="864"/>
    </row>
    <row r="1402" spans="1:7" hidden="1">
      <c r="A1402" s="864"/>
      <c r="B1402" s="864"/>
      <c r="C1402" s="864"/>
      <c r="D1402" s="864"/>
      <c r="E1402" s="864"/>
      <c r="F1402" s="864"/>
      <c r="G1402" s="864"/>
    </row>
    <row r="1403" spans="1:7" hidden="1">
      <c r="A1403" s="864"/>
      <c r="B1403" s="864"/>
      <c r="C1403" s="864"/>
      <c r="D1403" s="864"/>
      <c r="E1403" s="864"/>
      <c r="F1403" s="864"/>
      <c r="G1403" s="864"/>
    </row>
    <row r="1404" spans="1:7" hidden="1">
      <c r="A1404" s="864"/>
      <c r="B1404" s="864"/>
      <c r="C1404" s="864"/>
      <c r="D1404" s="864"/>
      <c r="E1404" s="864"/>
      <c r="F1404" s="864"/>
      <c r="G1404" s="864"/>
    </row>
    <row r="1405" spans="1:7" hidden="1">
      <c r="A1405" s="864"/>
      <c r="B1405" s="864"/>
      <c r="C1405" s="864"/>
      <c r="D1405" s="864"/>
      <c r="E1405" s="864"/>
      <c r="F1405" s="864"/>
      <c r="G1405" s="864"/>
    </row>
    <row r="1406" spans="1:7" hidden="1">
      <c r="A1406" s="864"/>
      <c r="B1406" s="864"/>
      <c r="C1406" s="864"/>
      <c r="D1406" s="864"/>
      <c r="E1406" s="864"/>
      <c r="F1406" s="864"/>
      <c r="G1406" s="864"/>
    </row>
    <row r="1407" spans="1:7" hidden="1">
      <c r="A1407" s="864"/>
      <c r="B1407" s="864"/>
      <c r="C1407" s="864"/>
      <c r="D1407" s="864"/>
      <c r="E1407" s="864"/>
      <c r="F1407" s="864"/>
      <c r="G1407" s="864"/>
    </row>
    <row r="1408" spans="1:7" hidden="1">
      <c r="A1408" s="864"/>
      <c r="B1408" s="864"/>
      <c r="C1408" s="864"/>
      <c r="D1408" s="864"/>
      <c r="E1408" s="864"/>
      <c r="F1408" s="864"/>
      <c r="G1408" s="864"/>
    </row>
    <row r="1409" spans="1:7" hidden="1">
      <c r="A1409" s="864"/>
      <c r="B1409" s="864"/>
      <c r="C1409" s="864"/>
      <c r="D1409" s="864"/>
      <c r="E1409" s="864"/>
      <c r="F1409" s="864"/>
      <c r="G1409" s="864"/>
    </row>
    <row r="1410" spans="1:7" hidden="1">
      <c r="A1410" s="864"/>
      <c r="B1410" s="864"/>
      <c r="C1410" s="864"/>
      <c r="D1410" s="864"/>
      <c r="E1410" s="864"/>
      <c r="F1410" s="864"/>
      <c r="G1410" s="864"/>
    </row>
    <row r="1411" spans="1:7" hidden="1">
      <c r="A1411" s="864"/>
      <c r="B1411" s="864"/>
      <c r="C1411" s="864"/>
      <c r="D1411" s="864"/>
      <c r="E1411" s="864"/>
      <c r="F1411" s="864"/>
      <c r="G1411" s="864"/>
    </row>
    <row r="1412" spans="1:7" hidden="1">
      <c r="A1412" s="864"/>
      <c r="B1412" s="864"/>
      <c r="C1412" s="864"/>
      <c r="D1412" s="864"/>
      <c r="E1412" s="864"/>
      <c r="F1412" s="864"/>
      <c r="G1412" s="864"/>
    </row>
    <row r="1413" spans="1:7" hidden="1">
      <c r="A1413" s="864"/>
      <c r="B1413" s="864"/>
      <c r="C1413" s="864"/>
      <c r="D1413" s="864"/>
      <c r="E1413" s="864"/>
      <c r="F1413" s="864"/>
      <c r="G1413" s="864"/>
    </row>
    <row r="1414" spans="1:7" hidden="1">
      <c r="A1414" s="864"/>
      <c r="B1414" s="864"/>
      <c r="C1414" s="864"/>
      <c r="D1414" s="864"/>
      <c r="E1414" s="864"/>
      <c r="F1414" s="864"/>
      <c r="G1414" s="864"/>
    </row>
    <row r="1415" spans="1:7" hidden="1">
      <c r="A1415" s="864"/>
      <c r="B1415" s="864"/>
      <c r="C1415" s="864"/>
      <c r="D1415" s="864"/>
      <c r="E1415" s="864"/>
      <c r="F1415" s="864"/>
      <c r="G1415" s="864"/>
    </row>
    <row r="1416" spans="1:7" hidden="1">
      <c r="A1416" s="864"/>
      <c r="B1416" s="864"/>
      <c r="C1416" s="864"/>
      <c r="D1416" s="864"/>
      <c r="E1416" s="864"/>
      <c r="F1416" s="864"/>
      <c r="G1416" s="864"/>
    </row>
    <row r="1417" spans="1:7" hidden="1">
      <c r="A1417" s="864"/>
      <c r="B1417" s="864"/>
      <c r="C1417" s="864"/>
      <c r="D1417" s="864"/>
      <c r="E1417" s="864"/>
      <c r="F1417" s="864"/>
      <c r="G1417" s="864"/>
    </row>
    <row r="1418" spans="1:7" hidden="1">
      <c r="A1418" s="864"/>
      <c r="B1418" s="864"/>
      <c r="C1418" s="864"/>
      <c r="D1418" s="864"/>
      <c r="E1418" s="864"/>
      <c r="F1418" s="864"/>
      <c r="G1418" s="864"/>
    </row>
    <row r="1419" spans="1:7" hidden="1">
      <c r="A1419" s="864"/>
      <c r="B1419" s="864"/>
      <c r="C1419" s="864"/>
      <c r="D1419" s="864"/>
      <c r="E1419" s="864"/>
      <c r="F1419" s="864"/>
      <c r="G1419" s="864"/>
    </row>
    <row r="1420" spans="1:7" hidden="1">
      <c r="A1420" s="864"/>
      <c r="B1420" s="864"/>
      <c r="C1420" s="864"/>
      <c r="D1420" s="864"/>
      <c r="E1420" s="864"/>
      <c r="F1420" s="864"/>
      <c r="G1420" s="864"/>
    </row>
    <row r="1421" spans="1:7" hidden="1">
      <c r="A1421" s="864"/>
      <c r="B1421" s="864"/>
      <c r="C1421" s="864"/>
      <c r="D1421" s="864"/>
      <c r="E1421" s="864"/>
      <c r="F1421" s="864"/>
      <c r="G1421" s="864"/>
    </row>
    <row r="1422" spans="1:7" hidden="1">
      <c r="A1422" s="864"/>
      <c r="B1422" s="864"/>
      <c r="C1422" s="864"/>
      <c r="D1422" s="864"/>
      <c r="E1422" s="864"/>
      <c r="F1422" s="864"/>
      <c r="G1422" s="864"/>
    </row>
    <row r="1423" spans="1:7" hidden="1">
      <c r="A1423" s="864"/>
      <c r="B1423" s="864"/>
      <c r="C1423" s="864"/>
      <c r="D1423" s="864"/>
      <c r="E1423" s="864"/>
      <c r="F1423" s="864"/>
      <c r="G1423" s="864"/>
    </row>
    <row r="1424" spans="1:7" hidden="1">
      <c r="A1424" s="864"/>
      <c r="B1424" s="864"/>
      <c r="C1424" s="864"/>
      <c r="D1424" s="864"/>
      <c r="E1424" s="864"/>
      <c r="F1424" s="864"/>
      <c r="G1424" s="864"/>
    </row>
    <row r="1425" spans="1:7" hidden="1">
      <c r="A1425" s="864"/>
      <c r="B1425" s="864"/>
      <c r="C1425" s="864"/>
      <c r="D1425" s="864"/>
      <c r="E1425" s="864"/>
      <c r="F1425" s="864"/>
      <c r="G1425" s="864"/>
    </row>
    <row r="1426" spans="1:7" hidden="1">
      <c r="A1426" s="864"/>
      <c r="B1426" s="864"/>
      <c r="C1426" s="864"/>
      <c r="D1426" s="864"/>
      <c r="E1426" s="864"/>
      <c r="F1426" s="864"/>
      <c r="G1426" s="864"/>
    </row>
    <row r="1427" spans="1:7" hidden="1">
      <c r="A1427" s="864"/>
      <c r="B1427" s="864"/>
      <c r="C1427" s="864"/>
      <c r="D1427" s="864"/>
      <c r="E1427" s="864"/>
      <c r="F1427" s="864"/>
      <c r="G1427" s="864"/>
    </row>
    <row r="1428" spans="1:7" hidden="1">
      <c r="A1428" s="864"/>
      <c r="B1428" s="864"/>
      <c r="C1428" s="864"/>
      <c r="D1428" s="864"/>
      <c r="E1428" s="864"/>
      <c r="F1428" s="864"/>
      <c r="G1428" s="864"/>
    </row>
    <row r="1429" spans="1:7" hidden="1">
      <c r="A1429" s="864"/>
      <c r="B1429" s="864"/>
      <c r="C1429" s="864"/>
      <c r="D1429" s="864"/>
      <c r="E1429" s="864"/>
      <c r="F1429" s="864"/>
      <c r="G1429" s="864"/>
    </row>
    <row r="1430" spans="1:7" hidden="1">
      <c r="A1430" s="864"/>
      <c r="B1430" s="864"/>
      <c r="C1430" s="864"/>
      <c r="D1430" s="864"/>
      <c r="E1430" s="864"/>
      <c r="F1430" s="864"/>
      <c r="G1430" s="864"/>
    </row>
    <row r="1431" spans="1:7" hidden="1">
      <c r="A1431" s="864"/>
      <c r="B1431" s="864"/>
      <c r="C1431" s="864"/>
      <c r="D1431" s="864"/>
      <c r="E1431" s="864"/>
      <c r="F1431" s="864"/>
      <c r="G1431" s="864"/>
    </row>
    <row r="1432" spans="1:7" hidden="1">
      <c r="A1432" s="864"/>
      <c r="B1432" s="864"/>
      <c r="C1432" s="864"/>
      <c r="D1432" s="864"/>
      <c r="E1432" s="864"/>
      <c r="F1432" s="864"/>
      <c r="G1432" s="864"/>
    </row>
    <row r="1433" spans="1:7" hidden="1">
      <c r="A1433" s="864"/>
      <c r="B1433" s="864"/>
      <c r="C1433" s="864"/>
      <c r="D1433" s="864"/>
      <c r="E1433" s="864"/>
      <c r="F1433" s="864"/>
      <c r="G1433" s="864"/>
    </row>
    <row r="1434" spans="1:7" hidden="1">
      <c r="A1434" s="864"/>
      <c r="B1434" s="864"/>
      <c r="C1434" s="864"/>
      <c r="D1434" s="864"/>
      <c r="E1434" s="864"/>
      <c r="F1434" s="864"/>
      <c r="G1434" s="864"/>
    </row>
    <row r="1435" spans="1:7" hidden="1">
      <c r="A1435" s="864"/>
      <c r="B1435" s="864"/>
      <c r="C1435" s="864"/>
      <c r="D1435" s="864"/>
      <c r="E1435" s="864"/>
      <c r="F1435" s="864"/>
      <c r="G1435" s="864"/>
    </row>
    <row r="1436" spans="1:7" hidden="1">
      <c r="A1436" s="864"/>
      <c r="B1436" s="864"/>
      <c r="C1436" s="864"/>
      <c r="D1436" s="864"/>
      <c r="E1436" s="864"/>
      <c r="F1436" s="864"/>
      <c r="G1436" s="864"/>
    </row>
    <row r="1437" spans="1:7" hidden="1">
      <c r="A1437" s="864"/>
      <c r="B1437" s="864"/>
      <c r="C1437" s="864"/>
      <c r="D1437" s="864"/>
      <c r="E1437" s="864"/>
      <c r="F1437" s="864"/>
      <c r="G1437" s="864"/>
    </row>
    <row r="1438" spans="1:7" hidden="1">
      <c r="A1438" s="864"/>
      <c r="B1438" s="864"/>
      <c r="C1438" s="864"/>
      <c r="D1438" s="864"/>
      <c r="E1438" s="864"/>
      <c r="F1438" s="864"/>
      <c r="G1438" s="864"/>
    </row>
    <row r="1439" spans="1:7" hidden="1">
      <c r="A1439" s="864"/>
      <c r="B1439" s="864"/>
      <c r="C1439" s="864"/>
      <c r="D1439" s="864"/>
      <c r="E1439" s="864"/>
      <c r="F1439" s="864"/>
      <c r="G1439" s="864"/>
    </row>
    <row r="1440" spans="1:7" hidden="1">
      <c r="A1440" s="864"/>
      <c r="B1440" s="864"/>
      <c r="C1440" s="864"/>
      <c r="D1440" s="864"/>
      <c r="E1440" s="864"/>
      <c r="F1440" s="864"/>
      <c r="G1440" s="864"/>
    </row>
    <row r="1441" spans="1:7" hidden="1">
      <c r="A1441" s="864"/>
      <c r="B1441" s="864"/>
      <c r="C1441" s="864"/>
      <c r="D1441" s="864"/>
      <c r="E1441" s="864"/>
      <c r="F1441" s="864"/>
      <c r="G1441" s="864"/>
    </row>
    <row r="1442" spans="1:7" hidden="1">
      <c r="A1442" s="864"/>
      <c r="B1442" s="864"/>
      <c r="C1442" s="864"/>
      <c r="D1442" s="864"/>
      <c r="E1442" s="864"/>
      <c r="F1442" s="864"/>
      <c r="G1442" s="864"/>
    </row>
    <row r="1443" spans="1:7" hidden="1">
      <c r="A1443" s="864"/>
      <c r="B1443" s="864"/>
      <c r="C1443" s="864"/>
      <c r="D1443" s="864"/>
      <c r="E1443" s="864"/>
      <c r="F1443" s="864"/>
      <c r="G1443" s="864"/>
    </row>
    <row r="1444" spans="1:7" hidden="1">
      <c r="A1444" s="864"/>
      <c r="B1444" s="864"/>
      <c r="C1444" s="864"/>
      <c r="D1444" s="864"/>
      <c r="E1444" s="864"/>
      <c r="F1444" s="864"/>
      <c r="G1444" s="864"/>
    </row>
    <row r="1445" spans="1:7" hidden="1">
      <c r="A1445" s="864"/>
      <c r="B1445" s="864"/>
      <c r="C1445" s="864"/>
      <c r="D1445" s="864"/>
      <c r="E1445" s="864"/>
      <c r="F1445" s="864"/>
      <c r="G1445" s="864"/>
    </row>
    <row r="1446" spans="1:7" hidden="1">
      <c r="A1446" s="864"/>
      <c r="B1446" s="864"/>
      <c r="C1446" s="864"/>
      <c r="D1446" s="864"/>
      <c r="E1446" s="864"/>
      <c r="F1446" s="864"/>
      <c r="G1446" s="864"/>
    </row>
    <row r="1447" spans="1:7" hidden="1">
      <c r="A1447" s="864"/>
      <c r="B1447" s="864"/>
      <c r="C1447" s="864"/>
      <c r="D1447" s="864"/>
      <c r="E1447" s="864"/>
      <c r="F1447" s="864"/>
      <c r="G1447" s="864"/>
    </row>
    <row r="1448" spans="1:7" hidden="1">
      <c r="A1448" s="864"/>
      <c r="B1448" s="864"/>
      <c r="C1448" s="864"/>
      <c r="D1448" s="864"/>
      <c r="E1448" s="864"/>
      <c r="F1448" s="864"/>
      <c r="G1448" s="864"/>
    </row>
    <row r="1449" spans="1:7" hidden="1">
      <c r="A1449" s="864"/>
      <c r="B1449" s="864"/>
      <c r="C1449" s="864"/>
      <c r="D1449" s="864"/>
      <c r="E1449" s="864"/>
      <c r="F1449" s="864"/>
      <c r="G1449" s="864"/>
    </row>
    <row r="1450" spans="1:7" hidden="1">
      <c r="A1450" s="864"/>
      <c r="B1450" s="864"/>
      <c r="C1450" s="864"/>
      <c r="D1450" s="864"/>
      <c r="E1450" s="864"/>
      <c r="F1450" s="864"/>
      <c r="G1450" s="864"/>
    </row>
    <row r="1451" spans="1:7" hidden="1">
      <c r="A1451" s="864"/>
      <c r="B1451" s="864"/>
      <c r="C1451" s="864"/>
      <c r="D1451" s="864"/>
      <c r="E1451" s="864"/>
      <c r="F1451" s="864"/>
      <c r="G1451" s="864"/>
    </row>
    <row r="1452" spans="1:7" hidden="1">
      <c r="A1452" s="864"/>
      <c r="B1452" s="864"/>
      <c r="C1452" s="864"/>
      <c r="D1452" s="864"/>
      <c r="E1452" s="864"/>
      <c r="F1452" s="864"/>
      <c r="G1452" s="864"/>
    </row>
    <row r="1453" spans="1:7" hidden="1">
      <c r="A1453" s="864"/>
      <c r="B1453" s="864"/>
      <c r="C1453" s="864"/>
      <c r="D1453" s="864"/>
      <c r="E1453" s="864"/>
      <c r="F1453" s="864"/>
      <c r="G1453" s="864"/>
    </row>
    <row r="1454" spans="1:7" hidden="1">
      <c r="A1454" s="864"/>
      <c r="B1454" s="864"/>
      <c r="C1454" s="864"/>
      <c r="D1454" s="864"/>
      <c r="E1454" s="864"/>
      <c r="F1454" s="864"/>
      <c r="G1454" s="864"/>
    </row>
    <row r="1455" spans="1:7" hidden="1">
      <c r="A1455" s="864"/>
      <c r="B1455" s="864"/>
      <c r="C1455" s="864"/>
      <c r="D1455" s="864"/>
      <c r="E1455" s="864"/>
      <c r="F1455" s="864"/>
      <c r="G1455" s="864"/>
    </row>
    <row r="1456" spans="1:7" hidden="1">
      <c r="A1456" s="864"/>
      <c r="B1456" s="864"/>
      <c r="C1456" s="864"/>
      <c r="D1456" s="864"/>
      <c r="E1456" s="864"/>
      <c r="F1456" s="864"/>
      <c r="G1456" s="864"/>
    </row>
    <row r="1457" spans="1:7" hidden="1">
      <c r="A1457" s="864"/>
      <c r="B1457" s="864"/>
      <c r="C1457" s="864"/>
      <c r="D1457" s="864"/>
      <c r="E1457" s="864"/>
      <c r="F1457" s="864"/>
      <c r="G1457" s="864"/>
    </row>
    <row r="1458" spans="1:7" hidden="1">
      <c r="A1458" s="864"/>
      <c r="B1458" s="864"/>
      <c r="C1458" s="864"/>
      <c r="D1458" s="864"/>
      <c r="E1458" s="864"/>
      <c r="F1458" s="864"/>
      <c r="G1458" s="864"/>
    </row>
    <row r="1459" spans="1:7" hidden="1">
      <c r="A1459" s="864"/>
      <c r="B1459" s="864"/>
      <c r="C1459" s="864"/>
      <c r="D1459" s="864"/>
      <c r="E1459" s="864"/>
      <c r="F1459" s="864"/>
      <c r="G1459" s="864"/>
    </row>
    <row r="1460" spans="1:7" hidden="1">
      <c r="A1460" s="864"/>
      <c r="B1460" s="864"/>
      <c r="C1460" s="864"/>
      <c r="D1460" s="864"/>
      <c r="E1460" s="864"/>
      <c r="F1460" s="864"/>
      <c r="G1460" s="864"/>
    </row>
    <row r="1461" spans="1:7" hidden="1">
      <c r="A1461" s="864"/>
      <c r="B1461" s="864"/>
      <c r="C1461" s="864"/>
      <c r="D1461" s="864"/>
      <c r="E1461" s="864"/>
      <c r="F1461" s="864"/>
      <c r="G1461" s="864"/>
    </row>
    <row r="1462" spans="1:7" hidden="1">
      <c r="A1462" s="864"/>
      <c r="B1462" s="864"/>
      <c r="C1462" s="864"/>
      <c r="D1462" s="864"/>
      <c r="E1462" s="864"/>
      <c r="F1462" s="864"/>
      <c r="G1462" s="864"/>
    </row>
    <row r="1463" spans="1:7" hidden="1">
      <c r="A1463" s="864"/>
      <c r="B1463" s="864"/>
      <c r="C1463" s="864"/>
      <c r="D1463" s="864"/>
      <c r="E1463" s="864"/>
      <c r="F1463" s="864"/>
      <c r="G1463" s="864"/>
    </row>
    <row r="1464" spans="1:7" hidden="1">
      <c r="A1464" s="864"/>
      <c r="B1464" s="864"/>
      <c r="C1464" s="864"/>
      <c r="D1464" s="864"/>
      <c r="E1464" s="864"/>
      <c r="F1464" s="864"/>
      <c r="G1464" s="864"/>
    </row>
    <row r="1465" spans="1:7" hidden="1">
      <c r="A1465" s="864"/>
      <c r="B1465" s="864"/>
      <c r="C1465" s="864"/>
      <c r="D1465" s="864"/>
      <c r="E1465" s="864"/>
      <c r="F1465" s="864"/>
      <c r="G1465" s="864"/>
    </row>
    <row r="1466" spans="1:7" hidden="1">
      <c r="A1466" s="864"/>
      <c r="B1466" s="864"/>
      <c r="C1466" s="864"/>
      <c r="D1466" s="864"/>
      <c r="E1466" s="864"/>
      <c r="F1466" s="864"/>
      <c r="G1466" s="864"/>
    </row>
    <row r="1467" spans="1:7" hidden="1">
      <c r="A1467" s="864"/>
      <c r="B1467" s="864"/>
      <c r="C1467" s="864"/>
      <c r="D1467" s="864"/>
      <c r="E1467" s="864"/>
      <c r="F1467" s="864"/>
      <c r="G1467" s="864"/>
    </row>
    <row r="1468" spans="1:7" hidden="1">
      <c r="A1468" s="864"/>
      <c r="B1468" s="864"/>
      <c r="C1468" s="864"/>
      <c r="D1468" s="864"/>
      <c r="E1468" s="864"/>
      <c r="F1468" s="864"/>
      <c r="G1468" s="864"/>
    </row>
    <row r="1469" spans="1:7" hidden="1">
      <c r="A1469" s="864"/>
      <c r="B1469" s="864"/>
      <c r="C1469" s="864"/>
      <c r="D1469" s="864"/>
      <c r="E1469" s="864"/>
      <c r="F1469" s="864"/>
      <c r="G1469" s="864"/>
    </row>
    <row r="1470" spans="1:7" hidden="1">
      <c r="A1470" s="864"/>
      <c r="B1470" s="864"/>
      <c r="C1470" s="864"/>
      <c r="D1470" s="864"/>
      <c r="E1470" s="864"/>
      <c r="F1470" s="864"/>
      <c r="G1470" s="864"/>
    </row>
    <row r="1471" spans="1:7" hidden="1">
      <c r="A1471" s="864"/>
      <c r="B1471" s="864"/>
      <c r="C1471" s="864"/>
      <c r="D1471" s="864"/>
      <c r="E1471" s="864"/>
      <c r="F1471" s="864"/>
      <c r="G1471" s="864"/>
    </row>
    <row r="1472" spans="1:7" hidden="1">
      <c r="A1472" s="864"/>
      <c r="B1472" s="864"/>
      <c r="C1472" s="864"/>
      <c r="D1472" s="864"/>
      <c r="E1472" s="864"/>
      <c r="F1472" s="864"/>
      <c r="G1472" s="864"/>
    </row>
    <row r="1473" spans="1:7" hidden="1">
      <c r="A1473" s="864"/>
      <c r="B1473" s="864"/>
      <c r="C1473" s="864"/>
      <c r="D1473" s="864"/>
      <c r="E1473" s="864"/>
      <c r="F1473" s="864"/>
      <c r="G1473" s="864"/>
    </row>
    <row r="1474" spans="1:7" hidden="1">
      <c r="A1474" s="864"/>
      <c r="B1474" s="864"/>
      <c r="C1474" s="864"/>
      <c r="D1474" s="864"/>
      <c r="E1474" s="864"/>
      <c r="F1474" s="864"/>
      <c r="G1474" s="864"/>
    </row>
    <row r="1475" spans="1:7" hidden="1">
      <c r="A1475" s="864"/>
      <c r="B1475" s="864"/>
      <c r="C1475" s="864"/>
      <c r="D1475" s="864"/>
      <c r="E1475" s="864"/>
      <c r="F1475" s="864"/>
      <c r="G1475" s="864"/>
    </row>
    <row r="1476" spans="1:7" hidden="1">
      <c r="A1476" s="864"/>
      <c r="B1476" s="864"/>
      <c r="C1476" s="864"/>
      <c r="D1476" s="864"/>
      <c r="E1476" s="864"/>
      <c r="F1476" s="864"/>
      <c r="G1476" s="864"/>
    </row>
    <row r="1477" spans="1:7" hidden="1">
      <c r="A1477" s="864"/>
      <c r="B1477" s="864"/>
      <c r="C1477" s="864"/>
      <c r="D1477" s="864"/>
      <c r="E1477" s="864"/>
      <c r="F1477" s="864"/>
      <c r="G1477" s="864"/>
    </row>
    <row r="1478" spans="1:7" hidden="1">
      <c r="A1478" s="864"/>
      <c r="B1478" s="864"/>
      <c r="C1478" s="864"/>
      <c r="D1478" s="864"/>
      <c r="E1478" s="864"/>
      <c r="F1478" s="864"/>
      <c r="G1478" s="864"/>
    </row>
    <row r="1479" spans="1:7" hidden="1">
      <c r="A1479" s="864"/>
      <c r="B1479" s="864"/>
      <c r="C1479" s="864"/>
      <c r="D1479" s="864"/>
      <c r="E1479" s="864"/>
      <c r="F1479" s="864"/>
      <c r="G1479" s="864"/>
    </row>
    <row r="1480" spans="1:7" hidden="1">
      <c r="A1480" s="864"/>
      <c r="B1480" s="864"/>
      <c r="C1480" s="864"/>
      <c r="D1480" s="864"/>
      <c r="E1480" s="864"/>
      <c r="F1480" s="864"/>
      <c r="G1480" s="864"/>
    </row>
    <row r="1481" spans="1:7" hidden="1">
      <c r="A1481" s="864"/>
      <c r="B1481" s="864"/>
      <c r="C1481" s="864"/>
      <c r="D1481" s="864"/>
      <c r="E1481" s="864"/>
      <c r="F1481" s="864"/>
      <c r="G1481" s="864"/>
    </row>
    <row r="1482" spans="1:7" hidden="1">
      <c r="A1482" s="864"/>
      <c r="B1482" s="864"/>
      <c r="C1482" s="864"/>
      <c r="D1482" s="864"/>
      <c r="E1482" s="864"/>
      <c r="F1482" s="864"/>
      <c r="G1482" s="864"/>
    </row>
    <row r="1483" spans="1:7" hidden="1">
      <c r="A1483" s="864"/>
      <c r="B1483" s="864"/>
      <c r="C1483" s="864"/>
      <c r="D1483" s="864"/>
      <c r="E1483" s="864"/>
      <c r="F1483" s="864"/>
      <c r="G1483" s="864"/>
    </row>
    <row r="1484" spans="1:7" hidden="1">
      <c r="A1484" s="864"/>
      <c r="B1484" s="864"/>
      <c r="C1484" s="864"/>
      <c r="D1484" s="864"/>
      <c r="E1484" s="864"/>
      <c r="F1484" s="864"/>
      <c r="G1484" s="864"/>
    </row>
    <row r="1485" spans="1:7" hidden="1">
      <c r="A1485" s="864"/>
      <c r="B1485" s="864"/>
      <c r="C1485" s="864"/>
      <c r="D1485" s="864"/>
      <c r="E1485" s="864"/>
      <c r="F1485" s="864"/>
      <c r="G1485" s="864"/>
    </row>
    <row r="1486" spans="1:7" hidden="1">
      <c r="A1486" s="864"/>
      <c r="B1486" s="864"/>
      <c r="C1486" s="864"/>
      <c r="D1486" s="864"/>
      <c r="E1486" s="864"/>
      <c r="F1486" s="864"/>
      <c r="G1486" s="864"/>
    </row>
    <row r="1487" spans="1:7" hidden="1">
      <c r="A1487" s="864"/>
      <c r="B1487" s="864"/>
      <c r="C1487" s="864"/>
      <c r="D1487" s="864"/>
      <c r="E1487" s="864"/>
      <c r="F1487" s="864"/>
      <c r="G1487" s="864"/>
    </row>
    <row r="1488" spans="1:7" hidden="1">
      <c r="A1488" s="864"/>
      <c r="B1488" s="864"/>
      <c r="C1488" s="864"/>
      <c r="D1488" s="864"/>
      <c r="E1488" s="864"/>
      <c r="F1488" s="864"/>
      <c r="G1488" s="864"/>
    </row>
    <row r="1489" spans="1:7" hidden="1">
      <c r="A1489" s="864"/>
      <c r="B1489" s="864"/>
      <c r="C1489" s="864"/>
      <c r="D1489" s="864"/>
      <c r="E1489" s="864"/>
      <c r="F1489" s="864"/>
      <c r="G1489" s="864"/>
    </row>
    <row r="1490" spans="1:7" hidden="1">
      <c r="A1490" s="864"/>
      <c r="B1490" s="864"/>
      <c r="C1490" s="864"/>
      <c r="D1490" s="864"/>
      <c r="E1490" s="864"/>
      <c r="F1490" s="864"/>
      <c r="G1490" s="864"/>
    </row>
    <row r="1491" spans="1:7" hidden="1">
      <c r="A1491" s="864"/>
      <c r="B1491" s="864"/>
      <c r="C1491" s="864"/>
      <c r="D1491" s="864"/>
      <c r="E1491" s="864"/>
      <c r="F1491" s="864"/>
      <c r="G1491" s="864"/>
    </row>
    <row r="1492" spans="1:7" hidden="1">
      <c r="A1492" s="864"/>
      <c r="B1492" s="864"/>
      <c r="C1492" s="864"/>
      <c r="D1492" s="864"/>
      <c r="E1492" s="864"/>
      <c r="F1492" s="864"/>
      <c r="G1492" s="864"/>
    </row>
    <row r="1493" spans="1:7" hidden="1">
      <c r="A1493" s="864"/>
      <c r="B1493" s="864"/>
      <c r="C1493" s="864"/>
      <c r="D1493" s="864"/>
      <c r="E1493" s="864"/>
      <c r="F1493" s="864"/>
      <c r="G1493" s="864"/>
    </row>
    <row r="1494" spans="1:7" hidden="1">
      <c r="A1494" s="864"/>
      <c r="B1494" s="864"/>
      <c r="C1494" s="864"/>
      <c r="D1494" s="864"/>
      <c r="E1494" s="864"/>
      <c r="F1494" s="864"/>
      <c r="G1494" s="864"/>
    </row>
    <row r="1495" spans="1:7" hidden="1">
      <c r="A1495" s="864"/>
      <c r="B1495" s="864"/>
      <c r="C1495" s="864"/>
      <c r="D1495" s="864"/>
      <c r="E1495" s="864"/>
      <c r="F1495" s="864"/>
      <c r="G1495" s="864"/>
    </row>
    <row r="1496" spans="1:7" hidden="1">
      <c r="A1496" s="864"/>
      <c r="B1496" s="864"/>
      <c r="C1496" s="864"/>
      <c r="D1496" s="864"/>
      <c r="E1496" s="864"/>
      <c r="F1496" s="864"/>
      <c r="G1496" s="864"/>
    </row>
    <row r="1497" spans="1:7" hidden="1">
      <c r="A1497" s="864"/>
      <c r="B1497" s="864"/>
      <c r="C1497" s="864"/>
      <c r="D1497" s="864"/>
      <c r="E1497" s="864"/>
      <c r="F1497" s="864"/>
      <c r="G1497" s="864"/>
    </row>
    <row r="1498" spans="1:7" hidden="1">
      <c r="A1498" s="864"/>
      <c r="B1498" s="864"/>
      <c r="C1498" s="864"/>
      <c r="D1498" s="864"/>
      <c r="E1498" s="864"/>
      <c r="F1498" s="864"/>
      <c r="G1498" s="864"/>
    </row>
    <row r="1499" spans="1:7" hidden="1">
      <c r="A1499" s="864"/>
      <c r="B1499" s="864"/>
      <c r="C1499" s="864"/>
      <c r="D1499" s="864"/>
      <c r="E1499" s="864"/>
      <c r="F1499" s="864"/>
      <c r="G1499" s="864"/>
    </row>
    <row r="1500" spans="1:7" hidden="1">
      <c r="A1500" s="864"/>
      <c r="B1500" s="864"/>
      <c r="C1500" s="864"/>
      <c r="D1500" s="864"/>
      <c r="E1500" s="864"/>
      <c r="F1500" s="864"/>
      <c r="G1500" s="864"/>
    </row>
    <row r="1501" spans="1:7" hidden="1">
      <c r="A1501" s="864"/>
      <c r="B1501" s="864"/>
      <c r="C1501" s="864"/>
      <c r="D1501" s="864"/>
      <c r="E1501" s="864"/>
      <c r="F1501" s="864"/>
      <c r="G1501" s="864"/>
    </row>
    <row r="1502" spans="1:7" hidden="1">
      <c r="A1502" s="864"/>
      <c r="B1502" s="864"/>
      <c r="C1502" s="864"/>
      <c r="D1502" s="864"/>
      <c r="E1502" s="864"/>
      <c r="F1502" s="864"/>
      <c r="G1502" s="864"/>
    </row>
    <row r="1503" spans="1:7" hidden="1">
      <c r="A1503" s="864"/>
      <c r="B1503" s="864"/>
      <c r="C1503" s="864"/>
      <c r="D1503" s="864"/>
      <c r="E1503" s="864"/>
      <c r="F1503" s="864"/>
      <c r="G1503" s="864"/>
    </row>
    <row r="1504" spans="1:7" hidden="1">
      <c r="A1504" s="864"/>
      <c r="B1504" s="864"/>
      <c r="C1504" s="864"/>
      <c r="D1504" s="864"/>
      <c r="E1504" s="864"/>
      <c r="F1504" s="864"/>
      <c r="G1504" s="864"/>
    </row>
    <row r="1505" spans="1:7" hidden="1">
      <c r="A1505" s="864"/>
      <c r="B1505" s="864"/>
      <c r="C1505" s="864"/>
      <c r="D1505" s="864"/>
      <c r="E1505" s="864"/>
      <c r="F1505" s="864"/>
      <c r="G1505" s="864"/>
    </row>
    <row r="1506" spans="1:7" hidden="1">
      <c r="A1506" s="864"/>
      <c r="B1506" s="864"/>
      <c r="C1506" s="864"/>
      <c r="D1506" s="864"/>
      <c r="E1506" s="864"/>
      <c r="F1506" s="864"/>
      <c r="G1506" s="864"/>
    </row>
    <row r="1507" spans="1:7" hidden="1">
      <c r="A1507" s="864"/>
      <c r="B1507" s="864"/>
      <c r="C1507" s="864"/>
      <c r="D1507" s="864"/>
      <c r="E1507" s="864"/>
      <c r="F1507" s="864"/>
      <c r="G1507" s="864"/>
    </row>
    <row r="1508" spans="1:7" hidden="1">
      <c r="A1508" s="864"/>
      <c r="B1508" s="864"/>
      <c r="C1508" s="864"/>
      <c r="D1508" s="864"/>
      <c r="E1508" s="864"/>
      <c r="F1508" s="864"/>
      <c r="G1508" s="864"/>
    </row>
    <row r="1509" spans="1:7" hidden="1">
      <c r="A1509" s="864"/>
      <c r="B1509" s="864"/>
      <c r="C1509" s="864"/>
      <c r="D1509" s="864"/>
      <c r="E1509" s="864"/>
      <c r="F1509" s="864"/>
      <c r="G1509" s="864"/>
    </row>
    <row r="1510" spans="1:7" hidden="1">
      <c r="A1510" s="864"/>
      <c r="B1510" s="864"/>
      <c r="C1510" s="864"/>
      <c r="D1510" s="864"/>
      <c r="E1510" s="864"/>
      <c r="F1510" s="864"/>
      <c r="G1510" s="864"/>
    </row>
    <row r="1511" spans="1:7" hidden="1">
      <c r="A1511" s="864"/>
      <c r="B1511" s="864"/>
      <c r="C1511" s="864"/>
      <c r="D1511" s="864"/>
      <c r="E1511" s="864"/>
      <c r="F1511" s="864"/>
      <c r="G1511" s="864"/>
    </row>
    <row r="1512" spans="1:7" hidden="1">
      <c r="A1512" s="864"/>
      <c r="B1512" s="864"/>
      <c r="C1512" s="864"/>
      <c r="D1512" s="864"/>
      <c r="E1512" s="864"/>
      <c r="F1512" s="864"/>
      <c r="G1512" s="864"/>
    </row>
    <row r="1513" spans="1:7" hidden="1">
      <c r="A1513" s="864"/>
      <c r="B1513" s="864"/>
      <c r="C1513" s="864"/>
      <c r="D1513" s="864"/>
      <c r="E1513" s="864"/>
      <c r="F1513" s="864"/>
      <c r="G1513" s="864"/>
    </row>
    <row r="1514" spans="1:7" hidden="1">
      <c r="A1514" s="864"/>
      <c r="B1514" s="864"/>
      <c r="C1514" s="864"/>
      <c r="D1514" s="864"/>
      <c r="E1514" s="864"/>
      <c r="F1514" s="864"/>
      <c r="G1514" s="864"/>
    </row>
    <row r="1515" spans="1:7" hidden="1">
      <c r="A1515" s="864"/>
      <c r="B1515" s="864"/>
      <c r="C1515" s="864"/>
      <c r="D1515" s="864"/>
      <c r="E1515" s="864"/>
      <c r="F1515" s="864"/>
      <c r="G1515" s="864"/>
    </row>
    <row r="1516" spans="1:7" hidden="1">
      <c r="A1516" s="864"/>
      <c r="B1516" s="864"/>
      <c r="C1516" s="864"/>
      <c r="D1516" s="864"/>
      <c r="E1516" s="864"/>
      <c r="F1516" s="864"/>
      <c r="G1516" s="864"/>
    </row>
    <row r="1517" spans="1:7" hidden="1">
      <c r="A1517" s="864"/>
      <c r="B1517" s="864"/>
      <c r="C1517" s="864"/>
      <c r="D1517" s="864"/>
      <c r="E1517" s="864"/>
      <c r="F1517" s="864"/>
      <c r="G1517" s="864"/>
    </row>
    <row r="1518" spans="1:7" hidden="1">
      <c r="A1518" s="864"/>
      <c r="B1518" s="864"/>
      <c r="C1518" s="864"/>
      <c r="D1518" s="864"/>
      <c r="E1518" s="864"/>
      <c r="F1518" s="864"/>
      <c r="G1518" s="864"/>
    </row>
    <row r="1519" spans="1:7" hidden="1">
      <c r="A1519" s="864"/>
      <c r="B1519" s="864"/>
      <c r="C1519" s="864"/>
      <c r="D1519" s="864"/>
      <c r="E1519" s="864"/>
      <c r="F1519" s="864"/>
      <c r="G1519" s="864"/>
    </row>
    <row r="1520" spans="1:7" hidden="1">
      <c r="A1520" s="864"/>
      <c r="B1520" s="864"/>
      <c r="C1520" s="864"/>
      <c r="D1520" s="864"/>
      <c r="E1520" s="864"/>
      <c r="F1520" s="864"/>
      <c r="G1520" s="864"/>
    </row>
    <row r="1521" spans="1:7" hidden="1">
      <c r="A1521" s="864"/>
      <c r="B1521" s="864"/>
      <c r="C1521" s="864"/>
      <c r="D1521" s="864"/>
      <c r="E1521" s="864"/>
      <c r="F1521" s="864"/>
      <c r="G1521" s="864"/>
    </row>
    <row r="1522" spans="1:7" hidden="1">
      <c r="A1522" s="864"/>
      <c r="B1522" s="864"/>
      <c r="C1522" s="864"/>
      <c r="D1522" s="864"/>
      <c r="E1522" s="864"/>
      <c r="F1522" s="864"/>
      <c r="G1522" s="864"/>
    </row>
    <row r="1523" spans="1:7" hidden="1">
      <c r="A1523" s="864"/>
      <c r="B1523" s="864"/>
      <c r="C1523" s="864"/>
      <c r="D1523" s="864"/>
      <c r="E1523" s="864"/>
      <c r="F1523" s="864"/>
      <c r="G1523" s="864"/>
    </row>
    <row r="1524" spans="1:7" hidden="1">
      <c r="A1524" s="864"/>
      <c r="B1524" s="864"/>
      <c r="C1524" s="864"/>
      <c r="D1524" s="864"/>
      <c r="E1524" s="864"/>
      <c r="F1524" s="864"/>
      <c r="G1524" s="864"/>
    </row>
    <row r="1525" spans="1:7" hidden="1">
      <c r="A1525" s="864"/>
      <c r="B1525" s="864"/>
      <c r="C1525" s="864"/>
      <c r="D1525" s="864"/>
      <c r="E1525" s="864"/>
      <c r="F1525" s="864"/>
      <c r="G1525" s="864"/>
    </row>
    <row r="1526" spans="1:7" hidden="1">
      <c r="A1526" s="864"/>
      <c r="B1526" s="864"/>
      <c r="C1526" s="864"/>
      <c r="D1526" s="864"/>
      <c r="E1526" s="864"/>
      <c r="F1526" s="864"/>
      <c r="G1526" s="864"/>
    </row>
    <row r="1527" spans="1:7" hidden="1">
      <c r="A1527" s="864"/>
      <c r="B1527" s="864"/>
      <c r="C1527" s="864"/>
      <c r="D1527" s="864"/>
      <c r="E1527" s="864"/>
      <c r="F1527" s="864"/>
      <c r="G1527" s="864"/>
    </row>
    <row r="1528" spans="1:7" hidden="1">
      <c r="A1528" s="864"/>
      <c r="B1528" s="864"/>
      <c r="C1528" s="864"/>
      <c r="D1528" s="864"/>
      <c r="E1528" s="864"/>
      <c r="F1528" s="864"/>
      <c r="G1528" s="864"/>
    </row>
    <row r="1529" spans="1:7" hidden="1">
      <c r="A1529" s="864"/>
      <c r="B1529" s="864"/>
      <c r="C1529" s="864"/>
      <c r="D1529" s="864"/>
      <c r="E1529" s="864"/>
      <c r="F1529" s="864"/>
      <c r="G1529" s="864"/>
    </row>
    <row r="1530" spans="1:7" hidden="1">
      <c r="A1530" s="864"/>
      <c r="B1530" s="864"/>
      <c r="C1530" s="864"/>
      <c r="D1530" s="864"/>
      <c r="E1530" s="864"/>
      <c r="F1530" s="864"/>
      <c r="G1530" s="864"/>
    </row>
    <row r="1531" spans="1:7" hidden="1">
      <c r="A1531" s="864"/>
      <c r="B1531" s="864"/>
      <c r="C1531" s="864"/>
      <c r="D1531" s="864"/>
      <c r="E1531" s="864"/>
      <c r="F1531" s="864"/>
      <c r="G1531" s="864"/>
    </row>
    <row r="1532" spans="1:7" hidden="1">
      <c r="A1532" s="864"/>
      <c r="B1532" s="864"/>
      <c r="C1532" s="864"/>
      <c r="D1532" s="864"/>
      <c r="E1532" s="864"/>
      <c r="F1532" s="864"/>
      <c r="G1532" s="864"/>
    </row>
    <row r="1533" spans="1:7" hidden="1">
      <c r="A1533" s="864"/>
      <c r="B1533" s="864"/>
      <c r="C1533" s="864"/>
      <c r="D1533" s="864"/>
      <c r="E1533" s="864"/>
      <c r="F1533" s="864"/>
      <c r="G1533" s="864"/>
    </row>
    <row r="1534" spans="1:7" hidden="1">
      <c r="A1534" s="864"/>
      <c r="B1534" s="864"/>
      <c r="C1534" s="864"/>
      <c r="D1534" s="864"/>
      <c r="E1534" s="864"/>
      <c r="F1534" s="864"/>
      <c r="G1534" s="864"/>
    </row>
    <row r="1535" spans="1:7" hidden="1">
      <c r="A1535" s="864"/>
      <c r="B1535" s="864"/>
      <c r="C1535" s="864"/>
      <c r="D1535" s="864"/>
      <c r="E1535" s="864"/>
      <c r="F1535" s="864"/>
      <c r="G1535" s="864"/>
    </row>
    <row r="1536" spans="1:7" hidden="1">
      <c r="A1536" s="864"/>
      <c r="B1536" s="864"/>
      <c r="C1536" s="864"/>
      <c r="D1536" s="864"/>
      <c r="E1536" s="864"/>
      <c r="F1536" s="864"/>
      <c r="G1536" s="864"/>
    </row>
    <row r="1537" spans="1:7" hidden="1">
      <c r="A1537" s="864"/>
      <c r="B1537" s="864"/>
      <c r="C1537" s="864"/>
      <c r="D1537" s="864"/>
      <c r="E1537" s="864"/>
      <c r="F1537" s="864"/>
      <c r="G1537" s="864"/>
    </row>
    <row r="1538" spans="1:7" hidden="1">
      <c r="A1538" s="864"/>
      <c r="B1538" s="864"/>
      <c r="C1538" s="864"/>
      <c r="D1538" s="864"/>
      <c r="E1538" s="864"/>
      <c r="F1538" s="864"/>
      <c r="G1538" s="864"/>
    </row>
    <row r="1539" spans="1:7" hidden="1">
      <c r="A1539" s="864"/>
      <c r="B1539" s="864"/>
      <c r="C1539" s="864"/>
      <c r="D1539" s="864"/>
      <c r="E1539" s="864"/>
      <c r="F1539" s="864"/>
      <c r="G1539" s="864"/>
    </row>
    <row r="1540" spans="1:7" hidden="1">
      <c r="A1540" s="864"/>
      <c r="B1540" s="864"/>
      <c r="C1540" s="864"/>
      <c r="D1540" s="864"/>
      <c r="E1540" s="864"/>
      <c r="F1540" s="864"/>
      <c r="G1540" s="864"/>
    </row>
    <row r="1541" spans="1:7" hidden="1">
      <c r="A1541" s="864"/>
      <c r="B1541" s="864"/>
      <c r="C1541" s="864"/>
      <c r="D1541" s="864"/>
      <c r="E1541" s="864"/>
      <c r="F1541" s="864"/>
      <c r="G1541" s="864"/>
    </row>
    <row r="1542" spans="1:7" hidden="1">
      <c r="A1542" s="864"/>
      <c r="B1542" s="864"/>
      <c r="C1542" s="864"/>
      <c r="D1542" s="864"/>
      <c r="E1542" s="864"/>
      <c r="F1542" s="864"/>
      <c r="G1542" s="864"/>
    </row>
    <row r="1543" spans="1:7" hidden="1">
      <c r="A1543" s="864"/>
      <c r="B1543" s="864"/>
      <c r="C1543" s="864"/>
      <c r="D1543" s="864"/>
      <c r="E1543" s="864"/>
      <c r="F1543" s="864"/>
      <c r="G1543" s="864"/>
    </row>
    <row r="1544" spans="1:7" hidden="1">
      <c r="A1544" s="864"/>
      <c r="B1544" s="864"/>
      <c r="C1544" s="864"/>
      <c r="D1544" s="864"/>
      <c r="E1544" s="864"/>
      <c r="F1544" s="864"/>
      <c r="G1544" s="864"/>
    </row>
    <row r="1545" spans="1:7" hidden="1">
      <c r="A1545" s="864"/>
      <c r="B1545" s="864"/>
      <c r="C1545" s="864"/>
      <c r="D1545" s="864"/>
      <c r="E1545" s="864"/>
      <c r="F1545" s="864"/>
      <c r="G1545" s="864"/>
    </row>
    <row r="1546" spans="1:7" hidden="1">
      <c r="A1546" s="864"/>
      <c r="B1546" s="864"/>
      <c r="C1546" s="864"/>
      <c r="D1546" s="864"/>
      <c r="E1546" s="864"/>
      <c r="F1546" s="864"/>
      <c r="G1546" s="864"/>
    </row>
    <row r="1547" spans="1:7" hidden="1">
      <c r="A1547" s="864"/>
      <c r="B1547" s="864"/>
      <c r="C1547" s="864"/>
      <c r="D1547" s="864"/>
      <c r="E1547" s="864"/>
      <c r="F1547" s="864"/>
      <c r="G1547" s="864"/>
    </row>
    <row r="1548" spans="1:7" hidden="1">
      <c r="A1548" s="864"/>
      <c r="B1548" s="864"/>
      <c r="C1548" s="864"/>
      <c r="D1548" s="864"/>
      <c r="E1548" s="864"/>
      <c r="F1548" s="864"/>
      <c r="G1548" s="864"/>
    </row>
    <row r="1549" spans="1:7" hidden="1">
      <c r="A1549" s="864"/>
      <c r="B1549" s="864"/>
      <c r="C1549" s="864"/>
      <c r="D1549" s="864"/>
      <c r="E1549" s="864"/>
      <c r="F1549" s="864"/>
      <c r="G1549" s="864"/>
    </row>
    <row r="1550" spans="1:7" hidden="1">
      <c r="A1550" s="864"/>
      <c r="B1550" s="864"/>
      <c r="C1550" s="864"/>
      <c r="D1550" s="864"/>
      <c r="E1550" s="864"/>
      <c r="F1550" s="864"/>
      <c r="G1550" s="864"/>
    </row>
    <row r="1551" spans="1:7" hidden="1">
      <c r="A1551" s="864"/>
      <c r="B1551" s="864"/>
      <c r="C1551" s="864"/>
      <c r="D1551" s="864"/>
      <c r="E1551" s="864"/>
      <c r="F1551" s="864"/>
      <c r="G1551" s="864"/>
    </row>
    <row r="1552" spans="1:7" hidden="1">
      <c r="A1552" s="864"/>
      <c r="B1552" s="864"/>
      <c r="C1552" s="864"/>
      <c r="D1552" s="864"/>
      <c r="E1552" s="864"/>
      <c r="F1552" s="864"/>
      <c r="G1552" s="864"/>
    </row>
    <row r="1553" spans="1:7" hidden="1">
      <c r="A1553" s="864"/>
      <c r="B1553" s="864"/>
      <c r="C1553" s="864"/>
      <c r="D1553" s="864"/>
      <c r="E1553" s="864"/>
      <c r="F1553" s="864"/>
      <c r="G1553" s="864"/>
    </row>
    <row r="1554" spans="1:7" hidden="1">
      <c r="A1554" s="864"/>
      <c r="B1554" s="864"/>
      <c r="C1554" s="864"/>
      <c r="D1554" s="864"/>
      <c r="E1554" s="864"/>
      <c r="F1554" s="864"/>
      <c r="G1554" s="864"/>
    </row>
    <row r="1555" spans="1:7" hidden="1">
      <c r="A1555" s="864"/>
      <c r="B1555" s="864"/>
      <c r="C1555" s="864"/>
      <c r="D1555" s="864"/>
      <c r="E1555" s="864"/>
      <c r="F1555" s="864"/>
      <c r="G1555" s="864"/>
    </row>
    <row r="1556" spans="1:7" hidden="1">
      <c r="A1556" s="864"/>
      <c r="B1556" s="864"/>
      <c r="C1556" s="864"/>
      <c r="D1556" s="864"/>
      <c r="E1556" s="864"/>
      <c r="F1556" s="864"/>
      <c r="G1556" s="864"/>
    </row>
    <row r="1557" spans="1:7" hidden="1">
      <c r="A1557" s="864"/>
      <c r="B1557" s="864"/>
      <c r="C1557" s="864"/>
      <c r="D1557" s="864"/>
      <c r="E1557" s="864"/>
      <c r="F1557" s="864"/>
      <c r="G1557" s="864"/>
    </row>
    <row r="1558" spans="1:7" hidden="1">
      <c r="A1558" s="864"/>
      <c r="B1558" s="864"/>
      <c r="C1558" s="864"/>
      <c r="D1558" s="864"/>
      <c r="E1558" s="864"/>
      <c r="F1558" s="864"/>
      <c r="G1558" s="864"/>
    </row>
    <row r="1559" spans="1:7" hidden="1">
      <c r="A1559" s="864"/>
      <c r="B1559" s="864"/>
      <c r="C1559" s="864"/>
      <c r="D1559" s="864"/>
      <c r="E1559" s="864"/>
      <c r="F1559" s="864"/>
      <c r="G1559" s="864"/>
    </row>
    <row r="1560" spans="1:7" hidden="1">
      <c r="A1560" s="864"/>
      <c r="B1560" s="864"/>
      <c r="C1560" s="864"/>
      <c r="D1560" s="864"/>
      <c r="E1560" s="864"/>
      <c r="F1560" s="864"/>
      <c r="G1560" s="864"/>
    </row>
    <row r="1561" spans="1:7" hidden="1">
      <c r="A1561" s="864"/>
      <c r="B1561" s="864"/>
      <c r="C1561" s="864"/>
      <c r="D1561" s="864"/>
      <c r="E1561" s="864"/>
      <c r="F1561" s="864"/>
      <c r="G1561" s="864"/>
    </row>
    <row r="1562" spans="1:7" hidden="1">
      <c r="A1562" s="864"/>
      <c r="B1562" s="864"/>
      <c r="C1562" s="864"/>
      <c r="D1562" s="864"/>
      <c r="E1562" s="864"/>
      <c r="F1562" s="864"/>
      <c r="G1562" s="864"/>
    </row>
    <row r="1563" spans="1:7" hidden="1">
      <c r="A1563" s="864"/>
      <c r="B1563" s="864"/>
      <c r="C1563" s="864"/>
      <c r="D1563" s="864"/>
      <c r="E1563" s="864"/>
      <c r="F1563" s="864"/>
      <c r="G1563" s="864"/>
    </row>
    <row r="1564" spans="1:7" hidden="1">
      <c r="A1564" s="864"/>
      <c r="B1564" s="864"/>
      <c r="C1564" s="864"/>
      <c r="D1564" s="864"/>
      <c r="E1564" s="864"/>
      <c r="F1564" s="864"/>
      <c r="G1564" s="864"/>
    </row>
    <row r="1565" spans="1:7" hidden="1">
      <c r="A1565" s="864"/>
      <c r="B1565" s="864"/>
      <c r="C1565" s="864"/>
      <c r="D1565" s="864"/>
      <c r="E1565" s="864"/>
      <c r="F1565" s="864"/>
      <c r="G1565" s="864"/>
    </row>
    <row r="1566" spans="1:7" hidden="1">
      <c r="A1566" s="864"/>
      <c r="B1566" s="864"/>
      <c r="C1566" s="864"/>
      <c r="D1566" s="864"/>
      <c r="E1566" s="864"/>
      <c r="F1566" s="864"/>
      <c r="G1566" s="864"/>
    </row>
    <row r="1567" spans="1:7" hidden="1">
      <c r="A1567" s="864"/>
      <c r="B1567" s="864"/>
      <c r="C1567" s="864"/>
      <c r="D1567" s="864"/>
      <c r="E1567" s="864"/>
      <c r="F1567" s="864"/>
      <c r="G1567" s="864"/>
    </row>
    <row r="1568" spans="1:7" hidden="1">
      <c r="A1568" s="864"/>
      <c r="B1568" s="864"/>
      <c r="C1568" s="864"/>
      <c r="D1568" s="864"/>
      <c r="E1568" s="864"/>
      <c r="F1568" s="864"/>
      <c r="G1568" s="864"/>
    </row>
    <row r="1569" spans="1:7" hidden="1">
      <c r="A1569" s="864"/>
      <c r="B1569" s="864"/>
      <c r="C1569" s="864"/>
      <c r="D1569" s="864"/>
      <c r="E1569" s="864"/>
      <c r="F1569" s="864"/>
      <c r="G1569" s="864"/>
    </row>
    <row r="1570" spans="1:7" hidden="1">
      <c r="A1570" s="864"/>
      <c r="B1570" s="864"/>
      <c r="C1570" s="864"/>
      <c r="D1570" s="864"/>
      <c r="E1570" s="864"/>
      <c r="F1570" s="864"/>
      <c r="G1570" s="864"/>
    </row>
    <row r="1571" spans="1:7" hidden="1">
      <c r="A1571" s="864"/>
      <c r="B1571" s="864"/>
      <c r="C1571" s="864"/>
      <c r="D1571" s="864"/>
      <c r="E1571" s="864"/>
      <c r="F1571" s="864"/>
      <c r="G1571" s="864"/>
    </row>
    <row r="1572" spans="1:7" hidden="1">
      <c r="A1572" s="864"/>
      <c r="B1572" s="864"/>
      <c r="C1572" s="864"/>
      <c r="D1572" s="864"/>
      <c r="E1572" s="864"/>
      <c r="F1572" s="864"/>
      <c r="G1572" s="864"/>
    </row>
    <row r="1573" spans="1:7" hidden="1">
      <c r="A1573" s="864"/>
      <c r="B1573" s="864"/>
      <c r="C1573" s="864"/>
      <c r="D1573" s="864"/>
      <c r="E1573" s="864"/>
      <c r="F1573" s="864"/>
      <c r="G1573" s="864"/>
    </row>
    <row r="1574" spans="1:7" hidden="1">
      <c r="A1574" s="864"/>
      <c r="B1574" s="864"/>
      <c r="C1574" s="864"/>
      <c r="D1574" s="864"/>
      <c r="E1574" s="864"/>
      <c r="F1574" s="864"/>
      <c r="G1574" s="864"/>
    </row>
    <row r="1575" spans="1:7" hidden="1">
      <c r="A1575" s="864"/>
      <c r="B1575" s="864"/>
      <c r="C1575" s="864"/>
      <c r="D1575" s="864"/>
      <c r="E1575" s="864"/>
      <c r="F1575" s="864"/>
      <c r="G1575" s="864"/>
    </row>
    <row r="1576" spans="1:7" hidden="1">
      <c r="A1576" s="864"/>
      <c r="B1576" s="864"/>
      <c r="C1576" s="864"/>
      <c r="D1576" s="864"/>
      <c r="E1576" s="864"/>
      <c r="F1576" s="864"/>
      <c r="G1576" s="864"/>
    </row>
    <row r="1577" spans="1:7" hidden="1">
      <c r="A1577" s="864"/>
      <c r="B1577" s="864"/>
      <c r="C1577" s="864"/>
      <c r="D1577" s="864"/>
      <c r="E1577" s="864"/>
      <c r="F1577" s="864"/>
      <c r="G1577" s="864"/>
    </row>
    <row r="1578" spans="1:7" hidden="1"/>
    <row r="1579" spans="1:7" hidden="1"/>
    <row r="1580" spans="1:7" hidden="1"/>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row r="1685"/>
    <row r="1686"/>
    <row r="1687"/>
    <row r="1688"/>
    <row r="1689"/>
    <row r="1690"/>
    <row r="1691"/>
    <row r="1692"/>
    <row r="1693"/>
    <row r="1694"/>
    <row r="1695"/>
    <row r="1696"/>
    <row r="1697"/>
    <row r="1698"/>
    <row r="1699"/>
    <row r="1700"/>
    <row r="1701"/>
    <row r="1702"/>
    <row r="1703"/>
    <row r="1704"/>
  </sheetData>
  <sheetProtection password="E2FF" sheet="1" objects="1" scenarios="1"/>
  <mergeCells count="222">
    <mergeCell ref="D552:F552"/>
    <mergeCell ref="D521:F521"/>
    <mergeCell ref="D522:F522"/>
    <mergeCell ref="D532:F533"/>
    <mergeCell ref="D535:F537"/>
    <mergeCell ref="D539:F540"/>
    <mergeCell ref="D548:F548"/>
    <mergeCell ref="D549:F549"/>
    <mergeCell ref="D524:F524"/>
    <mergeCell ref="D542:F543"/>
    <mergeCell ref="D545:F546"/>
    <mergeCell ref="D529:F530"/>
    <mergeCell ref="D477:F478"/>
    <mergeCell ref="D417:F419"/>
    <mergeCell ref="D421:F422"/>
    <mergeCell ref="D369:F370"/>
    <mergeCell ref="D314:F314"/>
    <mergeCell ref="D464:F464"/>
    <mergeCell ref="D466:F467"/>
    <mergeCell ref="D505:F509"/>
    <mergeCell ref="D315:F315"/>
    <mergeCell ref="D317:F317"/>
    <mergeCell ref="D319:F330"/>
    <mergeCell ref="D469:F469"/>
    <mergeCell ref="D424:F437"/>
    <mergeCell ref="D439:F443"/>
    <mergeCell ref="D445:F445"/>
    <mergeCell ref="D455:F458"/>
    <mergeCell ref="D460:F462"/>
    <mergeCell ref="A447:G447"/>
    <mergeCell ref="D331:F334"/>
    <mergeCell ref="D297:F305"/>
    <mergeCell ref="D449:F449"/>
    <mergeCell ref="D450:F450"/>
    <mergeCell ref="D452:F453"/>
    <mergeCell ref="D197:F198"/>
    <mergeCell ref="D196:F196"/>
    <mergeCell ref="D250:F250"/>
    <mergeCell ref="D251:F251"/>
    <mergeCell ref="D253:F254"/>
    <mergeCell ref="D256:F258"/>
    <mergeCell ref="D200:F202"/>
    <mergeCell ref="D204:F208"/>
    <mergeCell ref="D210:F211"/>
    <mergeCell ref="D212:F212"/>
    <mergeCell ref="D220:F221"/>
    <mergeCell ref="D214:F218"/>
    <mergeCell ref="D247:F248"/>
    <mergeCell ref="D265:F265"/>
    <mergeCell ref="D276:F277"/>
    <mergeCell ref="D279:F279"/>
    <mergeCell ref="D281:F295"/>
    <mergeCell ref="D307:F312"/>
    <mergeCell ref="D11:F12"/>
    <mergeCell ref="D13:F13"/>
    <mergeCell ref="D15:F17"/>
    <mergeCell ref="D19:F19"/>
    <mergeCell ref="D21:F22"/>
    <mergeCell ref="D24:F28"/>
    <mergeCell ref="D30:F31"/>
    <mergeCell ref="D33:F36"/>
    <mergeCell ref="D38:F42"/>
    <mergeCell ref="B789:F789"/>
    <mergeCell ref="B765:F765"/>
    <mergeCell ref="A759:G759"/>
    <mergeCell ref="A763:G763"/>
    <mergeCell ref="A767:G767"/>
    <mergeCell ref="B769:F769"/>
    <mergeCell ref="A771:G771"/>
    <mergeCell ref="A775:G775"/>
    <mergeCell ref="A779:G779"/>
    <mergeCell ref="A783:G783"/>
    <mergeCell ref="A787:G787"/>
    <mergeCell ref="B773:F773"/>
    <mergeCell ref="B777:F777"/>
    <mergeCell ref="B781:F781"/>
    <mergeCell ref="B785:F785"/>
    <mergeCell ref="B761:F761"/>
    <mergeCell ref="E757:F757"/>
    <mergeCell ref="D725:F725"/>
    <mergeCell ref="D726:F726"/>
    <mergeCell ref="D728:F733"/>
    <mergeCell ref="D735:F738"/>
    <mergeCell ref="D740:F742"/>
    <mergeCell ref="D567:F567"/>
    <mergeCell ref="D569:F572"/>
    <mergeCell ref="D573:F576"/>
    <mergeCell ref="D578:F579"/>
    <mergeCell ref="D581:F582"/>
    <mergeCell ref="D584:F584"/>
    <mergeCell ref="D650:F650"/>
    <mergeCell ref="D638:F642"/>
    <mergeCell ref="A586:G586"/>
    <mergeCell ref="A723:G723"/>
    <mergeCell ref="A751:G751"/>
    <mergeCell ref="D753:F753"/>
    <mergeCell ref="D744:F745"/>
    <mergeCell ref="D747:F749"/>
    <mergeCell ref="D603:F604"/>
    <mergeCell ref="D606:F607"/>
    <mergeCell ref="D721:F721"/>
    <mergeCell ref="D678:F679"/>
    <mergeCell ref="D557:F560"/>
    <mergeCell ref="D754:F754"/>
    <mergeCell ref="D756:F756"/>
    <mergeCell ref="A562:G562"/>
    <mergeCell ref="D553:F555"/>
    <mergeCell ref="D480:F484"/>
    <mergeCell ref="D486:F489"/>
    <mergeCell ref="D491:F493"/>
    <mergeCell ref="D495:F503"/>
    <mergeCell ref="D511:F513"/>
    <mergeCell ref="D663:F665"/>
    <mergeCell ref="D667:F667"/>
    <mergeCell ref="D668:F668"/>
    <mergeCell ref="A652:G652"/>
    <mergeCell ref="D635:F635"/>
    <mergeCell ref="D636:F636"/>
    <mergeCell ref="D589:F589"/>
    <mergeCell ref="D591:F593"/>
    <mergeCell ref="D597:F598"/>
    <mergeCell ref="D599:F599"/>
    <mergeCell ref="D601:F601"/>
    <mergeCell ref="D526:F527"/>
    <mergeCell ref="D588:F588"/>
    <mergeCell ref="E550:F550"/>
    <mergeCell ref="D164:F166"/>
    <mergeCell ref="A595:G595"/>
    <mergeCell ref="D113:F114"/>
    <mergeCell ref="D116:F120"/>
    <mergeCell ref="D122:F133"/>
    <mergeCell ref="D411:F411"/>
    <mergeCell ref="D225:F225"/>
    <mergeCell ref="D227:F227"/>
    <mergeCell ref="D228:F229"/>
    <mergeCell ref="D231:F232"/>
    <mergeCell ref="D233:F233"/>
    <mergeCell ref="D241:F243"/>
    <mergeCell ref="D235:F239"/>
    <mergeCell ref="D260:F261"/>
    <mergeCell ref="A245:G245"/>
    <mergeCell ref="A263:G263"/>
    <mergeCell ref="D336:F339"/>
    <mergeCell ref="D341:F349"/>
    <mergeCell ref="D350:F367"/>
    <mergeCell ref="D473:F473"/>
    <mergeCell ref="B517:F517"/>
    <mergeCell ref="A519:G519"/>
    <mergeCell ref="D412:F415"/>
    <mergeCell ref="D194:F194"/>
    <mergeCell ref="D44:F47"/>
    <mergeCell ref="D644:F644"/>
    <mergeCell ref="D645:F649"/>
    <mergeCell ref="A612:G612"/>
    <mergeCell ref="A633:G633"/>
    <mergeCell ref="D564:F564"/>
    <mergeCell ref="D565:F565"/>
    <mergeCell ref="A70:G70"/>
    <mergeCell ref="A168:G168"/>
    <mergeCell ref="D63:F65"/>
    <mergeCell ref="D67:F68"/>
    <mergeCell ref="D72:F72"/>
    <mergeCell ref="D73:F73"/>
    <mergeCell ref="D75:F80"/>
    <mergeCell ref="D82:F95"/>
    <mergeCell ref="D96:F103"/>
    <mergeCell ref="D105:F111"/>
    <mergeCell ref="A223:G223"/>
    <mergeCell ref="A471:G471"/>
    <mergeCell ref="D266:F266"/>
    <mergeCell ref="D178:F181"/>
    <mergeCell ref="D372:F376"/>
    <mergeCell ref="D378:F408"/>
    <mergeCell ref="D410:F410"/>
    <mergeCell ref="A2:G2"/>
    <mergeCell ref="A6:G6"/>
    <mergeCell ref="A7:G7"/>
    <mergeCell ref="A5:G5"/>
    <mergeCell ref="A9:G9"/>
    <mergeCell ref="D174:F175"/>
    <mergeCell ref="D176:F176"/>
    <mergeCell ref="D193:F193"/>
    <mergeCell ref="D183:F184"/>
    <mergeCell ref="B170:F170"/>
    <mergeCell ref="A172:G172"/>
    <mergeCell ref="A191:G191"/>
    <mergeCell ref="D49:F51"/>
    <mergeCell ref="D53:F54"/>
    <mergeCell ref="D56:F58"/>
    <mergeCell ref="D60:F61"/>
    <mergeCell ref="A3:G3"/>
    <mergeCell ref="A4:G4"/>
    <mergeCell ref="D154:G154"/>
    <mergeCell ref="D135:F152"/>
    <mergeCell ref="D153:F153"/>
    <mergeCell ref="D155:F157"/>
    <mergeCell ref="D159:F162"/>
    <mergeCell ref="D186:F189"/>
    <mergeCell ref="A515:G515"/>
    <mergeCell ref="D268:F268"/>
    <mergeCell ref="D270:F274"/>
    <mergeCell ref="D714:F720"/>
    <mergeCell ref="D694:F695"/>
    <mergeCell ref="D697:F699"/>
    <mergeCell ref="D609:F610"/>
    <mergeCell ref="D614:F614"/>
    <mergeCell ref="D616:F621"/>
    <mergeCell ref="D623:F624"/>
    <mergeCell ref="D626:F629"/>
    <mergeCell ref="D631:F631"/>
    <mergeCell ref="D655:F655"/>
    <mergeCell ref="E669:F669"/>
    <mergeCell ref="D671:F676"/>
    <mergeCell ref="D681:F693"/>
    <mergeCell ref="D654:F654"/>
    <mergeCell ref="D656:F656"/>
    <mergeCell ref="D658:F658"/>
    <mergeCell ref="D659:F659"/>
    <mergeCell ref="E660:F661"/>
    <mergeCell ref="D701:F703"/>
    <mergeCell ref="D705:F707"/>
    <mergeCell ref="D709:F712"/>
  </mergeCells>
  <dataValidations count="2">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300-000000000000}">
      <formula1>$I$2:$I$5</formula1>
    </dataValidation>
    <dataValidation type="list" allowBlank="1" showInputMessage="1" showErrorMessage="1" sqref="B15 B469 B464 B435 B437 B439 B135 B96 B82 B105 B38 B697 B694 B186 B747 B581 B573 B756 B744 B740 B735 B728 B714 B709 B705 B701 B678 B681 B671 B667 B663 B658 B638 B631 B626 B623 B616 B609 B606 B603 B601 B591 B584 B578 B644 B569 B567 B557 B552 B548 B545 B542 B539 B535 B532 B529 B526 B524 B511 B505 B495 B491 B486 B480 B466 B460 B455 B452 B445 B431 B428 B424 B421 B417 B410 B378 B372 B369 B336 B319 B317 B307 B297 B281 B279 B276 B270 B268 B260 B256 B253 B241 B235 B231 B228 B220 B214 B210 B200 B197 B178 B164 B159 B331 B122 B116 B113 B75 B67 B63 B60 B56 B53 B49 B44 B33 B30 B24 B21 B19 B477 B155" xr:uid="{00000000-0002-0000-0300-000001000000}">
      <formula1>$I$3:$I$5</formula1>
    </dataValidation>
  </dataValidations>
  <hyperlinks>
    <hyperlink ref="D411" r:id="rId1" xr:uid="{00000000-0004-0000-0300-000000000000}"/>
    <hyperlink ref="D650" r:id="rId2" xr:uid="{00000000-0004-0000-0300-000001000000}"/>
    <hyperlink ref="D153" r:id="rId3" xr:uid="{00000000-0004-0000-0300-000002000000}"/>
  </hyperlinks>
  <printOptions horizontalCentered="1"/>
  <pageMargins left="0.75" right="0.5" top="1" bottom="1" header="0.5" footer="0.5"/>
  <pageSetup scale="82" fitToHeight="20" orientation="portrait" r:id="rId4"/>
  <headerFooter alignWithMargins="0"/>
  <rowBreaks count="26" manualBreakCount="26">
    <brk id="59" max="6" man="1"/>
    <brk id="69" max="10" man="1"/>
    <brk id="121" max="6" man="1"/>
    <brk id="167" max="10" man="1"/>
    <brk id="171" max="10" man="1"/>
    <brk id="190" max="10" man="1"/>
    <brk id="222" max="10" man="1"/>
    <brk id="244" max="10" man="1"/>
    <brk id="262" max="10" man="1"/>
    <brk id="313" max="10" man="1"/>
    <brk id="368" max="6" man="1"/>
    <brk id="416" max="10" man="1"/>
    <brk id="446" max="10" man="1"/>
    <brk id="470" max="10" man="1"/>
    <brk id="514" max="10" man="1"/>
    <brk id="518" max="10" man="1"/>
    <brk id="561" max="10" man="1"/>
    <brk id="585" max="10" man="1"/>
    <brk id="594" max="10" man="1"/>
    <brk id="611" max="10" man="1"/>
    <brk id="632" max="10" man="1"/>
    <brk id="651" max="10" man="1"/>
    <brk id="708" max="6" man="1"/>
    <brk id="722" max="10" man="1"/>
    <brk id="750" max="10" man="1"/>
    <brk id="758"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54"/>
  <sheetViews>
    <sheetView showGridLines="0" showZeros="0" topLeftCell="B964" zoomScaleNormal="100" zoomScaleSheetLayoutView="100" workbookViewId="0">
      <selection activeCell="Z547" sqref="Z547:AD547"/>
    </sheetView>
  </sheetViews>
  <sheetFormatPr defaultColWidth="0" defaultRowHeight="0" customHeight="1" zeroHeight="1"/>
  <cols>
    <col min="1" max="36" width="2.5703125" style="15" customWidth="1"/>
    <col min="37" max="37" width="2.85546875" style="15" customWidth="1"/>
    <col min="38" max="38" width="2.5703125" style="15" customWidth="1"/>
    <col min="39" max="39" width="2.5703125" style="15" hidden="1" customWidth="1"/>
    <col min="40" max="40" width="8.5703125" style="15" hidden="1" customWidth="1"/>
    <col min="41" max="41" width="2.5703125" style="15" hidden="1" customWidth="1"/>
    <col min="42" max="42" width="3.28515625" style="15" hidden="1" customWidth="1"/>
    <col min="43" max="44" width="2.5703125" style="15" hidden="1" customWidth="1"/>
    <col min="45" max="45" width="5.5703125" style="15" hidden="1" customWidth="1"/>
    <col min="46" max="46" width="5.7109375" style="15" hidden="1" customWidth="1"/>
    <col min="47" max="47" width="7.7109375" style="15" hidden="1" customWidth="1"/>
    <col min="48" max="53" width="6.7109375" style="15" hidden="1" customWidth="1"/>
    <col min="54" max="54" width="15" style="15" hidden="1" customWidth="1"/>
    <col min="55" max="59" width="12.7109375" style="15" hidden="1" customWidth="1"/>
    <col min="60" max="60" width="11.5703125" style="15" hidden="1" customWidth="1"/>
    <col min="61" max="61" width="17.85546875" style="15" hidden="1" customWidth="1"/>
    <col min="62" max="62" width="12.5703125" style="15" hidden="1" customWidth="1"/>
    <col min="63" max="63" width="11.5703125" style="15" hidden="1" customWidth="1"/>
    <col min="64" max="65" width="11.7109375" style="15" hidden="1" customWidth="1"/>
    <col min="66" max="66" width="12.85546875" style="15" hidden="1" customWidth="1"/>
    <col min="67" max="82" width="2.7109375" style="15" hidden="1" customWidth="1"/>
    <col min="83" max="83" width="12.85546875" style="15" hidden="1" customWidth="1"/>
    <col min="84" max="16384" width="8.85546875" style="15" hidden="1"/>
  </cols>
  <sheetData>
    <row r="1" spans="1:38" ht="12.75">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75">
      <c r="A8" s="1587" t="s">
        <v>108</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462" t="s">
        <v>1598</v>
      </c>
      <c r="B9" s="1462"/>
      <c r="C9" s="1462"/>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462"/>
    </row>
    <row r="10" spans="1:38" ht="15" customHeight="1">
      <c r="A10" s="1481" t="s">
        <v>1580</v>
      </c>
      <c r="B10" s="1481"/>
      <c r="C10" s="1481"/>
      <c r="D10" s="1481"/>
      <c r="E10" s="1481"/>
      <c r="F10" s="1481"/>
      <c r="G10" s="1481"/>
      <c r="H10" s="1481"/>
      <c r="I10" s="1481"/>
      <c r="J10" s="1481"/>
      <c r="K10" s="1481"/>
      <c r="L10" s="1481"/>
      <c r="M10" s="1481"/>
      <c r="N10" s="1481"/>
      <c r="O10" s="1481"/>
      <c r="P10" s="1481"/>
      <c r="Q10" s="1481"/>
      <c r="R10" s="1481"/>
      <c r="S10" s="1481"/>
      <c r="T10" s="1481"/>
      <c r="U10" s="1481"/>
      <c r="V10" s="1481"/>
      <c r="W10" s="1481"/>
      <c r="X10" s="1481"/>
      <c r="Y10" s="1481"/>
      <c r="Z10" s="1481"/>
      <c r="AA10" s="1481"/>
      <c r="AB10" s="1481"/>
      <c r="AC10" s="1481"/>
      <c r="AD10" s="1481"/>
      <c r="AE10" s="1481"/>
      <c r="AF10" s="1481"/>
      <c r="AG10" s="1481"/>
      <c r="AH10" s="1481"/>
      <c r="AI10" s="1481"/>
      <c r="AJ10" s="1481"/>
      <c r="AK10" s="1481"/>
      <c r="AL10" s="1481"/>
    </row>
    <row r="11" spans="1:38" ht="15" customHeight="1">
      <c r="A11" s="1481" t="s">
        <v>1581</v>
      </c>
      <c r="B11" s="1481"/>
      <c r="C11" s="1481"/>
      <c r="D11" s="1481"/>
      <c r="E11" s="1481"/>
      <c r="F11" s="1481"/>
      <c r="G11" s="1481"/>
      <c r="H11" s="1481"/>
      <c r="I11" s="1481"/>
      <c r="J11" s="1481"/>
      <c r="K11" s="1481"/>
      <c r="L11" s="1481"/>
      <c r="M11" s="1481"/>
      <c r="N11" s="1481"/>
      <c r="O11" s="1481"/>
      <c r="P11" s="1481"/>
      <c r="Q11" s="1481"/>
      <c r="R11" s="1481"/>
      <c r="S11" s="1481"/>
      <c r="T11" s="1481"/>
      <c r="U11" s="1481"/>
      <c r="V11" s="1481"/>
      <c r="W11" s="1481"/>
      <c r="X11" s="1481"/>
      <c r="Y11" s="1481"/>
      <c r="Z11" s="1481"/>
      <c r="AA11" s="1481"/>
      <c r="AB11" s="1481"/>
      <c r="AC11" s="1481"/>
      <c r="AD11" s="1481"/>
      <c r="AE11" s="1481"/>
      <c r="AF11" s="1481"/>
      <c r="AG11" s="1481"/>
      <c r="AH11" s="1481"/>
      <c r="AI11" s="1481"/>
      <c r="AJ11" s="1481"/>
      <c r="AK11" s="1481"/>
      <c r="AL11" s="1481"/>
    </row>
    <row r="12" spans="1:38" ht="12.75">
      <c r="A12" s="1468" t="s">
        <v>1607</v>
      </c>
      <c r="B12" s="1483"/>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1483"/>
      <c r="AD12" s="1483"/>
      <c r="AE12" s="1483"/>
      <c r="AF12" s="1483"/>
      <c r="AG12" s="1483"/>
      <c r="AH12" s="1483"/>
      <c r="AI12" s="1483"/>
      <c r="AJ12" s="1483"/>
      <c r="AK12" s="1483"/>
      <c r="AL12" s="1483"/>
    </row>
    <row r="13" spans="1:38" ht="12.75">
      <c r="A13" s="977" t="s">
        <v>1510</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1495</v>
      </c>
      <c r="C16" s="8"/>
      <c r="D16" s="8"/>
      <c r="E16" s="8"/>
      <c r="F16" s="8"/>
      <c r="G16" s="8"/>
      <c r="H16" s="1283" t="s">
        <v>1675</v>
      </c>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row>
    <row r="17" spans="1:39" ht="12.75" customHeight="1"/>
    <row r="18" spans="1:39" ht="12.75" customHeight="1">
      <c r="A18" s="141" t="s">
        <v>109</v>
      </c>
      <c r="C18" s="8"/>
      <c r="D18" s="8"/>
      <c r="E18" s="8"/>
      <c r="F18" s="8"/>
      <c r="G18" s="8"/>
      <c r="H18" s="1118" t="s">
        <v>1676</v>
      </c>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row>
    <row r="19" spans="1:39" ht="12.75" customHeight="1"/>
    <row r="20" spans="1:39" ht="14.25" customHeight="1">
      <c r="A20" s="1464" t="s">
        <v>999</v>
      </c>
      <c r="B20" s="1464"/>
      <c r="C20" s="1464"/>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row>
    <row r="21" spans="1:39" ht="12.75" customHeight="1">
      <c r="A21" s="1486" t="s">
        <v>1205</v>
      </c>
      <c r="B21" s="1486"/>
      <c r="C21" s="1486"/>
      <c r="D21" s="1486"/>
      <c r="E21" s="1486"/>
      <c r="F21" s="1486"/>
      <c r="G21" s="1486"/>
      <c r="H21" s="1486"/>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c r="AL21" s="1486"/>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1498</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1154</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485">
        <f>IF(P204&gt;0,IF('FARMWORKER Basis &amp; Credits'!AB55&gt;0,'FARMWORKER Basis &amp; Credits'!AB55,'FARMWORKER Basis &amp; Credits'!AC55),IF('Basis &amp; Credits'!AB55&gt;0,'Basis &amp; Credits'!AB55,'Basis &amp; Credits'!AC55))</f>
        <v>531606.4</v>
      </c>
      <c r="N26" s="1485"/>
      <c r="O26" s="1485"/>
      <c r="P26" s="1485"/>
      <c r="Q26" s="1485"/>
      <c r="R26" s="8" t="s">
        <v>870</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137">
        <f>IF('FARMWORKER Basis &amp; Credits'!AB76&gt;0,'FARMWORKER Basis &amp; Credits'!AB76,0)</f>
        <v>0</v>
      </c>
      <c r="N27" s="1137"/>
      <c r="O27" s="1137"/>
      <c r="P27" s="1137"/>
      <c r="Q27" s="1137"/>
      <c r="R27" s="8" t="s">
        <v>1153</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852</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853</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854</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484</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485</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486</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487</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488</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489</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490</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491</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492</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493</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1064</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931</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1157</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1158</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1159</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1160</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1161</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1162</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1103</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1065</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2.75">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2.75">
      <c r="A58" s="142" t="s">
        <v>532</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2.75">
      <c r="A59" s="142" t="s">
        <v>855</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2.75">
      <c r="A61" s="189" t="s">
        <v>649</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2.75">
      <c r="A62" s="149" t="s">
        <v>520</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856</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2.75">
      <c r="A64" s="189" t="s">
        <v>857</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2.75">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2.75">
      <c r="A66" s="189" t="s">
        <v>858</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859</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796</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797</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2.75">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2.75">
      <c r="A72" s="189" t="s">
        <v>1209</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2.75">
      <c r="A73" s="145" t="s">
        <v>1164</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1163</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 customHeight="1">
      <c r="A76" s="189" t="s">
        <v>1156</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1155</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2.75">
      <c r="A78" s="145" t="s">
        <v>860</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2.75">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861</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2.75">
      <c r="A81" s="145" t="s">
        <v>862</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2.75">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2.75">
      <c r="A83" s="230" t="s">
        <v>1167</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1166</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2.75">
      <c r="A85" s="145" t="s">
        <v>1165</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2.75">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2.75">
      <c r="A87" s="189" t="s">
        <v>863</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1020</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2.75">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2.75">
      <c r="A90" s="490" t="s">
        <v>1037</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91" t="s">
        <v>1038</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2.75">
      <c r="A92" s="491" t="s">
        <v>1039</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2.75">
      <c r="A93" s="491" t="s">
        <v>1040</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2.75">
      <c r="A94" s="491" t="s">
        <v>1041</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2.75">
      <c r="A95" s="491" t="s">
        <v>1042</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2.75">
      <c r="A96" s="491" t="s">
        <v>1043</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2.75">
      <c r="A97" s="491" t="s">
        <v>1218</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2.75">
      <c r="A98" s="491"/>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2.75">
      <c r="A99" s="491" t="s">
        <v>1219</v>
      </c>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2.75">
      <c r="A100" s="491" t="s">
        <v>1220</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2.75">
      <c r="A101" s="490" t="s">
        <v>1222</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2.75">
      <c r="A102" s="490" t="s">
        <v>1221</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2.75">
      <c r="A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2.75">
      <c r="A104" s="189" t="s">
        <v>864</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2.75">
      <c r="A105" s="145" t="s">
        <v>865</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2.75">
      <c r="A106" s="145" t="s">
        <v>866</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2.75">
      <c r="A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2.75">
      <c r="A108" s="145" t="s">
        <v>867</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2.75">
      <c r="A109" s="145" t="s">
        <v>868</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2.75">
      <c r="B110" s="39"/>
      <c r="C110" s="39"/>
    </row>
    <row r="111" spans="1:39" s="43" customFormat="1" ht="12.75">
      <c r="A111" s="263"/>
      <c r="B111" s="263"/>
      <c r="C111" s="263" t="s">
        <v>198</v>
      </c>
      <c r="E111" s="263"/>
      <c r="F111" s="263"/>
      <c r="G111" s="1484"/>
      <c r="H111" s="1484"/>
      <c r="I111" s="263" t="s">
        <v>199</v>
      </c>
      <c r="J111" s="263"/>
      <c r="L111" s="1484"/>
      <c r="M111" s="1484"/>
      <c r="N111" s="1484"/>
      <c r="O111" s="263" t="s">
        <v>1597</v>
      </c>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2.7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row>
    <row r="113" spans="1:38" ht="12.75">
      <c r="A113" s="62"/>
      <c r="B113" s="62"/>
      <c r="C113" s="1482"/>
      <c r="D113" s="1482"/>
      <c r="E113" s="1482"/>
      <c r="F113" s="1482"/>
      <c r="G113" s="1482"/>
      <c r="H113" s="1482"/>
      <c r="I113" s="1482"/>
      <c r="J113" s="1482"/>
      <c r="K113" s="1482"/>
      <c r="L113" s="353" t="s">
        <v>708</v>
      </c>
      <c r="M113" s="353"/>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2.75">
      <c r="A114" s="62"/>
      <c r="B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t="s">
        <v>709</v>
      </c>
      <c r="Y115" s="1466"/>
      <c r="Z115" s="1466"/>
      <c r="AA115" s="1466"/>
      <c r="AB115" s="1466"/>
      <c r="AC115" s="1466"/>
      <c r="AD115" s="1466"/>
      <c r="AE115" s="1466"/>
      <c r="AF115" s="1466"/>
      <c r="AG115" s="1466"/>
      <c r="AH115" s="1466"/>
      <c r="AI115" s="1466"/>
      <c r="AJ115" s="1466"/>
      <c r="AK115" s="1466"/>
      <c r="AL115" s="62"/>
    </row>
    <row r="116" spans="1:38"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t="s">
        <v>710</v>
      </c>
      <c r="AA116" s="62"/>
      <c r="AB116" s="62"/>
      <c r="AC116" s="62"/>
      <c r="AD116" s="62"/>
      <c r="AE116" s="62"/>
      <c r="AF116" s="62"/>
      <c r="AG116" s="62"/>
      <c r="AH116" s="62"/>
      <c r="AI116" s="62"/>
      <c r="AJ116" s="62"/>
      <c r="AK116" s="62"/>
      <c r="AL116" s="62"/>
    </row>
    <row r="117" spans="1:38"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row>
    <row r="118" spans="1:38"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1466"/>
      <c r="Z118" s="1466"/>
      <c r="AA118" s="1466"/>
      <c r="AB118" s="1466"/>
      <c r="AC118" s="1466"/>
      <c r="AD118" s="1466"/>
      <c r="AE118" s="1466"/>
      <c r="AF118" s="1466"/>
      <c r="AG118" s="1466"/>
      <c r="AH118" s="1466"/>
      <c r="AI118" s="1466"/>
      <c r="AJ118" s="1466"/>
      <c r="AK118" s="1466"/>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t="s">
        <v>711</v>
      </c>
      <c r="AA119" s="62"/>
      <c r="AB119" s="62"/>
      <c r="AC119" s="62"/>
      <c r="AD119" s="62"/>
      <c r="AE119" s="62"/>
      <c r="AF119" s="62"/>
      <c r="AG119" s="62"/>
      <c r="AH119" s="62"/>
      <c r="AI119" s="62"/>
      <c r="AJ119" s="62"/>
      <c r="AK119" s="62"/>
      <c r="AL119" s="62"/>
    </row>
    <row r="120" spans="1:38"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row>
    <row r="121" spans="1:38"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1466"/>
      <c r="Z121" s="1466"/>
      <c r="AA121" s="1466"/>
      <c r="AB121" s="1466"/>
      <c r="AC121" s="1466"/>
      <c r="AD121" s="1466"/>
      <c r="AE121" s="1466"/>
      <c r="AF121" s="1466"/>
      <c r="AG121" s="1466"/>
      <c r="AH121" s="1466"/>
      <c r="AI121" s="1466"/>
      <c r="AJ121" s="1466"/>
      <c r="AK121" s="1466"/>
      <c r="AL121" s="62"/>
    </row>
    <row r="122" spans="1:38"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t="s">
        <v>712</v>
      </c>
      <c r="AA122" s="62"/>
      <c r="AB122" s="62"/>
      <c r="AC122" s="62"/>
      <c r="AD122" s="62"/>
      <c r="AE122" s="62"/>
      <c r="AF122" s="62"/>
      <c r="AG122" s="62"/>
      <c r="AH122" s="62"/>
      <c r="AI122" s="62"/>
      <c r="AJ122" s="62"/>
      <c r="AK122" s="62"/>
      <c r="AL122" s="62"/>
    </row>
    <row r="123" spans="1:38"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row>
    <row r="124" spans="1:38"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2.75">
      <c r="A126" s="1468" t="s">
        <v>713</v>
      </c>
      <c r="B126" s="1468"/>
      <c r="C126" s="1468"/>
      <c r="D126" s="1468"/>
      <c r="E126" s="1468"/>
      <c r="F126" s="1468"/>
      <c r="G126" s="1468"/>
      <c r="H126" s="1468"/>
      <c r="I126" s="1468"/>
      <c r="J126" s="1468"/>
      <c r="K126" s="1468"/>
      <c r="L126" s="1468"/>
      <c r="M126" s="1468"/>
      <c r="N126" s="1468"/>
      <c r="O126" s="1468"/>
      <c r="P126" s="1468"/>
      <c r="Q126" s="1468"/>
      <c r="R126" s="1468"/>
      <c r="S126" s="1468"/>
      <c r="T126" s="1468"/>
      <c r="U126" s="1468"/>
      <c r="V126" s="1468"/>
      <c r="W126" s="1468"/>
      <c r="X126" s="1468"/>
      <c r="Y126" s="1468"/>
      <c r="Z126" s="1468"/>
      <c r="AA126" s="1468"/>
      <c r="AB126" s="1468"/>
      <c r="AC126" s="1468"/>
      <c r="AD126" s="1468"/>
      <c r="AE126" s="1468"/>
      <c r="AF126" s="1468"/>
      <c r="AG126" s="1468"/>
      <c r="AH126" s="1468"/>
      <c r="AI126" s="1468"/>
      <c r="AJ126" s="1468"/>
      <c r="AK126" s="1468"/>
      <c r="AL126" s="1468"/>
    </row>
    <row r="127" spans="1:38" ht="12.75">
      <c r="A127" s="532"/>
      <c r="B127" s="532"/>
      <c r="C127" s="532"/>
      <c r="D127" s="532"/>
      <c r="E127" s="532"/>
      <c r="F127" s="532"/>
      <c r="G127" s="532"/>
      <c r="H127" s="532"/>
      <c r="I127" s="532"/>
      <c r="J127" s="532"/>
      <c r="K127" s="532"/>
      <c r="L127" s="532"/>
      <c r="M127" s="532"/>
      <c r="N127" s="532"/>
      <c r="O127" s="532"/>
      <c r="P127" s="532"/>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row>
    <row r="128" spans="1:38" ht="12.75">
      <c r="A128" s="532"/>
      <c r="B128" s="533" t="s">
        <v>1127</v>
      </c>
      <c r="C128" s="534"/>
      <c r="D128" s="534"/>
      <c r="E128" s="534"/>
      <c r="F128" s="534"/>
      <c r="G128" s="534"/>
      <c r="H128" s="534"/>
      <c r="I128" s="534"/>
      <c r="J128" s="534"/>
      <c r="K128" s="534"/>
      <c r="L128" s="534"/>
      <c r="M128" s="534"/>
      <c r="N128" s="534"/>
      <c r="O128" s="534"/>
      <c r="P128" s="534"/>
      <c r="Q128" s="534"/>
      <c r="R128" s="534"/>
      <c r="S128" s="534"/>
      <c r="T128" s="534"/>
      <c r="U128" s="534"/>
      <c r="V128" s="534"/>
      <c r="W128" s="534"/>
      <c r="X128" s="534"/>
      <c r="Y128" s="534"/>
      <c r="Z128" s="534"/>
      <c r="AA128" s="534"/>
      <c r="AB128" s="534"/>
      <c r="AC128" s="534"/>
      <c r="AD128" s="534"/>
      <c r="AE128" s="534"/>
      <c r="AF128" s="534"/>
      <c r="AG128" s="534"/>
      <c r="AH128" s="534"/>
      <c r="AI128" s="534"/>
      <c r="AJ128" s="534"/>
      <c r="AK128" s="535"/>
      <c r="AL128" s="532"/>
    </row>
    <row r="129" spans="1:38" ht="12.75">
      <c r="A129" s="532"/>
      <c r="B129" s="536" t="s">
        <v>1128</v>
      </c>
      <c r="C129" s="537"/>
      <c r="D129" s="537"/>
      <c r="E129" s="537"/>
      <c r="F129" s="537"/>
      <c r="G129" s="537"/>
      <c r="H129" s="537"/>
      <c r="I129" s="537"/>
      <c r="J129" s="537"/>
      <c r="K129" s="537"/>
      <c r="L129" s="537"/>
      <c r="M129" s="537"/>
      <c r="N129" s="537"/>
      <c r="O129" s="537"/>
      <c r="P129" s="537"/>
      <c r="Q129" s="537"/>
      <c r="R129" s="537"/>
      <c r="S129" s="537"/>
      <c r="T129" s="537"/>
      <c r="U129" s="537"/>
      <c r="V129" s="537"/>
      <c r="W129" s="537"/>
      <c r="X129" s="537"/>
      <c r="Y129" s="537"/>
      <c r="Z129" s="537"/>
      <c r="AA129" s="537"/>
      <c r="AB129" s="537"/>
      <c r="AC129" s="537"/>
      <c r="AD129" s="537"/>
      <c r="AE129" s="537"/>
      <c r="AF129" s="537"/>
      <c r="AG129" s="537"/>
      <c r="AH129" s="537"/>
      <c r="AI129" s="537"/>
      <c r="AJ129" s="537"/>
      <c r="AK129" s="538"/>
      <c r="AL129" s="532"/>
    </row>
    <row r="130" spans="1:38" ht="12.75">
      <c r="A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row>
    <row r="131" spans="1:38" ht="12.75" customHeight="1">
      <c r="A131" s="62"/>
      <c r="B131" s="62" t="s">
        <v>391</v>
      </c>
      <c r="C131" s="62"/>
      <c r="D131" s="62"/>
      <c r="F131" s="1467"/>
      <c r="G131" s="1467"/>
      <c r="H131" s="1467"/>
      <c r="I131" s="1467"/>
      <c r="J131" s="1467"/>
      <c r="K131" s="1467"/>
      <c r="L131" s="1467"/>
      <c r="M131" s="1467"/>
      <c r="N131" s="62" t="s">
        <v>392</v>
      </c>
      <c r="P131" s="62"/>
      <c r="Q131" s="62"/>
      <c r="AG131" s="62"/>
      <c r="AH131" s="62"/>
      <c r="AI131" s="62"/>
      <c r="AJ131" s="62"/>
      <c r="AK131" s="62"/>
      <c r="AL131" s="62"/>
    </row>
    <row r="132" spans="1:38" ht="12.75" customHeight="1">
      <c r="A132" s="62"/>
      <c r="B132" s="62"/>
      <c r="C132" s="62"/>
      <c r="D132" s="62"/>
      <c r="E132" s="62"/>
      <c r="F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B133" s="62" t="s">
        <v>714</v>
      </c>
      <c r="C133" s="62"/>
      <c r="D133" s="62"/>
      <c r="E133" s="62"/>
      <c r="G133" s="1467"/>
      <c r="H133" s="1467"/>
      <c r="I133" s="1467"/>
      <c r="J133" s="1467"/>
      <c r="K133" s="1467"/>
      <c r="L133" s="1467"/>
      <c r="M133" s="1467"/>
      <c r="N133" s="1467"/>
      <c r="O133" s="62" t="s">
        <v>392</v>
      </c>
      <c r="P133" s="62"/>
      <c r="R133" s="62"/>
      <c r="S133" s="62"/>
      <c r="T133" s="62"/>
      <c r="U133" s="62"/>
      <c r="V133" s="62"/>
      <c r="W133" s="62"/>
      <c r="X133" s="62"/>
      <c r="Y133" s="62"/>
      <c r="Z133" s="62"/>
      <c r="AA133" s="62"/>
      <c r="AB133" s="62"/>
      <c r="AC133" s="62"/>
      <c r="AD133" s="62"/>
      <c r="AE133" s="62"/>
      <c r="AF133" s="62"/>
      <c r="AG133" s="62"/>
      <c r="AH133" s="62"/>
      <c r="AI133" s="62"/>
      <c r="AJ133" s="62"/>
      <c r="AK133" s="62"/>
      <c r="AL133" s="62"/>
    </row>
    <row r="134" spans="1:38" ht="12.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B135" s="62" t="s">
        <v>393</v>
      </c>
      <c r="C135" s="84"/>
      <c r="D135" s="1479"/>
      <c r="E135" s="1479"/>
      <c r="F135" s="1479"/>
      <c r="G135" s="1479"/>
      <c r="H135" s="1479"/>
      <c r="I135" s="1479"/>
      <c r="J135" s="1479"/>
      <c r="K135" s="1479"/>
      <c r="L135" s="62" t="s">
        <v>394</v>
      </c>
      <c r="M135" s="62"/>
      <c r="N135" s="191"/>
      <c r="O135" s="192"/>
      <c r="P135" s="1477"/>
      <c r="Q135" s="1477"/>
      <c r="R135" s="1477"/>
      <c r="S135" s="1477"/>
      <c r="T135" s="1477"/>
      <c r="U135" s="1477"/>
      <c r="V135" s="1477"/>
      <c r="W135" s="1477"/>
      <c r="X135" s="1477"/>
      <c r="Y135" s="1477"/>
      <c r="Z135" s="1477"/>
      <c r="AA135" s="1477"/>
      <c r="AB135" s="1477"/>
      <c r="AC135" s="1477"/>
      <c r="AD135" s="1477"/>
      <c r="AE135" s="1477"/>
      <c r="AF135" s="1477"/>
      <c r="AG135" s="1477"/>
      <c r="AH135" s="1477"/>
      <c r="AI135" s="1477"/>
      <c r="AJ135" s="1477"/>
      <c r="AK135" s="62" t="s">
        <v>395</v>
      </c>
      <c r="AL135" s="62"/>
    </row>
    <row r="136" spans="1:38" ht="12.75" customHeight="1">
      <c r="A136" s="62"/>
      <c r="B136" s="62" t="s">
        <v>396</v>
      </c>
      <c r="D136" s="62"/>
      <c r="E136" s="62"/>
      <c r="F136" s="62"/>
      <c r="G136" s="62"/>
      <c r="H136" s="62"/>
      <c r="I136" s="1479"/>
      <c r="J136" s="1479"/>
      <c r="K136" s="1479"/>
      <c r="L136" s="1479"/>
      <c r="M136" s="1479"/>
      <c r="N136" s="1479"/>
      <c r="O136" s="1479"/>
      <c r="P136" s="1479"/>
      <c r="Q136" s="1479"/>
      <c r="R136" s="1479"/>
      <c r="S136" s="1479"/>
      <c r="T136" s="1479"/>
      <c r="U136" s="1479"/>
      <c r="V136" s="1479"/>
      <c r="W136" s="1479"/>
      <c r="X136" s="1479"/>
      <c r="Y136" s="1479"/>
      <c r="Z136" s="1479"/>
      <c r="AA136" s="1479"/>
      <c r="AB136" s="1479"/>
      <c r="AC136" s="1479"/>
      <c r="AD136" s="1479"/>
      <c r="AE136" s="1479"/>
      <c r="AF136" s="1479"/>
      <c r="AG136" s="1479"/>
      <c r="AH136" s="1479"/>
      <c r="AI136" s="1479"/>
      <c r="AJ136" s="1479"/>
      <c r="AK136" s="62"/>
      <c r="AL136" s="62"/>
    </row>
    <row r="137" spans="1:38" ht="12.75" customHeight="1">
      <c r="A137" s="62"/>
      <c r="B137" s="1479"/>
      <c r="C137" s="1479"/>
      <c r="D137" s="1479"/>
      <c r="E137" s="1479"/>
      <c r="F137" s="1479"/>
      <c r="G137" s="1479"/>
      <c r="H137" s="1479"/>
      <c r="I137" s="1479"/>
      <c r="J137" s="1479"/>
      <c r="K137" s="1479"/>
      <c r="L137" s="1479"/>
      <c r="M137" s="1479"/>
      <c r="N137" s="1479"/>
      <c r="O137" s="1479"/>
      <c r="P137" s="1479"/>
      <c r="Q137" s="1479"/>
      <c r="R137" s="1479"/>
      <c r="S137" s="1479"/>
      <c r="T137" s="1479"/>
      <c r="U137" s="1479"/>
      <c r="V137" s="1479"/>
      <c r="W137" s="1479"/>
      <c r="X137" s="1479"/>
      <c r="Y137" s="1479"/>
      <c r="Z137" s="1479"/>
      <c r="AA137" s="1479"/>
      <c r="AB137" s="1479"/>
      <c r="AC137" s="1479"/>
      <c r="AD137" s="1479"/>
      <c r="AE137" s="1479"/>
      <c r="AF137" s="1479"/>
      <c r="AG137" s="1479"/>
      <c r="AH137" s="1479"/>
      <c r="AI137" s="1479"/>
      <c r="AJ137" s="1479"/>
      <c r="AK137" s="62"/>
      <c r="AL137" s="62"/>
    </row>
    <row r="138" spans="1:38" ht="12.75" customHeight="1">
      <c r="A138" s="62"/>
      <c r="B138" s="1479"/>
      <c r="C138" s="1479"/>
      <c r="D138" s="1479"/>
      <c r="E138" s="1479"/>
      <c r="F138" s="1479"/>
      <c r="G138" s="1479"/>
      <c r="H138" s="1479"/>
      <c r="I138" s="1479"/>
      <c r="J138" s="1479"/>
      <c r="K138" s="1479"/>
      <c r="L138" s="1479"/>
      <c r="M138" s="1479"/>
      <c r="N138" s="1479"/>
      <c r="O138" s="1479"/>
      <c r="P138" s="1479"/>
      <c r="Q138" s="1479"/>
      <c r="R138" s="1479"/>
      <c r="S138" s="193" t="s">
        <v>476</v>
      </c>
      <c r="T138" s="62"/>
      <c r="U138" s="62"/>
      <c r="V138" s="62"/>
      <c r="W138" s="62"/>
      <c r="X138" s="62"/>
      <c r="Y138" s="62"/>
      <c r="Z138" s="62"/>
      <c r="AA138" s="62"/>
      <c r="AB138" s="62"/>
      <c r="AC138" s="62"/>
      <c r="AD138" s="62"/>
      <c r="AE138" s="62"/>
      <c r="AF138" s="62"/>
      <c r="AG138" s="62"/>
      <c r="AH138" s="62"/>
      <c r="AI138" s="62"/>
      <c r="AJ138" s="62"/>
      <c r="AK138" s="62"/>
      <c r="AL138" s="62"/>
    </row>
    <row r="139" spans="1:38" ht="12.75" customHeight="1">
      <c r="A139" s="62"/>
      <c r="B139" s="194" t="s">
        <v>477</v>
      </c>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478</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479</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6"/>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B143" s="354" t="s">
        <v>140</v>
      </c>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196" t="s">
        <v>366</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B146" s="198" t="s">
        <v>141</v>
      </c>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480"/>
      <c r="G150" s="1480"/>
      <c r="H150" s="1480"/>
      <c r="I150" s="1480"/>
      <c r="J150" s="1480"/>
      <c r="K150" s="1480"/>
      <c r="L150" s="1480"/>
      <c r="M150" s="1480"/>
      <c r="N150" s="1480"/>
      <c r="O150" s="1480"/>
      <c r="P150" s="1480"/>
      <c r="Q150" s="1480"/>
      <c r="R150" s="1480"/>
      <c r="S150" s="1480"/>
      <c r="T150" s="1480"/>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6" t="s">
        <v>728</v>
      </c>
      <c r="F153" s="36"/>
      <c r="G153" s="36"/>
      <c r="H153" s="36"/>
      <c r="I153" s="36"/>
      <c r="J153" s="36"/>
      <c r="K153" s="36"/>
      <c r="L153" s="36"/>
      <c r="M153" s="36"/>
      <c r="N153" s="36"/>
      <c r="O153" s="1118" t="s">
        <v>1677</v>
      </c>
      <c r="P153" s="1242"/>
      <c r="Q153" s="1242"/>
      <c r="R153" s="1242"/>
      <c r="S153" s="1242"/>
      <c r="T153" s="1242"/>
      <c r="U153" s="1242"/>
      <c r="V153" s="1242"/>
      <c r="W153" s="1242"/>
      <c r="X153" s="1242"/>
      <c r="Y153" s="1242"/>
      <c r="Z153" s="1242"/>
      <c r="AA153" s="1242"/>
      <c r="AB153" s="1242"/>
      <c r="AC153" s="1242"/>
      <c r="AD153" s="1242"/>
      <c r="AE153" s="1242"/>
      <c r="AF153" s="1242"/>
      <c r="AG153" s="1242"/>
      <c r="AH153" s="1242"/>
    </row>
    <row r="154" spans="1:59" ht="12.75" customHeight="1">
      <c r="D154" s="505" t="s">
        <v>505</v>
      </c>
      <c r="F154" s="36"/>
      <c r="G154" s="36"/>
      <c r="H154" s="36"/>
      <c r="I154" s="36"/>
      <c r="J154" s="36"/>
      <c r="K154" s="36"/>
      <c r="L154" s="36"/>
      <c r="M154" s="36"/>
      <c r="N154" s="36"/>
      <c r="O154" s="1284" t="s">
        <v>1678</v>
      </c>
      <c r="P154" s="1126"/>
      <c r="Q154" s="1126"/>
      <c r="R154" s="1126"/>
      <c r="S154" s="1126"/>
      <c r="T154" s="1126"/>
      <c r="U154" s="1126"/>
      <c r="V154" s="1126"/>
      <c r="W154" s="1126"/>
      <c r="X154" s="1126"/>
      <c r="Y154" s="1126"/>
      <c r="Z154" s="1126"/>
      <c r="AA154" s="1126"/>
      <c r="AB154" s="1126"/>
      <c r="AC154" s="1126"/>
      <c r="AD154" s="1126"/>
      <c r="AE154" s="1126"/>
      <c r="AF154" s="1126"/>
      <c r="AG154" s="1126"/>
      <c r="AH154" s="1126"/>
      <c r="AM154" s="29"/>
    </row>
    <row r="155" spans="1:59" ht="12.75">
      <c r="D155" s="16" t="s">
        <v>507</v>
      </c>
      <c r="F155" s="16"/>
      <c r="G155" s="16"/>
      <c r="H155" s="16"/>
      <c r="I155" s="16"/>
      <c r="J155" s="16"/>
      <c r="K155" s="16"/>
      <c r="L155" s="16"/>
      <c r="M155" s="16"/>
      <c r="N155" s="16"/>
      <c r="O155" s="1475" t="s">
        <v>506</v>
      </c>
      <c r="P155" s="1475"/>
      <c r="Q155" s="1475"/>
      <c r="R155" s="1475"/>
      <c r="S155" s="1475"/>
      <c r="T155" s="1475"/>
      <c r="U155" s="1475"/>
      <c r="V155" s="1475"/>
      <c r="W155" s="1475"/>
      <c r="X155" s="1475"/>
      <c r="Y155" s="1475"/>
      <c r="Z155" s="1475"/>
      <c r="AA155" s="1475"/>
      <c r="AB155" s="1475"/>
      <c r="AC155" s="1475"/>
      <c r="AD155" s="1475"/>
      <c r="AE155" s="1475"/>
      <c r="AF155" s="1475"/>
      <c r="AG155" s="1475"/>
      <c r="AH155" s="1475"/>
      <c r="AM155" s="29"/>
    </row>
    <row r="156" spans="1:59" ht="12.75">
      <c r="D156" s="36" t="s">
        <v>339</v>
      </c>
      <c r="F156" s="36"/>
      <c r="G156" s="36"/>
      <c r="H156" s="36"/>
      <c r="I156" s="36"/>
      <c r="J156" s="36"/>
      <c r="K156" s="36"/>
      <c r="L156" s="36"/>
      <c r="M156" s="36"/>
      <c r="N156" s="36"/>
      <c r="O156" s="1121" t="s">
        <v>1679</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G156" s="15" t="s">
        <v>333</v>
      </c>
    </row>
    <row r="157" spans="1:59" ht="12.75">
      <c r="D157" s="36" t="s">
        <v>340</v>
      </c>
      <c r="F157" s="36"/>
      <c r="G157" s="36"/>
      <c r="H157" s="36"/>
      <c r="I157" s="36"/>
      <c r="J157" s="36"/>
      <c r="K157" s="36"/>
      <c r="L157" s="36"/>
      <c r="M157" s="36"/>
      <c r="N157" s="36"/>
      <c r="O157" s="1118" t="s">
        <v>1680</v>
      </c>
      <c r="P157" s="1242"/>
      <c r="Q157" s="1242"/>
      <c r="R157" s="1242"/>
      <c r="S157" s="1242"/>
      <c r="T157" s="1242"/>
      <c r="U157" s="1242"/>
      <c r="V157" s="1242"/>
      <c r="W157" s="1242"/>
      <c r="X157" s="1242"/>
      <c r="Y157" s="17"/>
      <c r="Z157" s="17"/>
      <c r="AA157" s="17"/>
      <c r="AB157" s="17"/>
      <c r="AC157" s="17"/>
      <c r="AD157" s="17"/>
      <c r="AE157" s="17"/>
      <c r="AF157" s="17"/>
      <c r="BA157" s="40" t="s">
        <v>719</v>
      </c>
      <c r="BG157" s="15" t="s">
        <v>552</v>
      </c>
    </row>
    <row r="158" spans="1:59" ht="12.75">
      <c r="D158" s="36" t="s">
        <v>341</v>
      </c>
      <c r="F158" s="36"/>
      <c r="G158" s="36"/>
      <c r="H158" s="36"/>
      <c r="I158" s="36"/>
      <c r="J158" s="36"/>
      <c r="K158" s="36"/>
      <c r="L158" s="36"/>
      <c r="M158" s="36"/>
      <c r="N158" s="36"/>
      <c r="O158" s="1277">
        <v>95448</v>
      </c>
      <c r="P158" s="1277"/>
      <c r="Q158" s="1277"/>
      <c r="R158" s="1277"/>
      <c r="S158" s="18"/>
      <c r="T158" s="18"/>
      <c r="U158" s="18"/>
      <c r="V158" s="18"/>
      <c r="W158" s="18"/>
      <c r="X158" s="18"/>
      <c r="Y158" s="18"/>
      <c r="Z158" s="18"/>
      <c r="AA158" s="18"/>
      <c r="AB158" s="18"/>
      <c r="AC158" s="18"/>
      <c r="AD158" s="18"/>
      <c r="AE158" s="18"/>
      <c r="AF158" s="18"/>
      <c r="BA158" s="40" t="s">
        <v>720</v>
      </c>
      <c r="BG158" s="15" t="s">
        <v>553</v>
      </c>
    </row>
    <row r="159" spans="1:59" ht="12.75">
      <c r="D159" s="36" t="s">
        <v>342</v>
      </c>
      <c r="F159" s="36"/>
      <c r="G159" s="36"/>
      <c r="H159" s="36"/>
      <c r="I159" s="36"/>
      <c r="J159" s="36"/>
      <c r="K159" s="36"/>
      <c r="L159" s="36"/>
      <c r="M159" s="36"/>
      <c r="N159" s="36"/>
      <c r="O159" s="1276" t="s">
        <v>1681</v>
      </c>
      <c r="P159" s="1276"/>
      <c r="Q159" s="1276"/>
      <c r="R159" s="1276"/>
      <c r="S159" s="1276"/>
      <c r="T159" s="1276"/>
      <c r="V159" s="153" t="s">
        <v>291</v>
      </c>
      <c r="W159" s="1278"/>
      <c r="X159" s="1278"/>
      <c r="Y159" s="19"/>
      <c r="Z159" s="19"/>
      <c r="AA159" s="19"/>
      <c r="AB159" s="19"/>
      <c r="AC159" s="19"/>
      <c r="AD159" s="19"/>
      <c r="AE159" s="19"/>
      <c r="AF159" s="19"/>
      <c r="BA159" s="40" t="s">
        <v>368</v>
      </c>
      <c r="BG159" s="15" t="s">
        <v>554</v>
      </c>
    </row>
    <row r="160" spans="1:59" ht="12.75">
      <c r="D160" s="36" t="s">
        <v>343</v>
      </c>
      <c r="F160" s="36"/>
      <c r="G160" s="36"/>
      <c r="H160" s="36"/>
      <c r="I160" s="36"/>
      <c r="J160" s="36"/>
      <c r="K160" s="36"/>
      <c r="L160" s="36"/>
      <c r="M160" s="36"/>
      <c r="N160" s="36"/>
      <c r="O160" s="1276" t="s">
        <v>1682</v>
      </c>
      <c r="P160" s="1276"/>
      <c r="Q160" s="1276"/>
      <c r="R160" s="1276"/>
      <c r="S160" s="1276"/>
      <c r="T160" s="1276"/>
      <c r="U160" s="19"/>
      <c r="V160" s="19"/>
      <c r="W160" s="19"/>
      <c r="X160" s="19"/>
      <c r="Y160" s="19"/>
      <c r="Z160" s="19"/>
      <c r="AA160" s="19"/>
      <c r="AB160" s="19"/>
      <c r="AC160" s="19"/>
      <c r="AD160" s="19"/>
      <c r="AE160" s="19"/>
      <c r="AF160" s="19"/>
      <c r="BA160" s="40" t="s">
        <v>746</v>
      </c>
      <c r="BG160" s="15" t="s">
        <v>555</v>
      </c>
    </row>
    <row r="161" spans="1:59" ht="12.75">
      <c r="D161" s="36" t="s">
        <v>344</v>
      </c>
      <c r="F161" s="36"/>
      <c r="G161" s="36"/>
      <c r="H161" s="36"/>
      <c r="I161" s="36"/>
      <c r="J161" s="36"/>
      <c r="K161" s="36"/>
      <c r="L161" s="36"/>
      <c r="M161" s="36"/>
      <c r="N161" s="36"/>
      <c r="O161" s="1472" t="s">
        <v>1683</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AW161" s="15" t="s">
        <v>755</v>
      </c>
      <c r="BA161" s="40" t="s">
        <v>747</v>
      </c>
      <c r="BG161" s="15" t="s">
        <v>556</v>
      </c>
    </row>
    <row r="162" spans="1:59" ht="12.75">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622</v>
      </c>
      <c r="BA162" s="40" t="s">
        <v>748</v>
      </c>
      <c r="BG162" s="15" t="s">
        <v>557</v>
      </c>
    </row>
    <row r="163" spans="1:59" ht="12.75">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749</v>
      </c>
      <c r="BG163" s="15" t="s">
        <v>558</v>
      </c>
    </row>
    <row r="164" spans="1:59" ht="12.75">
      <c r="C164" s="148"/>
      <c r="D164" s="819" t="s">
        <v>1608</v>
      </c>
      <c r="E164" s="268"/>
      <c r="F164" s="267"/>
      <c r="G164" s="267"/>
      <c r="H164" s="267"/>
      <c r="I164" s="267"/>
      <c r="J164" s="267"/>
      <c r="K164" s="267"/>
      <c r="L164" s="267"/>
      <c r="M164" s="267"/>
      <c r="N164" s="267"/>
      <c r="O164" s="269"/>
      <c r="P164" s="269"/>
      <c r="Q164" s="269"/>
      <c r="R164" s="269"/>
      <c r="S164" s="269"/>
      <c r="T164" s="269"/>
      <c r="U164" s="269"/>
      <c r="V164" s="269"/>
      <c r="W164" s="269"/>
      <c r="X164" s="269"/>
      <c r="Y164" s="269"/>
      <c r="Z164" s="269"/>
      <c r="AA164" s="266"/>
      <c r="AB164" s="266"/>
      <c r="AC164" s="266"/>
      <c r="AD164" s="266"/>
      <c r="AE164" s="266"/>
      <c r="AF164" s="266"/>
      <c r="AG164" s="266"/>
      <c r="AH164" s="266"/>
      <c r="AI164" s="43"/>
      <c r="AJ164" s="43"/>
      <c r="AK164" s="43"/>
      <c r="AL164" s="43"/>
      <c r="BA164" s="40" t="s">
        <v>750</v>
      </c>
      <c r="BG164" s="15" t="s">
        <v>559</v>
      </c>
    </row>
    <row r="165" spans="1:59" ht="12.75">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751</v>
      </c>
      <c r="BG165" s="15" t="s">
        <v>560</v>
      </c>
    </row>
    <row r="166" spans="1:59" ht="12.75">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753</v>
      </c>
      <c r="BG166" s="15" t="s">
        <v>561</v>
      </c>
    </row>
    <row r="167" spans="1:59" ht="12.75">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756</v>
      </c>
      <c r="BG167" s="15" t="s">
        <v>562</v>
      </c>
    </row>
    <row r="168" spans="1:59" ht="12.75">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757</v>
      </c>
      <c r="BG168" s="15" t="s">
        <v>563</v>
      </c>
    </row>
    <row r="169" spans="1:59" ht="12.75">
      <c r="A169" s="1264" t="s">
        <v>616</v>
      </c>
      <c r="B169" s="1264"/>
      <c r="C169" s="1264"/>
      <c r="D169" s="1264"/>
      <c r="E169" s="1264"/>
      <c r="F169" s="1264"/>
      <c r="G169" s="1264"/>
      <c r="H169" s="1264"/>
      <c r="I169" s="1264"/>
      <c r="J169" s="1264"/>
      <c r="K169" s="1264"/>
      <c r="L169" s="1264"/>
      <c r="M169" s="1264"/>
      <c r="N169" s="1264"/>
      <c r="O169" s="1264"/>
      <c r="P169" s="1264"/>
      <c r="Q169" s="1264"/>
      <c r="R169" s="1264"/>
      <c r="S169" s="1264"/>
      <c r="T169" s="1264"/>
      <c r="U169" s="1264"/>
      <c r="V169" s="1264"/>
      <c r="W169" s="1264"/>
      <c r="X169" s="1264"/>
      <c r="Y169" s="1264"/>
      <c r="Z169" s="1264"/>
      <c r="AA169" s="1264"/>
      <c r="AB169" s="1264"/>
      <c r="AC169" s="1264"/>
      <c r="AD169" s="1264"/>
      <c r="AE169" s="1264"/>
      <c r="AF169" s="1264"/>
      <c r="AG169" s="1264"/>
      <c r="AH169" s="1264"/>
      <c r="AI169" s="1264"/>
      <c r="AJ169" s="1264"/>
      <c r="AK169" s="1264"/>
      <c r="AL169" s="1264"/>
      <c r="BA169" s="40" t="s">
        <v>759</v>
      </c>
      <c r="BG169" s="15" t="s">
        <v>564</v>
      </c>
    </row>
    <row r="170" spans="1:59" ht="13.5" thickBot="1">
      <c r="A170" s="1265"/>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BA170" s="40" t="s">
        <v>760</v>
      </c>
      <c r="BG170" s="15" t="s">
        <v>565</v>
      </c>
    </row>
    <row r="171" spans="1:59" ht="12.75" customHeight="1" thickTop="1">
      <c r="A171" s="29"/>
      <c r="B171" s="29"/>
      <c r="C171" s="29"/>
      <c r="D171" s="29"/>
      <c r="E171" s="29"/>
      <c r="F171" s="29"/>
      <c r="G171" s="3"/>
      <c r="H171" s="29"/>
      <c r="AK171" s="3"/>
      <c r="AL171" s="3"/>
      <c r="BA171" s="40" t="s">
        <v>230</v>
      </c>
      <c r="BG171" s="15" t="s">
        <v>566</v>
      </c>
    </row>
    <row r="172" spans="1:59" ht="12.75">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567</v>
      </c>
    </row>
    <row r="173" spans="1:59" ht="12.75">
      <c r="A173" s="29"/>
      <c r="C173" s="42"/>
      <c r="D173" s="43" t="s">
        <v>347</v>
      </c>
      <c r="J173" s="1471" t="s">
        <v>416</v>
      </c>
      <c r="K173" s="1471"/>
      <c r="L173" s="1471"/>
      <c r="M173" s="1471"/>
      <c r="N173" s="1471"/>
      <c r="O173" s="1471"/>
      <c r="P173" s="1471"/>
      <c r="Q173" s="1471"/>
      <c r="R173" s="1471"/>
      <c r="S173" s="1471"/>
      <c r="U173" s="44"/>
      <c r="X173" s="44"/>
      <c r="AF173" s="29"/>
      <c r="AH173" s="29"/>
      <c r="AJ173" s="3"/>
      <c r="AK173" s="3"/>
      <c r="AL173" s="3"/>
      <c r="BA173" s="40" t="s">
        <v>233</v>
      </c>
      <c r="BG173" s="15" t="s">
        <v>568</v>
      </c>
    </row>
    <row r="174" spans="1:59" ht="12.75">
      <c r="A174" s="29"/>
      <c r="C174" s="42"/>
      <c r="D174" s="62" t="s">
        <v>1549</v>
      </c>
      <c r="E174" s="29"/>
      <c r="F174" s="29"/>
      <c r="G174" s="29"/>
      <c r="H174" s="29"/>
      <c r="I174" s="29"/>
      <c r="J174" s="1121" t="s">
        <v>1619</v>
      </c>
      <c r="K174" s="1121"/>
      <c r="L174" s="1121"/>
      <c r="M174" s="1121"/>
      <c r="N174" s="1121"/>
      <c r="O174" s="1121"/>
      <c r="P174" s="1121"/>
      <c r="Q174" s="1121"/>
      <c r="R174" s="1121"/>
      <c r="S174" s="1121"/>
      <c r="T174" s="1121"/>
      <c r="U174" s="1121"/>
      <c r="V174" s="1121"/>
      <c r="W174" s="1121"/>
      <c r="X174" s="1121"/>
      <c r="Y174" s="1121"/>
      <c r="Z174" s="1121"/>
      <c r="AA174" s="3"/>
      <c r="AH174" s="29"/>
      <c r="AJ174" s="3"/>
      <c r="AK174" s="3"/>
      <c r="AL174" s="3"/>
      <c r="BA174" s="40" t="s">
        <v>235</v>
      </c>
      <c r="BG174" s="15" t="s">
        <v>569</v>
      </c>
    </row>
    <row r="175" spans="1:59" ht="12.75">
      <c r="A175" s="29"/>
      <c r="C175" s="16"/>
      <c r="D175" s="62" t="s">
        <v>348</v>
      </c>
      <c r="F175" s="791"/>
      <c r="G175" s="791"/>
      <c r="H175" s="791"/>
      <c r="I175" s="791"/>
      <c r="J175" s="791"/>
      <c r="K175" s="791"/>
      <c r="L175" s="791"/>
      <c r="M175" s="791"/>
      <c r="N175" s="791"/>
      <c r="O175" s="46"/>
      <c r="Q175" s="29"/>
      <c r="R175" s="29"/>
      <c r="T175" s="791"/>
      <c r="U175" s="1122" t="s">
        <v>755</v>
      </c>
      <c r="V175" s="1122"/>
      <c r="Z175" s="29"/>
      <c r="AC175" s="29"/>
      <c r="AD175" s="29"/>
      <c r="AE175" s="29"/>
      <c r="AF175" s="29"/>
      <c r="AH175" s="29"/>
      <c r="AJ175" s="3"/>
      <c r="AK175" s="3"/>
      <c r="AL175" s="3"/>
      <c r="BA175" s="40" t="s">
        <v>236</v>
      </c>
      <c r="BG175" s="15" t="s">
        <v>570</v>
      </c>
    </row>
    <row r="176" spans="1:59" ht="12.75">
      <c r="A176" s="29"/>
      <c r="C176" s="16"/>
      <c r="D176" s="45"/>
      <c r="E176" s="791" t="s">
        <v>329</v>
      </c>
      <c r="F176" s="791"/>
      <c r="G176" s="791"/>
      <c r="H176" s="791"/>
      <c r="I176" s="791"/>
      <c r="J176" s="791"/>
      <c r="K176" s="791"/>
      <c r="L176" s="791"/>
      <c r="M176" s="791"/>
      <c r="N176" s="791"/>
      <c r="O176" s="46"/>
      <c r="P176" s="29" t="s">
        <v>330</v>
      </c>
      <c r="Q176" s="29"/>
      <c r="R176" s="29"/>
      <c r="S176" s="29" t="s">
        <v>331</v>
      </c>
      <c r="T176" s="791"/>
      <c r="U176" s="1465"/>
      <c r="V176" s="1465"/>
      <c r="W176" s="4" t="s">
        <v>332</v>
      </c>
      <c r="X176" s="1474"/>
      <c r="Y176" s="1474"/>
      <c r="AC176" s="29"/>
      <c r="AD176" s="29"/>
      <c r="AE176" s="29"/>
      <c r="AF176" s="29"/>
      <c r="AH176" s="29"/>
      <c r="AJ176" s="3"/>
      <c r="AK176" s="3"/>
      <c r="AL176" s="3"/>
      <c r="BA176" s="40" t="s">
        <v>238</v>
      </c>
      <c r="BG176" s="15" t="s">
        <v>571</v>
      </c>
    </row>
    <row r="177" spans="1:59" s="791" customFormat="1" ht="12.75">
      <c r="A177" s="29"/>
      <c r="B177" s="15"/>
      <c r="C177" s="47"/>
      <c r="D177" s="15"/>
      <c r="E177" s="29"/>
      <c r="F177" s="29"/>
      <c r="G177" s="29"/>
      <c r="H177" s="29"/>
      <c r="I177" s="29"/>
      <c r="J177" s="29"/>
      <c r="K177" s="29"/>
      <c r="L177" s="29"/>
      <c r="M177" s="29"/>
      <c r="N177" s="29"/>
      <c r="O177" s="29"/>
      <c r="P177" s="15"/>
      <c r="Q177" s="15"/>
      <c r="R177" s="15"/>
      <c r="S177" s="29"/>
      <c r="T177" s="3"/>
      <c r="U177" s="15"/>
      <c r="V177" s="15"/>
      <c r="W177" s="3"/>
      <c r="X177" s="3"/>
      <c r="Y177" s="3"/>
      <c r="AD177" s="29"/>
      <c r="AF177" s="29"/>
      <c r="AH177" s="29"/>
      <c r="AJ177" s="753"/>
      <c r="AK177" s="753"/>
      <c r="AL177" s="753"/>
      <c r="BA177" s="40" t="s">
        <v>239</v>
      </c>
      <c r="BG177" s="791" t="s">
        <v>572</v>
      </c>
    </row>
    <row r="178" spans="1:59" s="791" customFormat="1" ht="12.75">
      <c r="A178" s="29"/>
      <c r="B178" s="15"/>
      <c r="C178" s="47"/>
      <c r="D178" s="29" t="s">
        <v>269</v>
      </c>
      <c r="E178" s="15"/>
      <c r="F178" s="15"/>
      <c r="G178" s="15"/>
      <c r="H178" s="15"/>
      <c r="I178" s="15"/>
      <c r="J178" s="15"/>
      <c r="K178" s="15"/>
      <c r="L178" s="15"/>
      <c r="M178" s="29"/>
      <c r="N178" s="15"/>
      <c r="O178" s="15"/>
      <c r="P178" s="15"/>
      <c r="Q178" s="15"/>
      <c r="R178" s="15"/>
      <c r="S178" s="29"/>
      <c r="T178" s="3"/>
      <c r="U178" s="1122" t="s">
        <v>622</v>
      </c>
      <c r="V178" s="1122"/>
      <c r="W178" s="3"/>
      <c r="X178" s="15"/>
      <c r="Y178" s="15"/>
      <c r="AA178" s="39"/>
      <c r="AD178" s="29"/>
      <c r="AF178" s="29"/>
      <c r="AH178" s="29"/>
      <c r="AJ178" s="753"/>
      <c r="AK178" s="753"/>
      <c r="AL178" s="753"/>
      <c r="BA178" s="40" t="s">
        <v>240</v>
      </c>
      <c r="BG178" s="791" t="s">
        <v>59</v>
      </c>
    </row>
    <row r="179" spans="1:59" s="791" customFormat="1" ht="12.75">
      <c r="A179" s="29"/>
      <c r="B179" s="15"/>
      <c r="C179" s="47"/>
      <c r="D179" s="62" t="s">
        <v>1550</v>
      </c>
      <c r="E179" s="15"/>
      <c r="F179" s="15"/>
      <c r="G179" s="15"/>
      <c r="H179" s="15"/>
      <c r="I179" s="15"/>
      <c r="J179" s="15"/>
      <c r="K179" s="15"/>
      <c r="L179" s="15"/>
      <c r="M179" s="15"/>
      <c r="N179" s="15"/>
      <c r="P179" s="29"/>
      <c r="R179" s="15"/>
      <c r="S179" s="15"/>
      <c r="T179" s="15"/>
      <c r="U179" s="15"/>
      <c r="V179" s="15"/>
      <c r="W179" s="15"/>
      <c r="X179" s="15"/>
      <c r="Y179" s="15"/>
      <c r="AE179" s="29"/>
      <c r="AJ179" s="753"/>
      <c r="AK179" s="753"/>
      <c r="AL179" s="753"/>
      <c r="BA179" s="40" t="s">
        <v>241</v>
      </c>
      <c r="BG179" s="791" t="s">
        <v>60</v>
      </c>
    </row>
    <row r="180" spans="1:59" s="791" customFormat="1" ht="12.75">
      <c r="A180" s="29"/>
      <c r="B180" s="15"/>
      <c r="C180" s="47"/>
      <c r="E180" s="29" t="s">
        <v>330</v>
      </c>
      <c r="G180" s="29"/>
      <c r="H180" s="29" t="s">
        <v>331</v>
      </c>
      <c r="J180" s="1119"/>
      <c r="K180" s="1119"/>
      <c r="L180" s="4" t="s">
        <v>332</v>
      </c>
      <c r="M180" s="1120"/>
      <c r="N180" s="1120"/>
      <c r="R180" s="61"/>
      <c r="T180" s="29"/>
      <c r="U180" s="29"/>
      <c r="V180" s="29"/>
      <c r="W180" s="29"/>
      <c r="X180" s="29"/>
      <c r="Y180" s="29"/>
      <c r="Z180" s="965"/>
      <c r="AA180" s="965"/>
      <c r="AB180" s="965"/>
      <c r="AC180" s="965"/>
      <c r="AD180" s="965"/>
      <c r="AE180" s="29"/>
      <c r="AJ180" s="753"/>
      <c r="AK180" s="753"/>
      <c r="AL180" s="753"/>
      <c r="BA180" s="40" t="s">
        <v>243</v>
      </c>
      <c r="BG180" s="791" t="s">
        <v>61</v>
      </c>
    </row>
    <row r="181" spans="1:59" s="791" customFormat="1" ht="12.95" customHeight="1">
      <c r="A181" s="29"/>
      <c r="B181" s="15"/>
      <c r="C181" s="48"/>
      <c r="D181" s="753" t="s">
        <v>508</v>
      </c>
      <c r="E181" s="29"/>
      <c r="X181" s="1122" t="s">
        <v>622</v>
      </c>
      <c r="Y181" s="1122"/>
      <c r="AJ181" s="753"/>
      <c r="AK181" s="753"/>
      <c r="AL181" s="753"/>
      <c r="BA181" s="40" t="s">
        <v>244</v>
      </c>
      <c r="BG181" s="791" t="s">
        <v>62</v>
      </c>
    </row>
    <row r="182" spans="1:59" ht="12.75">
      <c r="A182" s="29"/>
      <c r="C182" s="48"/>
      <c r="D182" s="8"/>
      <c r="E182" s="8" t="s">
        <v>1131</v>
      </c>
      <c r="F182" s="791"/>
      <c r="G182" s="791"/>
      <c r="H182" s="791"/>
      <c r="I182" s="791"/>
      <c r="J182" s="791"/>
      <c r="K182" s="791"/>
      <c r="L182" s="791"/>
      <c r="M182" s="791"/>
      <c r="N182" s="791"/>
      <c r="O182" s="791"/>
      <c r="P182" s="791"/>
      <c r="Q182" s="791"/>
      <c r="R182" s="791"/>
      <c r="S182" s="791"/>
      <c r="T182" s="791"/>
      <c r="U182" s="791"/>
      <c r="V182" s="791"/>
      <c r="W182" s="791"/>
      <c r="X182" s="791"/>
      <c r="Y182" s="791"/>
      <c r="Z182" s="29"/>
      <c r="AA182" s="29"/>
      <c r="AB182" s="791"/>
      <c r="AC182" s="791"/>
      <c r="AD182" s="791"/>
      <c r="AE182" s="29"/>
      <c r="AF182" s="29"/>
      <c r="AG182" s="791"/>
      <c r="AJ182" s="3"/>
      <c r="AK182" s="3"/>
      <c r="AL182" s="3"/>
      <c r="BA182" s="40" t="s">
        <v>245</v>
      </c>
      <c r="BG182" s="15" t="s">
        <v>66</v>
      </c>
    </row>
    <row r="183" spans="1:59" ht="12.75">
      <c r="A183" s="29"/>
      <c r="C183" s="48"/>
      <c r="D183" s="548" t="s">
        <v>1149</v>
      </c>
      <c r="E183" s="61"/>
      <c r="G183" s="29"/>
      <c r="H183" s="29"/>
      <c r="I183" s="29"/>
      <c r="J183" s="29"/>
      <c r="R183" s="1122" t="s">
        <v>755</v>
      </c>
      <c r="S183" s="1140"/>
      <c r="W183" s="29"/>
      <c r="Z183" s="29"/>
      <c r="AA183" s="29"/>
      <c r="AE183" s="29"/>
      <c r="AF183" s="29"/>
      <c r="AH183" s="29"/>
      <c r="AJ183" s="3"/>
      <c r="AK183" s="3"/>
      <c r="AL183" s="3"/>
      <c r="BA183" s="40" t="s">
        <v>247</v>
      </c>
      <c r="BG183" s="15" t="s">
        <v>67</v>
      </c>
    </row>
    <row r="184" spans="1:59" ht="12.75">
      <c r="A184" s="3"/>
      <c r="C184" s="29"/>
      <c r="D184" s="29"/>
      <c r="E184" s="29"/>
      <c r="F184" s="29"/>
      <c r="G184" s="29"/>
      <c r="H184" s="29"/>
      <c r="I184" s="29"/>
      <c r="J184" s="29"/>
      <c r="S184" s="29"/>
      <c r="T184" s="29"/>
      <c r="Z184" s="29"/>
      <c r="AA184" s="29"/>
      <c r="AD184" s="29"/>
      <c r="AE184" s="29"/>
      <c r="AF184" s="29"/>
      <c r="AH184" s="29"/>
      <c r="AJ184" s="3"/>
      <c r="AK184" s="3"/>
      <c r="AL184" s="3"/>
      <c r="AM184" s="29" t="s">
        <v>668</v>
      </c>
      <c r="BA184" s="40" t="s">
        <v>249</v>
      </c>
      <c r="BG184" s="15" t="s">
        <v>68</v>
      </c>
    </row>
    <row r="185" spans="1:59" ht="12.75">
      <c r="A185" s="41" t="s">
        <v>657</v>
      </c>
      <c r="C185" s="41" t="s">
        <v>658</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669</v>
      </c>
      <c r="BA185" s="40" t="s">
        <v>250</v>
      </c>
      <c r="BG185" s="15" t="s">
        <v>69</v>
      </c>
    </row>
    <row r="186" spans="1:59" ht="12.75">
      <c r="A186" s="29"/>
      <c r="C186" s="49"/>
      <c r="D186" s="29" t="s">
        <v>659</v>
      </c>
      <c r="E186" s="29"/>
      <c r="F186" s="29"/>
      <c r="G186" s="29"/>
      <c r="H186" s="29"/>
      <c r="I186" s="1123" t="str">
        <f>H18</f>
        <v>Oak Grove</v>
      </c>
      <c r="J186" s="1123"/>
      <c r="K186" s="1123"/>
      <c r="L186" s="1123"/>
      <c r="M186" s="1123"/>
      <c r="N186" s="1123"/>
      <c r="O186" s="1123"/>
      <c r="P186" s="1123"/>
      <c r="Q186" s="1123"/>
      <c r="R186" s="1123"/>
      <c r="S186" s="1123"/>
      <c r="T186" s="1123"/>
      <c r="U186" s="1123"/>
      <c r="V186" s="1123"/>
      <c r="W186" s="1123"/>
      <c r="X186" s="1123"/>
      <c r="Y186" s="1123"/>
      <c r="Z186" s="1123"/>
      <c r="AA186" s="1123"/>
      <c r="AB186" s="1123"/>
      <c r="AC186" s="1123"/>
      <c r="AD186" s="1123"/>
      <c r="AE186" s="1123"/>
      <c r="AF186" s="29"/>
      <c r="AH186" s="29"/>
      <c r="AJ186" s="3"/>
      <c r="AK186" s="3"/>
      <c r="AL186" s="3"/>
      <c r="BA186" s="40" t="s">
        <v>251</v>
      </c>
      <c r="BG186" s="15" t="s">
        <v>70</v>
      </c>
    </row>
    <row r="187" spans="1:59" ht="12.75">
      <c r="A187" s="29"/>
      <c r="C187" s="49"/>
      <c r="D187" s="29" t="s">
        <v>660</v>
      </c>
      <c r="E187" s="29"/>
      <c r="F187" s="29"/>
      <c r="G187" s="29"/>
      <c r="H187" s="29"/>
      <c r="I187" s="1141" t="s">
        <v>1684</v>
      </c>
      <c r="J187" s="1141"/>
      <c r="K187" s="1141"/>
      <c r="L187" s="1141"/>
      <c r="M187" s="1141"/>
      <c r="N187" s="1141"/>
      <c r="O187" s="1141"/>
      <c r="P187" s="1141"/>
      <c r="Q187" s="1141"/>
      <c r="R187" s="1141"/>
      <c r="S187" s="1141"/>
      <c r="T187" s="1141"/>
      <c r="U187" s="1141"/>
      <c r="V187" s="1141"/>
      <c r="W187" s="1141"/>
      <c r="X187" s="1141"/>
      <c r="Y187" s="1141"/>
      <c r="Z187" s="1141"/>
      <c r="AA187" s="1141"/>
      <c r="AB187" s="1141"/>
      <c r="AC187" s="1141"/>
      <c r="AD187" s="1141"/>
      <c r="AE187" s="1141"/>
      <c r="AF187" s="29"/>
      <c r="AH187" s="29"/>
      <c r="AJ187" s="3"/>
      <c r="AK187" s="3"/>
      <c r="AL187" s="3"/>
      <c r="BA187" s="40" t="s">
        <v>252</v>
      </c>
      <c r="BG187" s="15" t="s">
        <v>71</v>
      </c>
    </row>
    <row r="188" spans="1:59" ht="12.75">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2.75">
      <c r="A189" s="29"/>
      <c r="C189" s="49"/>
      <c r="D189" s="29"/>
      <c r="E189" s="1281"/>
      <c r="F189" s="1281"/>
      <c r="G189" s="1281"/>
      <c r="H189" s="1281"/>
      <c r="I189" s="1281"/>
      <c r="J189" s="1281"/>
      <c r="K189" s="1281"/>
      <c r="L189" s="1281"/>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29"/>
      <c r="AH189" s="29"/>
      <c r="AJ189" s="3"/>
      <c r="AK189" s="3"/>
      <c r="AL189" s="3"/>
      <c r="AP189" s="15" t="s">
        <v>333</v>
      </c>
      <c r="BA189" s="40" t="s">
        <v>255</v>
      </c>
      <c r="BG189" s="15" t="s">
        <v>73</v>
      </c>
    </row>
    <row r="190" spans="1:59" ht="12.75">
      <c r="A190" s="29"/>
      <c r="C190" s="49"/>
      <c r="D190" s="29"/>
      <c r="E190" s="1282"/>
      <c r="F190" s="1282"/>
      <c r="G190" s="1282"/>
      <c r="H190" s="1282"/>
      <c r="I190" s="1282"/>
      <c r="J190" s="1282"/>
      <c r="K190" s="1282"/>
      <c r="L190" s="1282"/>
      <c r="M190" s="1282"/>
      <c r="N190" s="1282"/>
      <c r="O190" s="1282"/>
      <c r="P190" s="1282"/>
      <c r="Q190" s="1282"/>
      <c r="R190" s="1282"/>
      <c r="S190" s="1282"/>
      <c r="T190" s="1282"/>
      <c r="U190" s="1282"/>
      <c r="V190" s="1282"/>
      <c r="W190" s="1282"/>
      <c r="X190" s="1282"/>
      <c r="Y190" s="1282"/>
      <c r="Z190" s="1282"/>
      <c r="AA190" s="1282"/>
      <c r="AB190" s="1282"/>
      <c r="AC190" s="1282"/>
      <c r="AD190" s="1282"/>
      <c r="AE190" s="1282"/>
      <c r="AF190" s="29"/>
      <c r="AH190" s="29"/>
      <c r="AJ190" s="3"/>
      <c r="AK190" s="3"/>
      <c r="AL190" s="3"/>
      <c r="AP190" s="15" t="s">
        <v>1252</v>
      </c>
      <c r="BA190" s="40" t="s">
        <v>718</v>
      </c>
      <c r="BG190" s="15" t="s">
        <v>74</v>
      </c>
    </row>
    <row r="191" spans="1:59" ht="12.75">
      <c r="A191" s="29"/>
      <c r="C191" s="49"/>
      <c r="D191" s="29" t="s">
        <v>661</v>
      </c>
      <c r="E191" s="29"/>
      <c r="I191" s="1121" t="s">
        <v>1680</v>
      </c>
      <c r="J191" s="1121"/>
      <c r="K191" s="1121"/>
      <c r="L191" s="1121"/>
      <c r="M191" s="1121"/>
      <c r="N191" s="1121"/>
      <c r="O191" s="1121"/>
      <c r="P191" s="1121"/>
      <c r="Q191" s="29" t="s">
        <v>663</v>
      </c>
      <c r="T191" s="1121" t="s">
        <v>191</v>
      </c>
      <c r="U191" s="1121"/>
      <c r="V191" s="1121"/>
      <c r="W191" s="1121"/>
      <c r="X191" s="1121"/>
      <c r="Y191" s="1121"/>
      <c r="Z191" s="1121"/>
      <c r="AA191" s="1121"/>
      <c r="AB191" s="1121"/>
      <c r="AC191" s="1121"/>
      <c r="AD191" s="1121"/>
      <c r="AE191" s="1121"/>
      <c r="AH191" s="29"/>
      <c r="AJ191" s="3"/>
      <c r="AK191" s="3"/>
      <c r="AL191" s="3"/>
      <c r="AP191" s="15" t="s">
        <v>1253</v>
      </c>
      <c r="BA191" s="40" t="s">
        <v>775</v>
      </c>
      <c r="BG191" s="15" t="s">
        <v>821</v>
      </c>
    </row>
    <row r="192" spans="1:59" ht="12.75">
      <c r="A192" s="29"/>
      <c r="C192" s="50"/>
      <c r="D192" s="29" t="s">
        <v>664</v>
      </c>
      <c r="E192" s="29"/>
      <c r="F192" s="29"/>
      <c r="G192" s="29"/>
      <c r="I192" s="1141">
        <v>95448</v>
      </c>
      <c r="J192" s="1141"/>
      <c r="K192" s="1141"/>
      <c r="L192" s="1141"/>
      <c r="M192" s="1141"/>
      <c r="N192" s="1141"/>
      <c r="O192" s="29" t="s">
        <v>666</v>
      </c>
      <c r="P192" s="29"/>
      <c r="Q192" s="29"/>
      <c r="R192" s="29"/>
      <c r="S192" s="29"/>
      <c r="T192" s="1470">
        <v>1539.01</v>
      </c>
      <c r="U192" s="1470"/>
      <c r="V192" s="1470"/>
      <c r="W192" s="1470"/>
      <c r="X192" s="1470"/>
      <c r="Y192" s="1470"/>
      <c r="Z192" s="1470"/>
      <c r="AA192" s="1470"/>
      <c r="AB192" s="1470"/>
      <c r="AC192" s="1470"/>
      <c r="AD192" s="1470"/>
      <c r="AE192" s="1470"/>
      <c r="AF192" s="29"/>
      <c r="AH192" s="29"/>
      <c r="AJ192" s="3"/>
      <c r="AK192" s="3"/>
      <c r="AL192" s="3"/>
      <c r="AP192" s="15" t="s">
        <v>1254</v>
      </c>
      <c r="BA192" s="40" t="s">
        <v>776</v>
      </c>
      <c r="BG192" s="15" t="s">
        <v>822</v>
      </c>
    </row>
    <row r="193" spans="1:66" ht="12.75">
      <c r="A193" s="29"/>
      <c r="C193" s="50"/>
      <c r="D193" s="29" t="s">
        <v>538</v>
      </c>
      <c r="E193" s="29"/>
      <c r="F193" s="29"/>
      <c r="G193" s="29"/>
      <c r="H193" s="29"/>
      <c r="I193" s="29"/>
      <c r="J193" s="29"/>
      <c r="K193" s="29"/>
      <c r="L193" s="29"/>
      <c r="M193" s="29"/>
      <c r="N193" s="1281" t="s">
        <v>1685</v>
      </c>
      <c r="O193" s="1281"/>
      <c r="P193" s="1281"/>
      <c r="Q193" s="1281"/>
      <c r="R193" s="1281"/>
      <c r="S193" s="1281"/>
      <c r="T193" s="1281"/>
      <c r="U193" s="1281"/>
      <c r="V193" s="1281"/>
      <c r="W193" s="1281"/>
      <c r="X193" s="1281"/>
      <c r="Y193" s="1281"/>
      <c r="Z193" s="1281"/>
      <c r="AA193" s="1281"/>
      <c r="AB193" s="1281"/>
      <c r="AC193" s="1281"/>
      <c r="AD193" s="1281"/>
      <c r="AE193" s="1281"/>
      <c r="AF193" s="29"/>
      <c r="AH193" s="29"/>
      <c r="AJ193" s="3"/>
      <c r="AK193" s="3"/>
      <c r="AL193" s="3"/>
      <c r="AP193" s="15" t="s">
        <v>1255</v>
      </c>
      <c r="BA193" s="40" t="s">
        <v>777</v>
      </c>
      <c r="BG193" s="15" t="s">
        <v>823</v>
      </c>
    </row>
    <row r="194" spans="1:66" ht="12.75">
      <c r="A194" s="29"/>
      <c r="C194" s="50"/>
      <c r="D194" s="29"/>
      <c r="E194" s="29"/>
      <c r="F194" s="29"/>
      <c r="G194" s="29"/>
      <c r="H194" s="29"/>
      <c r="I194" s="29"/>
      <c r="J194" s="29"/>
      <c r="K194" s="29"/>
      <c r="L194" s="29"/>
      <c r="M194" s="183"/>
      <c r="N194" s="1282"/>
      <c r="O194" s="1282"/>
      <c r="P194" s="1282"/>
      <c r="Q194" s="1282"/>
      <c r="R194" s="1282"/>
      <c r="S194" s="1282"/>
      <c r="T194" s="1282"/>
      <c r="U194" s="1282"/>
      <c r="V194" s="1282"/>
      <c r="W194" s="1282"/>
      <c r="X194" s="1282"/>
      <c r="Y194" s="1282"/>
      <c r="Z194" s="1282"/>
      <c r="AA194" s="1282"/>
      <c r="AB194" s="1282"/>
      <c r="AC194" s="1282"/>
      <c r="AD194" s="1282"/>
      <c r="AE194" s="1282"/>
      <c r="AF194" s="29"/>
      <c r="AH194" s="29"/>
      <c r="AJ194" s="3"/>
      <c r="AK194" s="3"/>
      <c r="AL194" s="3"/>
      <c r="AP194" s="15" t="s">
        <v>1256</v>
      </c>
      <c r="BA194" s="40" t="s">
        <v>778</v>
      </c>
      <c r="BG194" s="15" t="s">
        <v>824</v>
      </c>
    </row>
    <row r="195" spans="1:66" ht="12.75">
      <c r="A195" s="29"/>
      <c r="C195" s="50"/>
      <c r="D195" s="29" t="s">
        <v>358</v>
      </c>
      <c r="E195" s="29"/>
      <c r="F195" s="29"/>
      <c r="G195" s="29"/>
      <c r="H195" s="29"/>
      <c r="I195" s="29"/>
      <c r="J195" s="29"/>
      <c r="K195" s="29"/>
      <c r="L195" s="29"/>
      <c r="M195" s="29"/>
      <c r="N195" s="29"/>
      <c r="O195" s="29"/>
      <c r="P195" s="29"/>
      <c r="Q195" s="29"/>
      <c r="R195" s="29"/>
      <c r="T195" s="1122" t="s">
        <v>622</v>
      </c>
      <c r="U195" s="1122"/>
      <c r="W195" s="29" t="s">
        <v>771</v>
      </c>
      <c r="X195" s="29"/>
      <c r="Y195" s="29"/>
      <c r="Z195" s="29"/>
      <c r="AA195" s="29"/>
      <c r="AB195" s="29"/>
      <c r="AC195" s="29"/>
      <c r="AD195" s="29"/>
      <c r="AE195" s="29"/>
      <c r="AF195" s="29"/>
      <c r="AG195" s="29"/>
      <c r="AH195" s="1122">
        <v>2</v>
      </c>
      <c r="AI195" s="1122"/>
      <c r="AJ195" s="3"/>
      <c r="AK195" s="3"/>
      <c r="AL195" s="3"/>
      <c r="BA195" s="40" t="s">
        <v>261</v>
      </c>
      <c r="BG195" s="15" t="s">
        <v>825</v>
      </c>
    </row>
    <row r="196" spans="1:66" ht="12.75" customHeight="1">
      <c r="A196" s="29"/>
      <c r="C196" s="50"/>
      <c r="D196" s="29" t="s">
        <v>431</v>
      </c>
      <c r="E196" s="29"/>
      <c r="F196" s="29"/>
      <c r="G196" s="29"/>
      <c r="H196" s="29"/>
      <c r="I196" s="29"/>
      <c r="J196" s="29"/>
      <c r="K196" s="29"/>
      <c r="L196" s="29"/>
      <c r="M196" s="29"/>
      <c r="N196" s="29"/>
      <c r="O196" s="29"/>
      <c r="P196" s="29"/>
      <c r="Q196" s="29"/>
      <c r="R196" s="29"/>
      <c r="T196" s="1262" t="s">
        <v>755</v>
      </c>
      <c r="U196" s="1262"/>
      <c r="W196" s="29" t="s">
        <v>772</v>
      </c>
      <c r="X196" s="29"/>
      <c r="Y196" s="29"/>
      <c r="Z196" s="29"/>
      <c r="AA196" s="29"/>
      <c r="AB196" s="29"/>
      <c r="AC196" s="29"/>
      <c r="AD196" s="29"/>
      <c r="AE196" s="29"/>
      <c r="AF196" s="29"/>
      <c r="AG196" s="29"/>
      <c r="AH196" s="1122">
        <v>2</v>
      </c>
      <c r="AI196" s="1122"/>
      <c r="AJ196" s="3"/>
      <c r="AK196" s="3"/>
      <c r="AL196" s="3"/>
      <c r="AP196" s="754" t="s">
        <v>333</v>
      </c>
      <c r="AQ196" s="752"/>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262" t="s">
        <v>755</v>
      </c>
      <c r="U197" s="1262"/>
      <c r="V197" s="15"/>
      <c r="W197" s="29" t="s">
        <v>773</v>
      </c>
      <c r="X197" s="29"/>
      <c r="Y197" s="29"/>
      <c r="Z197" s="29"/>
      <c r="AA197" s="29"/>
      <c r="AB197" s="29"/>
      <c r="AC197" s="29"/>
      <c r="AD197" s="29"/>
      <c r="AE197" s="29"/>
      <c r="AF197" s="29"/>
      <c r="AG197" s="29"/>
      <c r="AH197" s="1122">
        <v>2</v>
      </c>
      <c r="AI197" s="1122"/>
      <c r="AJ197" s="3"/>
      <c r="AK197" s="3"/>
      <c r="AL197" s="3"/>
      <c r="AM197" s="56"/>
      <c r="AN197" s="56"/>
      <c r="AO197" s="24"/>
      <c r="AP197" s="759" t="s">
        <v>1003</v>
      </c>
      <c r="AQ197" s="752"/>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1558</v>
      </c>
      <c r="E198" s="29"/>
      <c r="F198" s="29"/>
      <c r="G198" s="29"/>
      <c r="H198" s="29"/>
      <c r="I198" s="29"/>
      <c r="J198" s="29"/>
      <c r="K198" s="29"/>
      <c r="L198" s="29"/>
      <c r="M198" s="29"/>
      <c r="N198" s="29"/>
      <c r="O198" s="29"/>
      <c r="P198" s="29"/>
      <c r="Q198" s="29"/>
      <c r="R198" s="29"/>
      <c r="S198" s="15"/>
      <c r="T198" s="15"/>
      <c r="U198" s="15"/>
      <c r="V198" s="15"/>
      <c r="W198" s="29"/>
      <c r="X198" s="29"/>
      <c r="Y198" s="1262" t="s">
        <v>755</v>
      </c>
      <c r="Z198" s="1262"/>
      <c r="AA198" s="29"/>
      <c r="AB198" s="29"/>
      <c r="AC198" s="29"/>
      <c r="AD198" s="29"/>
      <c r="AE198" s="29"/>
      <c r="AF198" s="29"/>
      <c r="AG198" s="29"/>
      <c r="AJ198" s="3"/>
      <c r="AK198" s="3"/>
      <c r="AL198" s="3"/>
      <c r="AM198" s="56"/>
      <c r="AN198" s="56"/>
      <c r="AO198" s="24"/>
      <c r="AP198" s="758" t="s">
        <v>1002</v>
      </c>
      <c r="AQ198" s="755"/>
      <c r="AR198" s="24"/>
      <c r="AS198" s="24"/>
      <c r="BA198" s="40" t="s">
        <v>789</v>
      </c>
      <c r="BB198" s="15"/>
      <c r="BC198" s="15"/>
      <c r="BD198" s="15"/>
      <c r="BE198" s="15"/>
      <c r="BF198" s="15"/>
      <c r="BG198" s="15" t="s">
        <v>209</v>
      </c>
      <c r="BH198" s="15"/>
    </row>
    <row r="199" spans="1:66" s="55" customFormat="1" ht="12.75">
      <c r="A199" s="29"/>
      <c r="B199" s="15"/>
      <c r="C199" s="50"/>
      <c r="D199" s="3" t="s">
        <v>770</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8" t="s">
        <v>1279</v>
      </c>
      <c r="AQ199" s="755"/>
      <c r="AR199" s="24"/>
      <c r="AS199" s="24"/>
      <c r="BA199" s="40" t="s">
        <v>790</v>
      </c>
      <c r="BB199" s="57"/>
      <c r="BC199" s="58"/>
      <c r="BD199" s="58"/>
      <c r="BE199" s="58"/>
      <c r="BF199" s="58"/>
      <c r="BG199" s="58" t="s">
        <v>210</v>
      </c>
      <c r="BH199" s="15"/>
      <c r="BI199" s="60"/>
      <c r="BJ199" s="60"/>
      <c r="BK199" s="60"/>
      <c r="BL199" s="60"/>
      <c r="BM199" s="60"/>
      <c r="BN199" s="60"/>
    </row>
    <row r="200" spans="1:66" ht="12.75" customHeight="1">
      <c r="A200" s="29"/>
      <c r="C200" s="50"/>
      <c r="D200" s="364" t="s">
        <v>1067</v>
      </c>
      <c r="E200" s="29"/>
      <c r="F200" s="29"/>
      <c r="G200" s="29"/>
      <c r="H200" s="29"/>
      <c r="I200" s="29"/>
      <c r="J200" s="29"/>
      <c r="K200" s="29"/>
      <c r="L200" s="29"/>
      <c r="M200" s="29"/>
      <c r="N200" s="29"/>
      <c r="O200" s="29"/>
      <c r="P200" s="29"/>
      <c r="Q200" s="29"/>
      <c r="R200" s="29"/>
      <c r="S200" s="43"/>
      <c r="T200" s="259"/>
      <c r="U200" s="259"/>
      <c r="V200" s="43"/>
      <c r="W200" s="364" t="s">
        <v>1066</v>
      </c>
      <c r="X200" s="29"/>
      <c r="Y200" s="29"/>
      <c r="Z200" s="29"/>
      <c r="AA200" s="29"/>
      <c r="AB200" s="29"/>
      <c r="AC200" s="29"/>
      <c r="AD200" s="29"/>
      <c r="AE200" s="29"/>
      <c r="AF200" s="29"/>
      <c r="AG200" s="3"/>
      <c r="AH200" s="259"/>
      <c r="AI200" s="259"/>
      <c r="AJ200" s="3"/>
      <c r="AK200" s="3"/>
      <c r="AL200" s="3"/>
      <c r="AP200" s="756" t="s">
        <v>692</v>
      </c>
      <c r="AQ200" s="755"/>
      <c r="BA200" s="40" t="s">
        <v>791</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6" t="s">
        <v>1280</v>
      </c>
      <c r="AQ201" s="752"/>
      <c r="BA201" s="40" t="s">
        <v>792</v>
      </c>
      <c r="BB201" s="55"/>
      <c r="BC201" s="58"/>
      <c r="BD201" s="58"/>
      <c r="BE201" s="58"/>
      <c r="BF201" s="59"/>
      <c r="BG201" s="59" t="s">
        <v>212</v>
      </c>
    </row>
    <row r="202" spans="1:66" ht="12.75" customHeight="1">
      <c r="A202" s="41" t="s">
        <v>667</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3" t="s">
        <v>1281</v>
      </c>
      <c r="AQ202" s="752"/>
      <c r="BA202" s="40" t="s">
        <v>793</v>
      </c>
      <c r="BG202" s="59" t="s">
        <v>213</v>
      </c>
      <c r="BH202" s="55"/>
    </row>
    <row r="203" spans="1:66" ht="12.75" customHeight="1">
      <c r="A203" s="29"/>
      <c r="C203" s="29"/>
      <c r="D203" s="1123" t="s">
        <v>430</v>
      </c>
      <c r="E203" s="1123"/>
      <c r="F203" s="1123"/>
      <c r="G203" s="1123"/>
      <c r="H203" s="1123"/>
      <c r="I203" s="1123"/>
      <c r="J203" s="1123"/>
      <c r="K203" s="1123"/>
      <c r="L203" s="1123"/>
      <c r="M203" s="1123"/>
      <c r="P203" s="1463">
        <f>M26</f>
        <v>531606.4</v>
      </c>
      <c r="Q203" s="1279"/>
      <c r="R203" s="1279"/>
      <c r="S203" s="1279"/>
      <c r="T203" s="1279"/>
      <c r="U203" s="1279"/>
      <c r="V203" s="29"/>
      <c r="W203" s="29"/>
      <c r="X203" s="29"/>
      <c r="Y203" s="29"/>
      <c r="Z203" s="29"/>
      <c r="AA203" s="29"/>
      <c r="AB203" s="29"/>
      <c r="AC203" s="29"/>
      <c r="AD203" s="29"/>
      <c r="AE203" s="29"/>
      <c r="AF203" s="29"/>
      <c r="AG203" s="29"/>
      <c r="AH203" s="29"/>
      <c r="AI203" s="29"/>
      <c r="AJ203" s="3"/>
      <c r="AK203" s="3"/>
      <c r="AL203" s="3"/>
      <c r="AP203" s="756" t="s">
        <v>691</v>
      </c>
      <c r="AQ203" s="752"/>
      <c r="BA203" s="40" t="s">
        <v>794</v>
      </c>
      <c r="BG203" s="59" t="s">
        <v>214</v>
      </c>
      <c r="BH203" s="55"/>
    </row>
    <row r="204" spans="1:66" ht="12.75">
      <c r="A204" s="29"/>
      <c r="C204" s="49"/>
      <c r="D204" s="1280" t="s">
        <v>1129</v>
      </c>
      <c r="E204" s="1123"/>
      <c r="F204" s="1123"/>
      <c r="G204" s="1123"/>
      <c r="H204" s="1123"/>
      <c r="I204" s="1123"/>
      <c r="J204" s="1123"/>
      <c r="K204" s="1123"/>
      <c r="L204" s="1123"/>
      <c r="M204" s="1123"/>
      <c r="P204" s="1279">
        <f>M27</f>
        <v>0</v>
      </c>
      <c r="Q204" s="1279"/>
      <c r="R204" s="1279"/>
      <c r="S204" s="1279"/>
      <c r="T204" s="1279"/>
      <c r="U204" s="1279"/>
      <c r="V204" s="51"/>
      <c r="W204" s="29"/>
      <c r="X204" s="29"/>
      <c r="Y204" s="29"/>
      <c r="Z204" s="29"/>
      <c r="AA204" s="29"/>
      <c r="AB204" s="29"/>
      <c r="AC204" s="29"/>
      <c r="AD204" s="29"/>
      <c r="AE204" s="29"/>
      <c r="AF204" s="29"/>
      <c r="AG204" s="29"/>
      <c r="AH204" s="29"/>
      <c r="AI204" s="29"/>
      <c r="AJ204" s="3"/>
      <c r="AK204" s="3"/>
      <c r="AL204" s="3"/>
      <c r="AP204" s="756" t="s">
        <v>1229</v>
      </c>
      <c r="AQ204" s="752"/>
      <c r="BA204" s="40" t="s">
        <v>795</v>
      </c>
      <c r="BG204" s="59" t="s">
        <v>215</v>
      </c>
      <c r="BH204" s="60"/>
    </row>
    <row r="205" spans="1:66" ht="12.75">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7" t="s">
        <v>1282</v>
      </c>
      <c r="AQ205" s="752"/>
      <c r="BA205" s="40" t="s">
        <v>117</v>
      </c>
      <c r="BG205" s="59" t="s">
        <v>191</v>
      </c>
    </row>
    <row r="206" spans="1:66" ht="12.75">
      <c r="A206" s="53" t="s">
        <v>670</v>
      </c>
      <c r="C206" s="53" t="s">
        <v>628</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8" t="s">
        <v>1577</v>
      </c>
      <c r="AQ206" s="752"/>
      <c r="BA206" s="40" t="s">
        <v>118</v>
      </c>
      <c r="BG206" s="59" t="s">
        <v>216</v>
      </c>
    </row>
    <row r="207" spans="1:66" ht="12.75">
      <c r="A207" s="29"/>
      <c r="C207" s="49"/>
      <c r="D207" s="1242" t="s">
        <v>1611</v>
      </c>
      <c r="E207" s="1242"/>
      <c r="F207" s="1242"/>
      <c r="G207" s="1242"/>
      <c r="H207" s="1242"/>
      <c r="I207" s="1242"/>
      <c r="J207" s="1242"/>
      <c r="K207" s="1242"/>
      <c r="L207" s="1242"/>
      <c r="M207" s="1242"/>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3" t="s">
        <v>1283</v>
      </c>
      <c r="AQ207" s="752"/>
      <c r="BA207" s="40" t="s">
        <v>51</v>
      </c>
      <c r="BG207" s="59" t="s">
        <v>217</v>
      </c>
    </row>
    <row r="208" spans="1:66" ht="12.75">
      <c r="T208" s="29"/>
      <c r="U208" s="29"/>
      <c r="V208" s="29"/>
      <c r="W208" s="29"/>
      <c r="X208" s="29"/>
      <c r="Y208" s="29"/>
      <c r="Z208" s="29"/>
      <c r="AA208" s="29"/>
      <c r="AB208" s="29"/>
      <c r="AC208" s="29"/>
      <c r="AD208" s="29"/>
      <c r="AE208" s="29"/>
      <c r="AF208" s="29"/>
      <c r="AH208" s="29"/>
      <c r="AJ208" s="3"/>
      <c r="AK208" s="3"/>
      <c r="AL208" s="3"/>
      <c r="AP208" s="756" t="s">
        <v>745</v>
      </c>
      <c r="AQ208" s="752"/>
      <c r="BA208" s="40" t="s">
        <v>52</v>
      </c>
      <c r="BG208" s="59" t="s">
        <v>218</v>
      </c>
    </row>
    <row r="209" spans="1:59" ht="12.75">
      <c r="A209" s="54" t="s">
        <v>671</v>
      </c>
      <c r="C209" s="54" t="s">
        <v>433</v>
      </c>
      <c r="AA209" s="29"/>
      <c r="AB209" s="29"/>
      <c r="AC209" s="29"/>
      <c r="AD209" s="29"/>
      <c r="AE209" s="29"/>
      <c r="AF209" s="29"/>
      <c r="AH209" s="29"/>
      <c r="AJ209" s="3"/>
      <c r="AK209" s="3"/>
      <c r="AL209" s="3"/>
      <c r="BA209" s="40" t="s">
        <v>53</v>
      </c>
      <c r="BG209" s="59" t="s">
        <v>219</v>
      </c>
    </row>
    <row r="210" spans="1:59" ht="12.75">
      <c r="C210" s="49"/>
      <c r="D210" s="1242" t="s">
        <v>1256</v>
      </c>
      <c r="E210" s="1242"/>
      <c r="F210" s="1242"/>
      <c r="G210" s="1242"/>
      <c r="H210" s="1242"/>
      <c r="I210" s="1242"/>
      <c r="J210" s="1242"/>
      <c r="K210" s="1242"/>
      <c r="L210" s="1242"/>
      <c r="M210" s="1242"/>
      <c r="N210" s="1242"/>
      <c r="O210" s="1242"/>
      <c r="P210" s="1242"/>
      <c r="Q210" s="1242"/>
      <c r="R210" s="1242"/>
      <c r="S210" s="1242"/>
      <c r="T210" s="1242"/>
      <c r="U210" s="1242"/>
      <c r="V210" s="1242"/>
      <c r="W210" s="1242"/>
      <c r="X210" s="1242"/>
      <c r="Y210" s="1242"/>
      <c r="Z210" s="1242"/>
      <c r="AJ210" s="3"/>
      <c r="AK210" s="3"/>
      <c r="AL210" s="3"/>
      <c r="AP210" s="518" t="s">
        <v>333</v>
      </c>
      <c r="BA210" s="40" t="s">
        <v>54</v>
      </c>
      <c r="BG210" s="59" t="s">
        <v>220</v>
      </c>
    </row>
    <row r="211" spans="1:59" ht="12.75">
      <c r="D211" s="39" t="s">
        <v>1050</v>
      </c>
      <c r="AG211" s="3"/>
      <c r="AJ211" s="3"/>
      <c r="AK211" s="3"/>
      <c r="AL211" s="3"/>
      <c r="AP211" s="15" t="s">
        <v>603</v>
      </c>
      <c r="BA211" s="40" t="s">
        <v>138</v>
      </c>
      <c r="BG211" s="59" t="s">
        <v>139</v>
      </c>
    </row>
    <row r="212" spans="1:59" ht="12.75">
      <c r="D212" s="71"/>
      <c r="AG212" s="3"/>
      <c r="AJ212" s="3"/>
      <c r="AK212" s="3"/>
      <c r="AL212" s="3"/>
      <c r="AP212" s="15" t="s">
        <v>607</v>
      </c>
      <c r="BA212" s="40" t="s">
        <v>55</v>
      </c>
      <c r="BG212" s="59" t="s">
        <v>221</v>
      </c>
    </row>
    <row r="213" spans="1:59" s="43" customFormat="1" ht="12.75" customHeight="1">
      <c r="A213" s="554" t="s">
        <v>673</v>
      </c>
      <c r="C213" s="554" t="s">
        <v>1599</v>
      </c>
      <c r="D213" s="955"/>
      <c r="AG213" s="753"/>
      <c r="AJ213" s="753"/>
      <c r="AK213" s="753"/>
      <c r="AL213" s="753"/>
      <c r="AM213" s="263"/>
      <c r="AN213" s="263"/>
      <c r="AP213" s="43" t="s">
        <v>604</v>
      </c>
      <c r="BA213" s="40" t="s">
        <v>56</v>
      </c>
      <c r="BG213" s="59" t="s">
        <v>222</v>
      </c>
    </row>
    <row r="214" spans="1:59" ht="12.75">
      <c r="A214" s="54"/>
      <c r="C214" s="54"/>
      <c r="D214" s="8" t="s">
        <v>1174</v>
      </c>
      <c r="AG214" s="3"/>
      <c r="AJ214" s="3"/>
      <c r="AK214" s="3"/>
      <c r="AL214" s="3"/>
      <c r="AN214" s="62"/>
      <c r="AP214" s="15" t="s">
        <v>645</v>
      </c>
      <c r="BA214" s="40" t="s">
        <v>353</v>
      </c>
      <c r="BG214" s="59" t="s">
        <v>223</v>
      </c>
    </row>
    <row r="215" spans="1:59" ht="12.75">
      <c r="A215" s="54"/>
      <c r="C215" s="54"/>
      <c r="D215" s="1242" t="s">
        <v>1283</v>
      </c>
      <c r="E215" s="1242"/>
      <c r="F215" s="1242"/>
      <c r="G215" s="1242"/>
      <c r="H215" s="1242"/>
      <c r="I215" s="1242"/>
      <c r="J215" s="1242"/>
      <c r="K215" s="1242"/>
      <c r="L215" s="1242"/>
      <c r="M215" s="1242"/>
      <c r="N215" s="1242"/>
      <c r="O215" s="1242"/>
      <c r="P215" s="1242"/>
      <c r="Q215" s="1242"/>
      <c r="R215" s="1242"/>
      <c r="S215" s="1242"/>
      <c r="T215" s="1242"/>
      <c r="U215" s="1242"/>
      <c r="V215" s="1242"/>
      <c r="W215" s="1242"/>
      <c r="X215" s="1242"/>
      <c r="Y215" s="1242"/>
      <c r="Z215" s="1242"/>
      <c r="AG215" s="3"/>
      <c r="AJ215" s="3"/>
      <c r="AK215" s="3"/>
      <c r="AL215" s="3"/>
      <c r="AN215" s="62"/>
      <c r="AP215" s="15" t="s">
        <v>605</v>
      </c>
    </row>
    <row r="216" spans="1:59" ht="12.75">
      <c r="A216" s="54"/>
      <c r="B216" s="55"/>
      <c r="C216" s="54"/>
      <c r="AG216" s="3"/>
      <c r="AJ216" s="3"/>
      <c r="AK216" s="3"/>
      <c r="AL216" s="3"/>
      <c r="AM216" s="62"/>
      <c r="AN216" s="62"/>
      <c r="AP216" s="15" t="s">
        <v>606</v>
      </c>
      <c r="BC216" s="65"/>
    </row>
    <row r="217" spans="1:59" ht="12.75">
      <c r="A217" s="1264" t="s">
        <v>617</v>
      </c>
      <c r="B217" s="1264"/>
      <c r="C217" s="1264"/>
      <c r="D217" s="1264"/>
      <c r="E217" s="1264"/>
      <c r="F217" s="1264"/>
      <c r="G217" s="1264"/>
      <c r="H217" s="1264"/>
      <c r="I217" s="1264"/>
      <c r="J217" s="1264"/>
      <c r="K217" s="1264"/>
      <c r="L217" s="1264"/>
      <c r="M217" s="1264"/>
      <c r="N217" s="1264"/>
      <c r="O217" s="1264"/>
      <c r="P217" s="1264"/>
      <c r="Q217" s="1264"/>
      <c r="R217" s="1264"/>
      <c r="S217" s="1264"/>
      <c r="T217" s="1264"/>
      <c r="U217" s="1264"/>
      <c r="V217" s="1264"/>
      <c r="W217" s="1264"/>
      <c r="X217" s="1264"/>
      <c r="Y217" s="1264"/>
      <c r="Z217" s="1264"/>
      <c r="AA217" s="1264"/>
      <c r="AB217" s="1264"/>
      <c r="AC217" s="1264"/>
      <c r="AD217" s="1264"/>
      <c r="AE217" s="1264"/>
      <c r="AF217" s="1264"/>
      <c r="AG217" s="1264"/>
      <c r="AH217" s="1264"/>
      <c r="AI217" s="1264"/>
      <c r="AJ217" s="1264"/>
      <c r="AK217" s="1264"/>
      <c r="AL217" s="1264"/>
      <c r="AN217" s="62"/>
      <c r="AO217" s="62"/>
      <c r="AP217" s="15" t="s">
        <v>422</v>
      </c>
      <c r="BD217" s="65"/>
    </row>
    <row r="218" spans="1:59" ht="13.5" thickBot="1">
      <c r="A218" s="1265"/>
      <c r="B218" s="1265"/>
      <c r="C218" s="1265"/>
      <c r="D218" s="1265"/>
      <c r="E218" s="1265"/>
      <c r="F218" s="1265"/>
      <c r="G218" s="1265"/>
      <c r="H218" s="1265"/>
      <c r="I218" s="1265"/>
      <c r="J218" s="1265"/>
      <c r="K218" s="1265"/>
      <c r="L218" s="1265"/>
      <c r="M218" s="1265"/>
      <c r="N218" s="1265"/>
      <c r="O218" s="1265"/>
      <c r="P218" s="1265"/>
      <c r="Q218" s="1265"/>
      <c r="R218" s="1265"/>
      <c r="S218" s="1265"/>
      <c r="T218" s="1265"/>
      <c r="U218" s="1265"/>
      <c r="V218" s="1265"/>
      <c r="W218" s="1265"/>
      <c r="X218" s="1265"/>
      <c r="Y218" s="1265"/>
      <c r="Z218" s="1265"/>
      <c r="AA218" s="1265"/>
      <c r="AB218" s="1265"/>
      <c r="AC218" s="1265"/>
      <c r="AD218" s="1265"/>
      <c r="AE218" s="1265"/>
      <c r="AF218" s="1265"/>
      <c r="AG218" s="1265"/>
      <c r="AH218" s="1265"/>
      <c r="AI218" s="1265"/>
      <c r="AJ218" s="1265"/>
      <c r="AK218" s="1265"/>
      <c r="AL218" s="1265"/>
      <c r="AM218" s="8"/>
      <c r="AN218" s="62"/>
      <c r="AO218" s="62"/>
      <c r="AP218" s="15" t="s">
        <v>323</v>
      </c>
      <c r="BD218" s="65"/>
    </row>
    <row r="219" spans="1:59" ht="13.5" thickTop="1">
      <c r="A219" s="29"/>
      <c r="B219" s="29"/>
      <c r="C219" s="29"/>
      <c r="D219" s="29"/>
      <c r="E219" s="29"/>
      <c r="F219" s="29"/>
      <c r="G219" s="3"/>
      <c r="H219" s="29"/>
      <c r="BB219" s="65"/>
    </row>
    <row r="220" spans="1:59" ht="12.75">
      <c r="A220" s="54" t="s">
        <v>345</v>
      </c>
      <c r="B220" s="54"/>
      <c r="C220" s="54" t="s">
        <v>1496</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615</v>
      </c>
      <c r="AT220" s="428">
        <f>IF(AND(AND($M$244="for profit",$M$252="for profit",$M$260="nonprofit")),2,0)</f>
        <v>0</v>
      </c>
      <c r="BB220" s="65"/>
    </row>
    <row r="221" spans="1:59" ht="12.75" customHeight="1">
      <c r="B221" s="34"/>
      <c r="D221" s="8" t="s">
        <v>688</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22" t="s">
        <v>672</v>
      </c>
      <c r="AJ221" s="1122"/>
      <c r="AL221" s="62"/>
      <c r="AN221" s="62"/>
      <c r="AO221" s="421" t="s">
        <v>615</v>
      </c>
      <c r="AT221" s="428">
        <f>IF(AND(AND($M$244="for profit",$M$252="nonprofit",$M$260="for profit")),2,0)</f>
        <v>0</v>
      </c>
      <c r="BD221" s="65"/>
    </row>
    <row r="222" spans="1:59" ht="12.75">
      <c r="B222" s="34"/>
      <c r="D222" s="8" t="s">
        <v>633</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22" t="s">
        <v>672</v>
      </c>
      <c r="AJ222" s="1122"/>
      <c r="AL222" s="62"/>
      <c r="AM222" s="8"/>
      <c r="AN222" s="62"/>
      <c r="AO222" s="422" t="s">
        <v>615</v>
      </c>
      <c r="AT222" s="428">
        <f>IF(AND(AND($M$244="nonprofit",$M$252="for profit",$M$260="for profit")),2,0)</f>
        <v>0</v>
      </c>
      <c r="BD222" s="65"/>
    </row>
    <row r="223" spans="1:59" ht="12.75">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22" t="s">
        <v>672</v>
      </c>
      <c r="AJ223" s="1122"/>
      <c r="AL223" s="62"/>
      <c r="AN223" s="62"/>
      <c r="AO223" s="422" t="s">
        <v>615</v>
      </c>
      <c r="AT223" s="428">
        <f>IF(AND(AND($M$244="for profit",$M$252="nonprofit",$M$260="(select one)")),2,0)</f>
        <v>2</v>
      </c>
      <c r="BB223" s="65"/>
    </row>
    <row r="224" spans="1:59" ht="12.75">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22" t="s">
        <v>672</v>
      </c>
      <c r="AJ224" s="1122"/>
      <c r="AL224" s="62"/>
      <c r="AN224" s="62"/>
      <c r="AO224" s="422" t="s">
        <v>615</v>
      </c>
      <c r="AT224" s="427">
        <f>IF(AND(AND($M$244="nonprofit",$M$252="for profit",$M$260="(select one)")),2,0)</f>
        <v>0</v>
      </c>
      <c r="BB224" s="65"/>
    </row>
    <row r="225" spans="1:59" ht="12.75">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2.75">
      <c r="A226" s="54" t="s">
        <v>657</v>
      </c>
      <c r="B226" s="34"/>
      <c r="C226" s="54" t="s">
        <v>1497</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615</v>
      </c>
      <c r="AT226" s="428">
        <f>IF(AND(AND($M$244="nonprofit",$M$252="nonprofit",$M$260="for profit")),2,0)</f>
        <v>0</v>
      </c>
      <c r="BD226" s="65"/>
    </row>
    <row r="227" spans="1:59" ht="12.75">
      <c r="D227" s="61" t="s">
        <v>546</v>
      </c>
      <c r="E227" s="61"/>
      <c r="F227" s="61"/>
      <c r="G227" s="61"/>
      <c r="H227" s="61"/>
      <c r="I227" s="61"/>
      <c r="J227" s="61"/>
      <c r="K227" s="8"/>
      <c r="M227" s="1476" t="str">
        <f>H16</f>
        <v>LIH Oak Grove, LP</v>
      </c>
      <c r="N227" s="1476"/>
      <c r="O227" s="1476"/>
      <c r="P227" s="1476"/>
      <c r="Q227" s="1476"/>
      <c r="R227" s="1476"/>
      <c r="S227" s="1476"/>
      <c r="T227" s="1476"/>
      <c r="U227" s="1476"/>
      <c r="V227" s="1476"/>
      <c r="W227" s="1476"/>
      <c r="X227" s="1476"/>
      <c r="Y227" s="1476"/>
      <c r="Z227" s="1476"/>
      <c r="AA227" s="1476"/>
      <c r="AB227" s="1476"/>
      <c r="AC227" s="1476"/>
      <c r="AD227" s="1476"/>
      <c r="AE227" s="1476"/>
      <c r="AF227" s="1476"/>
      <c r="AG227" s="1476"/>
      <c r="AH227" s="1476"/>
      <c r="AI227" s="1476"/>
      <c r="AJ227" s="1476"/>
      <c r="AK227" s="1476"/>
      <c r="AO227" s="365" t="s">
        <v>615</v>
      </c>
      <c r="AT227" s="428">
        <f>IF(AND(AND($M$244="nonprofit",$M$252="for profit",$M$260="nonprofit")),2,0)</f>
        <v>0</v>
      </c>
    </row>
    <row r="228" spans="1:59" ht="12.75">
      <c r="D228" s="61" t="s">
        <v>93</v>
      </c>
      <c r="E228" s="61"/>
      <c r="F228" s="61"/>
      <c r="G228" s="61"/>
      <c r="H228" s="61"/>
      <c r="I228" s="61"/>
      <c r="J228" s="61"/>
      <c r="K228" s="8"/>
      <c r="M228" s="1118" t="s">
        <v>1612</v>
      </c>
      <c r="N228" s="1242"/>
      <c r="O228" s="1242"/>
      <c r="P228" s="1242"/>
      <c r="Q228" s="1242"/>
      <c r="R228" s="1242"/>
      <c r="S228" s="1242"/>
      <c r="T228" s="1242"/>
      <c r="U228" s="1242"/>
      <c r="V228" s="1242"/>
      <c r="W228" s="1242"/>
      <c r="X228" s="1242"/>
      <c r="Y228" s="1242"/>
      <c r="Z228" s="1242"/>
      <c r="AA228" s="1242"/>
      <c r="AB228" s="1242"/>
      <c r="AC228" s="1242"/>
      <c r="AD228" s="1242"/>
      <c r="AE228" s="1242"/>
      <c r="AM228" s="8"/>
      <c r="AO228" s="365" t="s">
        <v>615</v>
      </c>
      <c r="AT228" s="427">
        <f>IF(AND(AND($M$244="for profit",$M$252="nonprofit",$M$260="nonprofit")),2,0)</f>
        <v>0</v>
      </c>
      <c r="BB228" s="65"/>
    </row>
    <row r="229" spans="1:59" ht="12.75">
      <c r="D229" s="61" t="s">
        <v>661</v>
      </c>
      <c r="E229" s="61"/>
      <c r="M229" s="1118" t="s">
        <v>1613</v>
      </c>
      <c r="N229" s="1242"/>
      <c r="O229" s="1242"/>
      <c r="P229" s="1242"/>
      <c r="Q229" s="1242"/>
      <c r="R229" s="1242"/>
      <c r="S229" s="1242"/>
      <c r="T229" s="1242"/>
      <c r="V229" s="63" t="s">
        <v>94</v>
      </c>
      <c r="W229" s="1284" t="s">
        <v>1614</v>
      </c>
      <c r="X229" s="1126"/>
      <c r="Y229" s="61" t="s">
        <v>664</v>
      </c>
      <c r="AC229" s="1242">
        <v>90401</v>
      </c>
      <c r="AD229" s="1242"/>
      <c r="AE229" s="1242"/>
      <c r="AO229" s="424"/>
      <c r="AT229" s="425"/>
    </row>
    <row r="230" spans="1:59" ht="12.75">
      <c r="D230" s="64" t="s">
        <v>95</v>
      </c>
      <c r="E230" s="8"/>
      <c r="F230" s="8"/>
      <c r="G230" s="8"/>
      <c r="H230" s="8"/>
      <c r="I230" s="8"/>
      <c r="J230" s="8"/>
      <c r="K230" s="33"/>
      <c r="M230" s="1118" t="s">
        <v>1615</v>
      </c>
      <c r="N230" s="1242"/>
      <c r="O230" s="1242"/>
      <c r="P230" s="1242"/>
      <c r="Q230" s="1242"/>
      <c r="R230" s="1242"/>
      <c r="S230" s="1242"/>
      <c r="T230" s="1242"/>
      <c r="U230" s="1242"/>
      <c r="V230" s="1242"/>
      <c r="W230" s="1242"/>
      <c r="X230" s="1242"/>
      <c r="Y230" s="1242"/>
      <c r="Z230" s="1242"/>
      <c r="AA230" s="1242"/>
      <c r="AB230" s="1242"/>
      <c r="AC230" s="1242"/>
      <c r="AD230" s="1242"/>
      <c r="AE230" s="1242"/>
      <c r="AI230" s="8"/>
      <c r="AJ230" s="8"/>
      <c r="AK230" s="8"/>
      <c r="AL230" s="8"/>
      <c r="AM230" s="8"/>
      <c r="AO230" s="422" t="s">
        <v>614</v>
      </c>
      <c r="AT230" s="428">
        <f>IF(AND(AND($M$244="nonprofit",$M$252="nonprofit",$M$260="(select one)")),1,0)</f>
        <v>0</v>
      </c>
    </row>
    <row r="231" spans="1:59" ht="12.75">
      <c r="D231" s="64" t="s">
        <v>96</v>
      </c>
      <c r="E231" s="8"/>
      <c r="F231" s="8"/>
      <c r="M231" s="1124" t="s">
        <v>1616</v>
      </c>
      <c r="N231" s="1125"/>
      <c r="O231" s="1125"/>
      <c r="P231" s="1125"/>
      <c r="Q231" s="1125"/>
      <c r="R231" s="1125"/>
      <c r="S231" s="8" t="s">
        <v>224</v>
      </c>
      <c r="T231" s="8"/>
      <c r="U231" s="1126">
        <v>915</v>
      </c>
      <c r="V231" s="1126"/>
      <c r="W231" s="1126"/>
      <c r="X231" s="8" t="s">
        <v>97</v>
      </c>
      <c r="Z231" s="1124" t="s">
        <v>1617</v>
      </c>
      <c r="AA231" s="1125"/>
      <c r="AB231" s="1125"/>
      <c r="AC231" s="1125"/>
      <c r="AD231" s="1125"/>
      <c r="AE231" s="1125"/>
      <c r="AO231" s="422" t="s">
        <v>614</v>
      </c>
      <c r="AT231" s="428">
        <f>IF(AND(AND($M$244="nonprofit",$M$252="nonprofit",$M$260="nonprofit")),1,0)</f>
        <v>0</v>
      </c>
    </row>
    <row r="232" spans="1:59" ht="12.75">
      <c r="D232" s="64" t="s">
        <v>98</v>
      </c>
      <c r="E232" s="8"/>
      <c r="F232" s="8"/>
      <c r="M232" s="1472" t="s">
        <v>1618</v>
      </c>
      <c r="N232" s="1472"/>
      <c r="O232" s="1472"/>
      <c r="P232" s="1472"/>
      <c r="Q232" s="1472"/>
      <c r="R232" s="1472"/>
      <c r="S232" s="1472"/>
      <c r="T232" s="1472"/>
      <c r="U232" s="1472"/>
      <c r="V232" s="1472"/>
      <c r="W232" s="1472"/>
      <c r="X232" s="1472"/>
      <c r="Y232" s="1472"/>
      <c r="Z232" s="1472"/>
      <c r="AA232" s="1472"/>
      <c r="AB232" s="1472"/>
      <c r="AC232" s="1472"/>
      <c r="AD232" s="1472"/>
      <c r="AE232" s="1472"/>
      <c r="AF232" s="8"/>
      <c r="AG232" s="8"/>
      <c r="AH232" s="8"/>
      <c r="AI232" s="8"/>
      <c r="AJ232" s="8"/>
      <c r="AK232" s="8"/>
      <c r="AL232" s="8"/>
      <c r="AO232" s="422" t="s">
        <v>614</v>
      </c>
      <c r="AT232" s="428">
        <f>IF(AND(AND($M$244="nonprofit",$M$252="(select one)",$M$260="(select one)")),1,0)</f>
        <v>0</v>
      </c>
      <c r="BA232" s="65"/>
    </row>
    <row r="233" spans="1:59" ht="12.75">
      <c r="A233" s="54" t="s">
        <v>667</v>
      </c>
      <c r="C233" s="41" t="s">
        <v>602</v>
      </c>
      <c r="M233" s="1141" t="s">
        <v>605</v>
      </c>
      <c r="N233" s="1141"/>
      <c r="O233" s="1141"/>
      <c r="P233" s="1141"/>
      <c r="Q233" s="1141"/>
      <c r="R233" s="1141"/>
      <c r="S233" s="1141"/>
      <c r="T233" s="1141"/>
      <c r="U233" s="426" t="s">
        <v>1046</v>
      </c>
      <c r="V233" s="356"/>
      <c r="W233" s="356"/>
      <c r="X233" s="356"/>
      <c r="Y233" s="356"/>
      <c r="Z233" s="356"/>
      <c r="AA233" s="1266"/>
      <c r="AB233" s="1266"/>
      <c r="AC233" s="1266"/>
      <c r="AD233" s="1266"/>
      <c r="AE233" s="1266"/>
      <c r="AF233" s="1266"/>
      <c r="AG233" s="1266"/>
      <c r="AH233" s="1266"/>
      <c r="AI233" s="1266"/>
      <c r="AJ233" s="1266"/>
      <c r="AK233" s="1266"/>
      <c r="AL233" s="62"/>
      <c r="AO233" s="422" t="s">
        <v>1005</v>
      </c>
      <c r="AT233" s="428">
        <f>IF(AND(AND($M$244="for profit",$M$252="for profit",$M$260="(select one)")),3,0)</f>
        <v>0</v>
      </c>
    </row>
    <row r="234" spans="1:59" ht="12.75">
      <c r="D234" s="15" t="s">
        <v>608</v>
      </c>
      <c r="M234" s="1121"/>
      <c r="N234" s="1121"/>
      <c r="O234" s="1121"/>
      <c r="P234" s="1121"/>
      <c r="Q234" s="1121"/>
      <c r="R234" s="1121"/>
      <c r="S234" s="1121"/>
      <c r="T234" s="1121"/>
      <c r="U234" s="1121"/>
      <c r="V234" s="1121"/>
      <c r="W234" s="1121"/>
      <c r="X234" s="1121"/>
      <c r="Y234" s="1121"/>
      <c r="Z234" s="1121"/>
      <c r="AA234" s="1121"/>
      <c r="AB234" s="1121"/>
      <c r="AC234" s="1121"/>
      <c r="AD234" s="1121"/>
      <c r="AE234" s="1121"/>
      <c r="AF234" s="8"/>
      <c r="AG234" s="8"/>
      <c r="AH234" s="8"/>
      <c r="AI234" s="8"/>
      <c r="AJ234" s="8"/>
      <c r="AK234" s="62"/>
      <c r="AL234" s="62"/>
      <c r="AO234" s="422" t="s">
        <v>1005</v>
      </c>
      <c r="AT234" s="428">
        <f>IF(AND(AND($M$244="for profit",$M$252="for profit",$M$260="for profit")),3,0)</f>
        <v>0</v>
      </c>
    </row>
    <row r="235" spans="1:59" ht="12.75">
      <c r="D235" s="64"/>
      <c r="K235" s="3"/>
      <c r="AO235" s="422" t="s">
        <v>1005</v>
      </c>
      <c r="AT235" s="428">
        <f>IF(AND(AND($M$244="for profit",$M$252="(select one)",$M$260="(select one)")),3,0)</f>
        <v>0</v>
      </c>
    </row>
    <row r="236" spans="1:59" ht="12.75">
      <c r="A236" s="54" t="s">
        <v>670</v>
      </c>
      <c r="C236" s="54" t="s">
        <v>1504</v>
      </c>
      <c r="D236" s="64"/>
      <c r="K236" s="3"/>
      <c r="L236" s="17"/>
      <c r="M236" s="17"/>
      <c r="N236" s="17"/>
      <c r="AZ236" s="29"/>
      <c r="BA236" s="3"/>
      <c r="BB236" s="429"/>
      <c r="BC236" s="419"/>
      <c r="BD236" s="419"/>
      <c r="BE236" s="419"/>
      <c r="BF236" s="419"/>
      <c r="BG236" s="29"/>
    </row>
    <row r="237" spans="1:59" ht="12.75">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2</v>
      </c>
      <c r="AZ237" s="29"/>
      <c r="BA237" s="3"/>
      <c r="BB237" s="3"/>
    </row>
    <row r="238" spans="1:59" ht="12.75">
      <c r="A238" s="33"/>
      <c r="B238" s="8"/>
      <c r="C238" s="143" t="s">
        <v>549</v>
      </c>
      <c r="D238" s="61" t="s">
        <v>609</v>
      </c>
      <c r="E238" s="61"/>
      <c r="F238" s="61"/>
      <c r="G238" s="61"/>
      <c r="H238" s="61"/>
      <c r="I238" s="61"/>
      <c r="J238" s="61"/>
      <c r="K238" s="61"/>
      <c r="L238" s="8"/>
      <c r="M238" s="1283" t="s">
        <v>1686</v>
      </c>
      <c r="N238" s="1267"/>
      <c r="O238" s="1267"/>
      <c r="P238" s="1267"/>
      <c r="Q238" s="1267"/>
      <c r="R238" s="1267"/>
      <c r="S238" s="1267"/>
      <c r="T238" s="1267"/>
      <c r="U238" s="1267"/>
      <c r="V238" s="1267"/>
      <c r="W238" s="1267"/>
      <c r="X238" s="1267"/>
      <c r="Y238" s="1267"/>
      <c r="Z238" s="1267"/>
      <c r="AA238" s="1267"/>
      <c r="AB238" s="1267"/>
      <c r="AC238" s="1267"/>
      <c r="AD238" s="1267"/>
      <c r="AE238" s="1267"/>
      <c r="AF238" s="1267" t="s">
        <v>1620</v>
      </c>
      <c r="AG238" s="1267"/>
      <c r="AH238" s="1267"/>
      <c r="AI238" s="1267"/>
      <c r="AJ238" s="1267"/>
      <c r="AK238" s="1267"/>
      <c r="AT238" s="15">
        <v>1</v>
      </c>
      <c r="AU238" s="15" t="s">
        <v>611</v>
      </c>
      <c r="AZ238" s="29"/>
      <c r="BA238" s="3"/>
      <c r="BB238" s="3"/>
    </row>
    <row r="239" spans="1:59" ht="12.75">
      <c r="A239" s="33"/>
      <c r="B239" s="8"/>
      <c r="C239" s="8"/>
      <c r="D239" s="61" t="s">
        <v>93</v>
      </c>
      <c r="E239" s="61"/>
      <c r="F239" s="61"/>
      <c r="G239" s="61"/>
      <c r="H239" s="61"/>
      <c r="I239" s="61"/>
      <c r="J239" s="61"/>
      <c r="K239" s="61"/>
      <c r="L239" s="8"/>
      <c r="M239" s="1118" t="s">
        <v>1612</v>
      </c>
      <c r="N239" s="1242"/>
      <c r="O239" s="1242"/>
      <c r="P239" s="1242"/>
      <c r="Q239" s="1242"/>
      <c r="R239" s="1242"/>
      <c r="S239" s="1242"/>
      <c r="T239" s="1242"/>
      <c r="U239" s="1242"/>
      <c r="V239" s="1242"/>
      <c r="W239" s="1242"/>
      <c r="X239" s="1242"/>
      <c r="Y239" s="1242"/>
      <c r="Z239" s="1242"/>
      <c r="AA239" s="1242"/>
      <c r="AB239" s="1242"/>
      <c r="AC239" s="1242"/>
      <c r="AD239" s="1242"/>
      <c r="AE239" s="1242"/>
      <c r="AF239" s="62" t="s">
        <v>1500</v>
      </c>
      <c r="AG239" s="791"/>
      <c r="AH239" s="791"/>
      <c r="AI239" s="791"/>
      <c r="AJ239" s="791"/>
      <c r="AK239" s="791"/>
      <c r="AL239" s="8"/>
      <c r="AT239" s="15">
        <v>2</v>
      </c>
      <c r="AU239" s="15" t="s">
        <v>645</v>
      </c>
      <c r="BA239" s="3"/>
      <c r="BB239" s="420" t="str">
        <f>VLOOKUP(AT237,AT238:AU240,2,FALSE)</f>
        <v>Joint Venture</v>
      </c>
    </row>
    <row r="240" spans="1:59" ht="12.75">
      <c r="A240" s="33"/>
      <c r="B240" s="8"/>
      <c r="C240" s="8"/>
      <c r="D240" s="61" t="s">
        <v>661</v>
      </c>
      <c r="E240" s="61"/>
      <c r="M240" s="1118" t="s">
        <v>1613</v>
      </c>
      <c r="N240" s="1242"/>
      <c r="O240" s="1242"/>
      <c r="P240" s="1242"/>
      <c r="Q240" s="1242"/>
      <c r="R240" s="1242"/>
      <c r="S240" s="1242"/>
      <c r="T240" s="1242"/>
      <c r="V240" s="63" t="s">
        <v>94</v>
      </c>
      <c r="W240" s="1284" t="s">
        <v>1614</v>
      </c>
      <c r="X240" s="1126"/>
      <c r="Y240" s="61" t="s">
        <v>664</v>
      </c>
      <c r="AC240" s="1242">
        <v>90401</v>
      </c>
      <c r="AD240" s="1242"/>
      <c r="AE240" s="1242"/>
      <c r="AF240" s="62" t="s">
        <v>1501</v>
      </c>
      <c r="AG240" s="791"/>
      <c r="AH240" s="791"/>
      <c r="AI240" s="791"/>
      <c r="AJ240" s="791"/>
      <c r="AK240" s="791"/>
      <c r="AN240" s="15" t="s">
        <v>333</v>
      </c>
      <c r="AT240" s="15">
        <v>3</v>
      </c>
      <c r="AU240" s="15" t="s">
        <v>613</v>
      </c>
      <c r="BA240" s="429"/>
      <c r="BB240" s="43"/>
    </row>
    <row r="241" spans="1:53" ht="12.75">
      <c r="A241" s="33"/>
      <c r="B241" s="8"/>
      <c r="C241" s="8"/>
      <c r="D241" s="64" t="s">
        <v>95</v>
      </c>
      <c r="E241" s="8"/>
      <c r="F241" s="8"/>
      <c r="G241" s="8"/>
      <c r="H241" s="8"/>
      <c r="I241" s="8"/>
      <c r="J241" s="8"/>
      <c r="K241" s="8"/>
      <c r="L241" s="33"/>
      <c r="M241" s="1118" t="s">
        <v>1615</v>
      </c>
      <c r="N241" s="1242"/>
      <c r="O241" s="1242"/>
      <c r="P241" s="1242"/>
      <c r="Q241" s="1242"/>
      <c r="R241" s="1242"/>
      <c r="S241" s="1242"/>
      <c r="T241" s="1242"/>
      <c r="U241" s="1242"/>
      <c r="V241" s="1242"/>
      <c r="W241" s="1242"/>
      <c r="X241" s="1242"/>
      <c r="Y241" s="1242"/>
      <c r="Z241" s="1242"/>
      <c r="AA241" s="1242"/>
      <c r="AB241" s="1242"/>
      <c r="AC241" s="1242"/>
      <c r="AD241" s="1242"/>
      <c r="AE241" s="1242"/>
      <c r="AH241" s="1590">
        <v>8.9999999999999993E-3</v>
      </c>
      <c r="AI241" s="1590"/>
      <c r="AJ241" s="1590"/>
      <c r="AK241" s="1590"/>
      <c r="AL241" s="8"/>
      <c r="AN241" s="8" t="s">
        <v>300</v>
      </c>
      <c r="BA241" s="65"/>
    </row>
    <row r="242" spans="1:53" ht="12.75">
      <c r="A242" s="33"/>
      <c r="B242" s="8"/>
      <c r="C242" s="8"/>
      <c r="D242" s="64" t="s">
        <v>96</v>
      </c>
      <c r="E242" s="8"/>
      <c r="F242" s="8"/>
      <c r="M242" s="1124" t="s">
        <v>1616</v>
      </c>
      <c r="N242" s="1125"/>
      <c r="O242" s="1125"/>
      <c r="P242" s="1125"/>
      <c r="Q242" s="1125"/>
      <c r="R242" s="1125"/>
      <c r="S242" s="8" t="s">
        <v>224</v>
      </c>
      <c r="T242" s="8"/>
      <c r="U242" s="1126">
        <v>915</v>
      </c>
      <c r="V242" s="1126"/>
      <c r="W242" s="1126"/>
      <c r="X242" s="8" t="s">
        <v>97</v>
      </c>
      <c r="Z242" s="1124" t="s">
        <v>1617</v>
      </c>
      <c r="AA242" s="1125"/>
      <c r="AB242" s="1125"/>
      <c r="AC242" s="1125"/>
      <c r="AD242" s="1125"/>
      <c r="AE242" s="1125"/>
      <c r="AN242" s="8" t="s">
        <v>190</v>
      </c>
      <c r="BA242" s="65"/>
    </row>
    <row r="243" spans="1:53" ht="12.75">
      <c r="A243" s="33"/>
      <c r="B243" s="8"/>
      <c r="C243" s="8"/>
      <c r="D243" s="64" t="s">
        <v>98</v>
      </c>
      <c r="E243" s="8"/>
      <c r="F243" s="8"/>
      <c r="M243" s="1472" t="s">
        <v>1618</v>
      </c>
      <c r="N243" s="1472"/>
      <c r="O243" s="1472"/>
      <c r="P243" s="1472"/>
      <c r="Q243" s="1472"/>
      <c r="R243" s="1472"/>
      <c r="S243" s="1472"/>
      <c r="T243" s="1472"/>
      <c r="U243" s="1472"/>
      <c r="V243" s="1472"/>
      <c r="W243" s="1472"/>
      <c r="X243" s="1472"/>
      <c r="Y243" s="1472"/>
      <c r="Z243" s="1472"/>
      <c r="AA243" s="1472"/>
      <c r="AB243" s="1472"/>
      <c r="AC243" s="1472"/>
      <c r="AD243" s="1472"/>
      <c r="AE243" s="1472"/>
      <c r="AG243" s="8"/>
      <c r="AH243" s="8"/>
      <c r="AI243" s="8"/>
      <c r="AJ243" s="8"/>
      <c r="AK243" s="8"/>
      <c r="AL243" s="8"/>
      <c r="BA243" s="65"/>
    </row>
    <row r="244" spans="1:53" ht="12.75">
      <c r="A244" s="27"/>
      <c r="B244" s="8"/>
      <c r="C244" s="143"/>
      <c r="D244" s="64" t="s">
        <v>612</v>
      </c>
      <c r="E244" s="8"/>
      <c r="F244" s="8"/>
      <c r="G244" s="8"/>
      <c r="H244" s="8"/>
      <c r="I244" s="8"/>
      <c r="J244" s="8"/>
      <c r="K244" s="8"/>
      <c r="L244" s="8"/>
      <c r="M244" s="1141" t="s">
        <v>613</v>
      </c>
      <c r="N244" s="1141"/>
      <c r="O244" s="1141"/>
      <c r="P244" s="1141"/>
      <c r="Q244" s="1141"/>
      <c r="R244" s="1141"/>
      <c r="S244" s="1141"/>
      <c r="T244" s="1141"/>
      <c r="U244" s="426" t="s">
        <v>1046</v>
      </c>
      <c r="V244" s="356"/>
      <c r="W244" s="356"/>
      <c r="X244" s="356"/>
      <c r="Y244" s="356"/>
      <c r="Z244" s="356"/>
      <c r="AA244" s="1469" t="s">
        <v>1622</v>
      </c>
      <c r="AB244" s="1266"/>
      <c r="AC244" s="1266"/>
      <c r="AD244" s="1266"/>
      <c r="AE244" s="1266"/>
      <c r="AF244" s="1266"/>
      <c r="AG244" s="1266"/>
      <c r="AH244" s="1266"/>
      <c r="AI244" s="1266"/>
      <c r="AJ244" s="1266"/>
      <c r="AK244" s="1266"/>
      <c r="BA244" s="65"/>
    </row>
    <row r="245" spans="1:53" ht="12.75">
      <c r="A245" s="33"/>
      <c r="B245" s="8"/>
      <c r="C245" s="8"/>
      <c r="D245" s="8"/>
      <c r="E245" s="8"/>
      <c r="F245" s="8"/>
      <c r="G245" s="8"/>
      <c r="H245" s="8"/>
      <c r="I245" s="8"/>
      <c r="J245" s="8"/>
      <c r="K245" s="8"/>
      <c r="L245" s="8"/>
      <c r="AG245" s="8"/>
      <c r="AH245" s="8"/>
      <c r="AI245" s="8"/>
      <c r="AJ245" s="61"/>
      <c r="BA245" s="65"/>
    </row>
    <row r="246" spans="1:53" ht="12.75">
      <c r="A246" s="106"/>
      <c r="B246" s="8"/>
      <c r="C246" s="143" t="s">
        <v>106</v>
      </c>
      <c r="D246" s="61" t="s">
        <v>1106</v>
      </c>
      <c r="E246" s="61"/>
      <c r="F246" s="61"/>
      <c r="G246" s="61"/>
      <c r="H246" s="61"/>
      <c r="I246" s="61"/>
      <c r="J246" s="61"/>
      <c r="K246" s="61"/>
      <c r="L246" s="8"/>
      <c r="M246" s="1283" t="s">
        <v>1687</v>
      </c>
      <c r="N246" s="1267"/>
      <c r="O246" s="1267"/>
      <c r="P246" s="1267"/>
      <c r="Q246" s="1267"/>
      <c r="R246" s="1267"/>
      <c r="S246" s="1267"/>
      <c r="T246" s="1267"/>
      <c r="U246" s="1267"/>
      <c r="V246" s="1267"/>
      <c r="W246" s="1267"/>
      <c r="X246" s="1267"/>
      <c r="Y246" s="1267"/>
      <c r="Z246" s="1267"/>
      <c r="AA246" s="1267"/>
      <c r="AB246" s="1267"/>
      <c r="AC246" s="1267"/>
      <c r="AD246" s="1267"/>
      <c r="AE246" s="1267"/>
      <c r="AF246" s="1267" t="s">
        <v>1621</v>
      </c>
      <c r="AG246" s="1267"/>
      <c r="AH246" s="1267"/>
      <c r="AI246" s="1267"/>
      <c r="AJ246" s="1267"/>
      <c r="AK246" s="1267"/>
      <c r="BA246" s="65"/>
    </row>
    <row r="247" spans="1:53" ht="12.75">
      <c r="A247" s="33"/>
      <c r="B247" s="8"/>
      <c r="C247" s="8"/>
      <c r="D247" s="61" t="s">
        <v>93</v>
      </c>
      <c r="E247" s="61"/>
      <c r="F247" s="61"/>
      <c r="G247" s="61"/>
      <c r="H247" s="61"/>
      <c r="I247" s="61"/>
      <c r="J247" s="61"/>
      <c r="K247" s="61"/>
      <c r="L247" s="8"/>
      <c r="M247" s="1118" t="s">
        <v>1689</v>
      </c>
      <c r="N247" s="1242"/>
      <c r="O247" s="1242"/>
      <c r="P247" s="1242"/>
      <c r="Q247" s="1242"/>
      <c r="R247" s="1242"/>
      <c r="S247" s="1242"/>
      <c r="T247" s="1242"/>
      <c r="U247" s="1242"/>
      <c r="V247" s="1242"/>
      <c r="W247" s="1242"/>
      <c r="X247" s="1242"/>
      <c r="Y247" s="1242"/>
      <c r="Z247" s="1242"/>
      <c r="AA247" s="1242"/>
      <c r="AB247" s="1242"/>
      <c r="AC247" s="1242"/>
      <c r="AD247" s="1242"/>
      <c r="AE247" s="1242"/>
      <c r="AF247" s="62" t="s">
        <v>1500</v>
      </c>
      <c r="AG247" s="791"/>
      <c r="AH247" s="791"/>
      <c r="AI247" s="791"/>
      <c r="AJ247" s="791"/>
      <c r="AK247" s="791"/>
      <c r="AL247" s="8"/>
      <c r="BA247" s="65"/>
    </row>
    <row r="248" spans="1:53" ht="12.75">
      <c r="A248" s="33"/>
      <c r="B248" s="8"/>
      <c r="C248" s="8"/>
      <c r="D248" s="61" t="s">
        <v>661</v>
      </c>
      <c r="E248" s="61"/>
      <c r="M248" s="1118" t="s">
        <v>1690</v>
      </c>
      <c r="N248" s="1242"/>
      <c r="O248" s="1242"/>
      <c r="P248" s="1242"/>
      <c r="Q248" s="1242"/>
      <c r="R248" s="1242"/>
      <c r="S248" s="1242"/>
      <c r="T248" s="1242"/>
      <c r="V248" s="63" t="s">
        <v>94</v>
      </c>
      <c r="W248" s="1284" t="s">
        <v>1614</v>
      </c>
      <c r="X248" s="1126"/>
      <c r="Y248" s="61" t="s">
        <v>664</v>
      </c>
      <c r="AC248" s="1242">
        <v>92660</v>
      </c>
      <c r="AD248" s="1242"/>
      <c r="AE248" s="1242"/>
      <c r="AF248" s="62" t="s">
        <v>1501</v>
      </c>
      <c r="AG248" s="791"/>
      <c r="AH248" s="791"/>
      <c r="AI248" s="791"/>
      <c r="AJ248" s="791"/>
      <c r="AK248" s="791"/>
    </row>
    <row r="249" spans="1:53" ht="12.75">
      <c r="A249" s="33"/>
      <c r="B249" s="8"/>
      <c r="C249" s="8"/>
      <c r="D249" s="64" t="s">
        <v>95</v>
      </c>
      <c r="E249" s="8"/>
      <c r="F249" s="8"/>
      <c r="G249" s="8"/>
      <c r="H249" s="8"/>
      <c r="I249" s="8"/>
      <c r="J249" s="8"/>
      <c r="K249" s="8"/>
      <c r="L249" s="33"/>
      <c r="M249" s="1118" t="s">
        <v>1691</v>
      </c>
      <c r="N249" s="1242"/>
      <c r="O249" s="1242"/>
      <c r="P249" s="1242"/>
      <c r="Q249" s="1242"/>
      <c r="R249" s="1242"/>
      <c r="S249" s="1242"/>
      <c r="T249" s="1242"/>
      <c r="U249" s="1242"/>
      <c r="V249" s="1242"/>
      <c r="W249" s="1242"/>
      <c r="X249" s="1242"/>
      <c r="Y249" s="1242"/>
      <c r="Z249" s="1242"/>
      <c r="AA249" s="1242"/>
      <c r="AB249" s="1242"/>
      <c r="AC249" s="1242"/>
      <c r="AD249" s="1242"/>
      <c r="AE249" s="1242"/>
      <c r="AF249" s="791"/>
      <c r="AG249" s="791"/>
      <c r="AH249" s="1590">
        <v>1E-3</v>
      </c>
      <c r="AI249" s="1590"/>
      <c r="AJ249" s="1590"/>
      <c r="AK249" s="1590"/>
      <c r="AL249" s="8"/>
      <c r="BA249" s="65"/>
    </row>
    <row r="250" spans="1:53" ht="12.75">
      <c r="A250" s="33"/>
      <c r="B250" s="8"/>
      <c r="C250" s="8"/>
      <c r="D250" s="64" t="s">
        <v>96</v>
      </c>
      <c r="E250" s="8"/>
      <c r="F250" s="8"/>
      <c r="M250" s="1124" t="s">
        <v>1692</v>
      </c>
      <c r="N250" s="1125"/>
      <c r="O250" s="1125"/>
      <c r="P250" s="1125"/>
      <c r="Q250" s="1125"/>
      <c r="R250" s="1125"/>
      <c r="S250" s="8" t="s">
        <v>224</v>
      </c>
      <c r="T250" s="8"/>
      <c r="U250" s="1126"/>
      <c r="V250" s="1126"/>
      <c r="W250" s="1126"/>
      <c r="X250" s="8" t="s">
        <v>97</v>
      </c>
      <c r="Z250" s="1124" t="s">
        <v>1693</v>
      </c>
      <c r="AA250" s="1125"/>
      <c r="AB250" s="1125"/>
      <c r="AC250" s="1125"/>
      <c r="AD250" s="1125"/>
      <c r="AE250" s="1125"/>
      <c r="BA250" s="65"/>
    </row>
    <row r="251" spans="1:53" ht="12.75" customHeight="1">
      <c r="A251" s="33"/>
      <c r="B251" s="8"/>
      <c r="C251" s="8"/>
      <c r="D251" s="64" t="s">
        <v>98</v>
      </c>
      <c r="E251" s="8"/>
      <c r="F251" s="8"/>
      <c r="M251" s="1472" t="s">
        <v>1694</v>
      </c>
      <c r="N251" s="1472"/>
      <c r="O251" s="1472"/>
      <c r="P251" s="1472"/>
      <c r="Q251" s="1472"/>
      <c r="R251" s="1472"/>
      <c r="S251" s="1472"/>
      <c r="T251" s="1472"/>
      <c r="U251" s="1472"/>
      <c r="V251" s="1472"/>
      <c r="W251" s="1472"/>
      <c r="X251" s="1472"/>
      <c r="Y251" s="1472"/>
      <c r="Z251" s="1472"/>
      <c r="AA251" s="1472"/>
      <c r="AB251" s="1472"/>
      <c r="AC251" s="1472"/>
      <c r="AD251" s="1472"/>
      <c r="AE251" s="1472"/>
      <c r="AG251" s="8"/>
      <c r="AH251" s="8"/>
      <c r="AI251" s="8"/>
      <c r="AJ251" s="8"/>
      <c r="AK251" s="8"/>
      <c r="AL251" s="8"/>
      <c r="BA251" s="65"/>
    </row>
    <row r="252" spans="1:53" ht="12.75" customHeight="1">
      <c r="A252" s="27"/>
      <c r="B252" s="8"/>
      <c r="C252" s="143"/>
      <c r="D252" s="64" t="s">
        <v>612</v>
      </c>
      <c r="E252" s="8"/>
      <c r="F252" s="8"/>
      <c r="G252" s="8"/>
      <c r="H252" s="8"/>
      <c r="I252" s="8"/>
      <c r="J252" s="8"/>
      <c r="K252" s="8"/>
      <c r="L252" s="8"/>
      <c r="M252" s="1141" t="s">
        <v>611</v>
      </c>
      <c r="N252" s="1141"/>
      <c r="O252" s="1141"/>
      <c r="P252" s="1141"/>
      <c r="Q252" s="1141"/>
      <c r="R252" s="1141"/>
      <c r="S252" s="1141"/>
      <c r="T252" s="1141"/>
      <c r="U252" s="426" t="s">
        <v>1046</v>
      </c>
      <c r="V252" s="356"/>
      <c r="W252" s="356"/>
      <c r="X252" s="356"/>
      <c r="Y252" s="356"/>
      <c r="Z252" s="356"/>
      <c r="AA252" s="1469" t="s">
        <v>1688</v>
      </c>
      <c r="AB252" s="1266"/>
      <c r="AC252" s="1266"/>
      <c r="AD252" s="1266"/>
      <c r="AE252" s="1266"/>
      <c r="AF252" s="1266"/>
      <c r="AG252" s="1266"/>
      <c r="AH252" s="1266"/>
      <c r="AI252" s="1266"/>
      <c r="AJ252" s="1266"/>
      <c r="AK252" s="1266"/>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1004</v>
      </c>
      <c r="D254" s="61" t="s">
        <v>609</v>
      </c>
      <c r="E254" s="61"/>
      <c r="F254" s="61"/>
      <c r="G254" s="61"/>
      <c r="H254" s="61"/>
      <c r="I254" s="61"/>
      <c r="J254" s="61"/>
      <c r="K254" s="61"/>
      <c r="L254" s="8"/>
      <c r="M254" s="1267"/>
      <c r="N254" s="1267"/>
      <c r="O254" s="1267"/>
      <c r="P254" s="1267"/>
      <c r="Q254" s="1267"/>
      <c r="R254" s="1267"/>
      <c r="S254" s="1267"/>
      <c r="T254" s="1267"/>
      <c r="U254" s="1267"/>
      <c r="V254" s="1267"/>
      <c r="W254" s="1267"/>
      <c r="X254" s="1267"/>
      <c r="Y254" s="1267"/>
      <c r="Z254" s="1267"/>
      <c r="AA254" s="1267"/>
      <c r="AB254" s="1267"/>
      <c r="AC254" s="1267"/>
      <c r="AD254" s="1267"/>
      <c r="AE254" s="1267"/>
      <c r="AF254" s="1267" t="s">
        <v>333</v>
      </c>
      <c r="AG254" s="1267"/>
      <c r="AH254" s="1267"/>
      <c r="AI254" s="1267"/>
      <c r="AJ254" s="1267"/>
      <c r="AK254" s="1267"/>
      <c r="AL254" s="62"/>
      <c r="BA254" s="65"/>
    </row>
    <row r="255" spans="1:53" ht="12.75">
      <c r="A255" s="27"/>
      <c r="B255" s="8"/>
      <c r="C255" s="8"/>
      <c r="D255" s="61" t="s">
        <v>93</v>
      </c>
      <c r="E255" s="61"/>
      <c r="F255" s="61"/>
      <c r="G255" s="61"/>
      <c r="H255" s="61"/>
      <c r="I255" s="61"/>
      <c r="J255" s="61"/>
      <c r="K255" s="61"/>
      <c r="L255" s="8"/>
      <c r="M255" s="1242"/>
      <c r="N255" s="1242"/>
      <c r="O255" s="1242"/>
      <c r="P255" s="1242"/>
      <c r="Q255" s="1242"/>
      <c r="R255" s="1242"/>
      <c r="S255" s="1242"/>
      <c r="T255" s="1242"/>
      <c r="U255" s="1242"/>
      <c r="V255" s="1242"/>
      <c r="W255" s="1242"/>
      <c r="X255" s="1242"/>
      <c r="Y255" s="1242"/>
      <c r="Z255" s="1242"/>
      <c r="AA255" s="1242"/>
      <c r="AB255" s="1242"/>
      <c r="AC255" s="1242"/>
      <c r="AD255" s="1242"/>
      <c r="AE255" s="1242"/>
      <c r="AF255" s="62" t="s">
        <v>1500</v>
      </c>
      <c r="AG255" s="791"/>
      <c r="AH255" s="791"/>
      <c r="AI255" s="791"/>
      <c r="AJ255" s="791"/>
      <c r="AK255" s="791"/>
      <c r="AL255" s="62"/>
      <c r="BA255" s="65"/>
    </row>
    <row r="256" spans="1:53" ht="12.75">
      <c r="A256" s="27"/>
      <c r="B256" s="8"/>
      <c r="C256" s="8"/>
      <c r="D256" s="61" t="s">
        <v>661</v>
      </c>
      <c r="E256" s="61"/>
      <c r="M256" s="1242"/>
      <c r="N256" s="1242"/>
      <c r="O256" s="1242"/>
      <c r="P256" s="1242"/>
      <c r="Q256" s="1242"/>
      <c r="R256" s="1242"/>
      <c r="S256" s="1242"/>
      <c r="T256" s="1242"/>
      <c r="V256" s="63" t="s">
        <v>94</v>
      </c>
      <c r="W256" s="1126"/>
      <c r="X256" s="1126"/>
      <c r="Y256" s="61" t="s">
        <v>664</v>
      </c>
      <c r="AC256" s="1242"/>
      <c r="AD256" s="1242"/>
      <c r="AE256" s="1242"/>
      <c r="AF256" s="62" t="s">
        <v>1501</v>
      </c>
      <c r="AG256" s="791"/>
      <c r="AH256" s="791"/>
      <c r="AI256" s="791"/>
      <c r="AJ256" s="791"/>
      <c r="AK256" s="791"/>
      <c r="AL256" s="62"/>
      <c r="BA256" s="65"/>
    </row>
    <row r="257" spans="1:53" ht="12.75">
      <c r="A257" s="27"/>
      <c r="B257" s="8"/>
      <c r="C257" s="8"/>
      <c r="D257" s="64" t="s">
        <v>95</v>
      </c>
      <c r="E257" s="8"/>
      <c r="F257" s="8"/>
      <c r="G257" s="8"/>
      <c r="H257" s="8"/>
      <c r="I257" s="8"/>
      <c r="J257" s="8"/>
      <c r="K257" s="8"/>
      <c r="L257" s="33"/>
      <c r="M257" s="1242"/>
      <c r="N257" s="1242"/>
      <c r="O257" s="1242"/>
      <c r="P257" s="1242"/>
      <c r="Q257" s="1242"/>
      <c r="R257" s="1242"/>
      <c r="S257" s="1242"/>
      <c r="T257" s="1242"/>
      <c r="U257" s="1242"/>
      <c r="V257" s="1242"/>
      <c r="W257" s="1242"/>
      <c r="X257" s="1242"/>
      <c r="Y257" s="1242"/>
      <c r="Z257" s="1242"/>
      <c r="AA257" s="1242"/>
      <c r="AB257" s="1242"/>
      <c r="AC257" s="1242"/>
      <c r="AD257" s="1242"/>
      <c r="AE257" s="1242"/>
      <c r="AF257" s="791"/>
      <c r="AG257" s="791"/>
      <c r="AH257" s="1590"/>
      <c r="AI257" s="1590"/>
      <c r="AJ257" s="1590"/>
      <c r="AK257" s="1590"/>
      <c r="AL257" s="62"/>
      <c r="BA257" s="65"/>
    </row>
    <row r="258" spans="1:53" ht="12.75">
      <c r="A258" s="27"/>
      <c r="B258" s="8"/>
      <c r="C258" s="8"/>
      <c r="D258" s="64" t="s">
        <v>96</v>
      </c>
      <c r="E258" s="8"/>
      <c r="F258" s="8"/>
      <c r="M258" s="1125"/>
      <c r="N258" s="1125"/>
      <c r="O258" s="1125"/>
      <c r="P258" s="1125"/>
      <c r="Q258" s="1125"/>
      <c r="R258" s="1125"/>
      <c r="S258" s="8" t="s">
        <v>224</v>
      </c>
      <c r="T258" s="8"/>
      <c r="U258" s="1126"/>
      <c r="V258" s="1126"/>
      <c r="W258" s="1126"/>
      <c r="X258" s="8" t="s">
        <v>97</v>
      </c>
      <c r="Z258" s="1125"/>
      <c r="AA258" s="1125"/>
      <c r="AB258" s="1125"/>
      <c r="AC258" s="1125"/>
      <c r="AD258" s="1125"/>
      <c r="AE258" s="1125"/>
      <c r="AL258" s="62"/>
      <c r="BA258" s="65"/>
    </row>
    <row r="259" spans="1:53" ht="12.75">
      <c r="A259" s="27"/>
      <c r="B259" s="8"/>
      <c r="C259" s="8"/>
      <c r="D259" s="64" t="s">
        <v>98</v>
      </c>
      <c r="E259" s="8"/>
      <c r="F259" s="8"/>
      <c r="M259" s="1472"/>
      <c r="N259" s="1472"/>
      <c r="O259" s="1472"/>
      <c r="P259" s="1472"/>
      <c r="Q259" s="1472"/>
      <c r="R259" s="1472"/>
      <c r="S259" s="1472"/>
      <c r="T259" s="1472"/>
      <c r="U259" s="1472"/>
      <c r="V259" s="1472"/>
      <c r="W259" s="1472"/>
      <c r="X259" s="1472"/>
      <c r="Y259" s="1472"/>
      <c r="Z259" s="1472"/>
      <c r="AA259" s="1478"/>
      <c r="AB259" s="1478"/>
      <c r="AC259" s="1478"/>
      <c r="AD259" s="1478"/>
      <c r="AE259" s="1478"/>
      <c r="AG259" s="8"/>
      <c r="AH259" s="8"/>
      <c r="AI259" s="8"/>
      <c r="AJ259" s="8"/>
      <c r="AK259" s="8"/>
      <c r="AL259" s="62"/>
      <c r="BA259" s="65"/>
    </row>
    <row r="260" spans="1:53" ht="12.75">
      <c r="A260" s="27"/>
      <c r="B260" s="8"/>
      <c r="C260" s="143"/>
      <c r="D260" s="64" t="s">
        <v>612</v>
      </c>
      <c r="E260" s="8"/>
      <c r="F260" s="8"/>
      <c r="G260" s="8"/>
      <c r="H260" s="8"/>
      <c r="I260" s="8"/>
      <c r="J260" s="8"/>
      <c r="K260" s="8"/>
      <c r="L260" s="8"/>
      <c r="M260" s="1141" t="s">
        <v>333</v>
      </c>
      <c r="N260" s="1141"/>
      <c r="O260" s="1141"/>
      <c r="P260" s="1141"/>
      <c r="Q260" s="1141"/>
      <c r="R260" s="1141"/>
      <c r="S260" s="1141"/>
      <c r="T260" s="1141"/>
      <c r="U260" s="426" t="s">
        <v>1046</v>
      </c>
      <c r="V260" s="356"/>
      <c r="W260" s="356"/>
      <c r="X260" s="356"/>
      <c r="Y260" s="356"/>
      <c r="Z260" s="356"/>
      <c r="AA260" s="1446"/>
      <c r="AB260" s="1446"/>
      <c r="AC260" s="1446"/>
      <c r="AD260" s="1446"/>
      <c r="AE260" s="1446"/>
      <c r="AF260" s="1446"/>
      <c r="AG260" s="1446"/>
      <c r="AH260" s="1446"/>
      <c r="AI260" s="1446"/>
      <c r="AJ260" s="1446"/>
      <c r="AK260" s="1446"/>
      <c r="AL260" s="62"/>
      <c r="BA260" s="65"/>
    </row>
    <row r="261" spans="1:53" ht="12.75">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2.75">
      <c r="A262" s="141" t="s">
        <v>671</v>
      </c>
      <c r="B262" s="8"/>
      <c r="C262" s="54" t="s">
        <v>318</v>
      </c>
      <c r="D262" s="8"/>
      <c r="E262" s="8"/>
      <c r="F262" s="8"/>
      <c r="G262" s="8"/>
      <c r="H262" s="8"/>
      <c r="I262" s="8"/>
      <c r="J262" s="8"/>
      <c r="K262" s="8"/>
      <c r="L262" s="8"/>
      <c r="M262" s="155"/>
      <c r="N262" s="155"/>
      <c r="O262" s="155"/>
      <c r="P262" s="155"/>
      <c r="Q262" s="155"/>
      <c r="T262" s="1473" t="str">
        <f>BB239</f>
        <v>Joint Venture</v>
      </c>
      <c r="U262" s="1473"/>
      <c r="V262" s="1473"/>
      <c r="W262" s="1473"/>
      <c r="X262" s="1473"/>
      <c r="Z262" s="519" t="s">
        <v>1105</v>
      </c>
      <c r="AA262" s="520"/>
      <c r="AB262" s="520"/>
      <c r="AC262" s="520"/>
      <c r="AD262" s="174"/>
      <c r="AE262" s="174"/>
      <c r="AF262" s="174"/>
      <c r="AG262" s="174"/>
      <c r="AH262" s="174"/>
      <c r="AI262" s="174"/>
      <c r="AJ262" s="174"/>
      <c r="AK262" s="521"/>
      <c r="AL262" s="98"/>
      <c r="BA262" s="65"/>
    </row>
    <row r="263" spans="1:53" ht="12.75">
      <c r="A263" s="54"/>
      <c r="B263" s="8"/>
      <c r="C263" s="54"/>
      <c r="I263" s="8"/>
      <c r="J263" s="8"/>
      <c r="K263" s="8"/>
      <c r="L263" s="8"/>
      <c r="M263" s="155"/>
      <c r="N263" s="155"/>
      <c r="O263" s="155"/>
      <c r="P263" s="155"/>
      <c r="Q263" s="155"/>
      <c r="T263" s="8"/>
      <c r="U263" s="8"/>
      <c r="V263" s="8"/>
      <c r="W263" s="66"/>
      <c r="Z263" s="522" t="s">
        <v>923</v>
      </c>
      <c r="AA263" s="29"/>
      <c r="AB263" s="29"/>
      <c r="AC263" s="29"/>
      <c r="AD263" s="29"/>
      <c r="AE263" s="29"/>
      <c r="AF263" s="61"/>
      <c r="AG263" s="61"/>
      <c r="AH263" s="61"/>
      <c r="AI263" s="61"/>
      <c r="AJ263" s="61"/>
      <c r="AK263" s="29"/>
      <c r="AL263" s="105"/>
      <c r="BA263" s="65"/>
    </row>
    <row r="264" spans="1:53" ht="12.75">
      <c r="A264" s="54" t="s">
        <v>673</v>
      </c>
      <c r="B264" s="8"/>
      <c r="C264" s="54" t="s">
        <v>189</v>
      </c>
      <c r="D264" s="8"/>
      <c r="E264" s="8"/>
      <c r="F264" s="8"/>
      <c r="G264" s="8"/>
      <c r="H264" s="8"/>
      <c r="I264" s="8"/>
      <c r="J264" s="8"/>
      <c r="K264" s="8"/>
      <c r="L264" s="8"/>
      <c r="M264" s="8"/>
      <c r="N264" s="8"/>
      <c r="O264" s="8"/>
      <c r="P264" s="8"/>
      <c r="Q264" s="8"/>
      <c r="R264" s="8"/>
      <c r="S264" s="8"/>
      <c r="T264" s="8"/>
      <c r="U264" s="8"/>
      <c r="V264" s="8"/>
      <c r="W264" s="8"/>
      <c r="Z264" s="523" t="s">
        <v>1104</v>
      </c>
      <c r="AA264" s="84"/>
      <c r="AB264" s="84"/>
      <c r="AC264" s="84"/>
      <c r="AD264" s="84"/>
      <c r="AE264" s="84"/>
      <c r="AF264" s="171"/>
      <c r="AG264" s="171"/>
      <c r="AH264" s="171"/>
      <c r="AI264" s="171"/>
      <c r="AJ264" s="171"/>
      <c r="AK264" s="84"/>
      <c r="AL264" s="85"/>
      <c r="BA264" s="65"/>
    </row>
    <row r="265" spans="1:53" ht="12.75">
      <c r="A265" s="61"/>
      <c r="B265" s="67">
        <v>0</v>
      </c>
      <c r="D265" s="1242" t="s">
        <v>300</v>
      </c>
      <c r="E265" s="1242"/>
      <c r="F265" s="1242"/>
      <c r="G265" s="1242"/>
      <c r="H265" s="1242"/>
      <c r="J265" s="15" t="s">
        <v>299</v>
      </c>
      <c r="X265" s="1095"/>
      <c r="Y265" s="1095"/>
      <c r="Z265" s="1095"/>
      <c r="AA265" s="1095"/>
      <c r="AB265" s="1095"/>
      <c r="AC265" s="1095"/>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2.75">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2.75">
      <c r="A268" s="54" t="s">
        <v>543</v>
      </c>
      <c r="B268" s="54"/>
      <c r="C268" s="54" t="s">
        <v>703</v>
      </c>
      <c r="D268" s="8"/>
      <c r="E268" s="8"/>
      <c r="F268" s="8"/>
      <c r="G268" s="8"/>
      <c r="H268" s="8"/>
      <c r="I268" s="8"/>
      <c r="J268" s="8"/>
      <c r="K268" s="8"/>
      <c r="L268" s="8"/>
      <c r="M268" s="8"/>
      <c r="N268" s="8"/>
      <c r="O268" s="8"/>
      <c r="P268" s="8"/>
      <c r="Q268" s="8"/>
      <c r="R268" s="8"/>
      <c r="S268" s="8"/>
      <c r="T268" s="8"/>
      <c r="BA268" s="65"/>
    </row>
    <row r="269" spans="1:53" ht="12.75">
      <c r="D269" s="61" t="s">
        <v>319</v>
      </c>
      <c r="E269" s="61"/>
      <c r="F269" s="61"/>
      <c r="G269" s="61"/>
      <c r="H269" s="61"/>
      <c r="I269" s="61"/>
      <c r="J269" s="61"/>
      <c r="K269" s="8"/>
      <c r="L269" s="1283" t="s">
        <v>1622</v>
      </c>
      <c r="M269" s="1267"/>
      <c r="N269" s="1267"/>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62"/>
      <c r="AL269" s="62"/>
      <c r="BA269" s="65"/>
    </row>
    <row r="270" spans="1:53" ht="12.75" customHeight="1">
      <c r="D270" s="61" t="s">
        <v>93</v>
      </c>
      <c r="E270" s="61"/>
      <c r="F270" s="61"/>
      <c r="G270" s="61"/>
      <c r="H270" s="61"/>
      <c r="I270" s="61"/>
      <c r="J270" s="61"/>
      <c r="K270" s="8"/>
      <c r="L270" s="1118" t="s">
        <v>1612</v>
      </c>
      <c r="M270" s="1242"/>
      <c r="N270" s="1242"/>
      <c r="O270" s="1242"/>
      <c r="P270" s="1242"/>
      <c r="Q270" s="1242"/>
      <c r="R270" s="1242"/>
      <c r="S270" s="1242"/>
      <c r="T270" s="1242"/>
      <c r="U270" s="1242"/>
      <c r="V270" s="1242"/>
      <c r="W270" s="1242"/>
      <c r="X270" s="1242"/>
      <c r="Y270" s="1242"/>
      <c r="Z270" s="1242"/>
      <c r="AA270" s="1242"/>
      <c r="AB270" s="1242"/>
      <c r="AC270" s="1242"/>
      <c r="AD270" s="1242"/>
      <c r="AK270" s="62"/>
      <c r="AL270" s="62"/>
      <c r="BA270" s="65"/>
    </row>
    <row r="271" spans="1:53" ht="12.75">
      <c r="D271" s="61" t="s">
        <v>661</v>
      </c>
      <c r="E271" s="61"/>
      <c r="L271" s="1118" t="s">
        <v>1613</v>
      </c>
      <c r="M271" s="1242"/>
      <c r="N271" s="1242"/>
      <c r="O271" s="1242"/>
      <c r="P271" s="1242"/>
      <c r="Q271" s="1242"/>
      <c r="R271" s="1242"/>
      <c r="S271" s="1242"/>
      <c r="U271" s="63" t="s">
        <v>94</v>
      </c>
      <c r="V271" s="1284" t="s">
        <v>1614</v>
      </c>
      <c r="W271" s="1126"/>
      <c r="X271" s="61" t="s">
        <v>664</v>
      </c>
      <c r="AB271" s="1242">
        <v>90401</v>
      </c>
      <c r="AC271" s="1242"/>
      <c r="AD271" s="1242"/>
      <c r="AK271" s="62"/>
      <c r="AL271" s="62"/>
      <c r="BA271" s="65"/>
    </row>
    <row r="272" spans="1:53" ht="12.75">
      <c r="D272" s="64" t="s">
        <v>95</v>
      </c>
      <c r="E272" s="8"/>
      <c r="F272" s="8"/>
      <c r="G272" s="8"/>
      <c r="H272" s="8"/>
      <c r="I272" s="8"/>
      <c r="J272" s="8"/>
      <c r="K272" s="33"/>
      <c r="L272" s="1118" t="s">
        <v>1615</v>
      </c>
      <c r="M272" s="1242"/>
      <c r="N272" s="1242"/>
      <c r="O272" s="1242"/>
      <c r="P272" s="1242"/>
      <c r="Q272" s="1242"/>
      <c r="R272" s="1242"/>
      <c r="S272" s="1242"/>
      <c r="T272" s="1242"/>
      <c r="U272" s="1242"/>
      <c r="V272" s="1242"/>
      <c r="W272" s="1242"/>
      <c r="X272" s="1242"/>
      <c r="Y272" s="1242"/>
      <c r="Z272" s="1242"/>
      <c r="AA272" s="1242"/>
      <c r="AB272" s="1242"/>
      <c r="AC272" s="1242"/>
      <c r="AD272" s="1242"/>
      <c r="AI272" s="8"/>
      <c r="AJ272" s="8"/>
      <c r="AK272" s="62"/>
      <c r="AL272" s="62"/>
      <c r="BA272" s="65"/>
    </row>
    <row r="273" spans="1:53" ht="12.75">
      <c r="D273" s="64" t="s">
        <v>96</v>
      </c>
      <c r="E273" s="8"/>
      <c r="F273" s="8"/>
      <c r="L273" s="1124" t="s">
        <v>1616</v>
      </c>
      <c r="M273" s="1125"/>
      <c r="N273" s="1125"/>
      <c r="O273" s="1125"/>
      <c r="P273" s="1125"/>
      <c r="Q273" s="1125"/>
      <c r="R273" s="8" t="s">
        <v>224</v>
      </c>
      <c r="S273" s="8"/>
      <c r="T273" s="1126">
        <v>915</v>
      </c>
      <c r="U273" s="1126"/>
      <c r="V273" s="1126"/>
      <c r="W273" s="8" t="s">
        <v>97</v>
      </c>
      <c r="Y273" s="1124" t="s">
        <v>1617</v>
      </c>
      <c r="Z273" s="1125"/>
      <c r="AA273" s="1125"/>
      <c r="AB273" s="1125"/>
      <c r="AC273" s="1125"/>
      <c r="AD273" s="1125"/>
      <c r="BA273" s="65"/>
    </row>
    <row r="274" spans="1:53" ht="12.75">
      <c r="D274" s="64" t="s">
        <v>98</v>
      </c>
      <c r="E274" s="8"/>
      <c r="F274" s="8"/>
      <c r="L274" s="1472" t="s">
        <v>1618</v>
      </c>
      <c r="M274" s="1472"/>
      <c r="N274" s="1472"/>
      <c r="O274" s="1472"/>
      <c r="P274" s="1472"/>
      <c r="Q274" s="1472"/>
      <c r="R274" s="1472"/>
      <c r="S274" s="1472"/>
      <c r="T274" s="1472"/>
      <c r="U274" s="1472"/>
      <c r="V274" s="1472"/>
      <c r="W274" s="1472"/>
      <c r="X274" s="1472"/>
      <c r="Y274" s="1472"/>
      <c r="Z274" s="1472"/>
      <c r="AA274" s="1472"/>
      <c r="AB274" s="1472"/>
      <c r="AC274" s="1472"/>
      <c r="AD274" s="1472"/>
      <c r="AF274" s="8"/>
      <c r="AG274" s="8"/>
      <c r="AH274" s="8"/>
      <c r="AI274" s="8"/>
      <c r="AJ274" s="8"/>
      <c r="BA274" s="65"/>
    </row>
    <row r="275" spans="1:53" ht="12.75">
      <c r="D275" s="62" t="s">
        <v>704</v>
      </c>
      <c r="E275" s="62"/>
      <c r="F275" s="62"/>
      <c r="G275" s="62"/>
      <c r="H275" s="62"/>
      <c r="I275" s="62"/>
      <c r="L275" s="1284" t="s">
        <v>1623</v>
      </c>
      <c r="M275" s="1284"/>
      <c r="N275" s="1284"/>
      <c r="O275" s="1284"/>
      <c r="P275" s="1284"/>
      <c r="Q275" s="1284"/>
      <c r="R275" s="1284"/>
      <c r="S275" s="1284"/>
      <c r="T275" s="1284"/>
      <c r="U275" s="1284"/>
      <c r="V275" s="1284"/>
      <c r="W275" s="1284"/>
      <c r="X275" s="1284"/>
      <c r="Y275" s="1284"/>
      <c r="Z275" s="1284"/>
      <c r="AA275" s="1284"/>
      <c r="AB275" s="1284"/>
      <c r="AC275" s="1284"/>
      <c r="AD275" s="1284"/>
      <c r="AK275" s="62"/>
      <c r="AL275" s="62"/>
      <c r="BA275" s="65"/>
    </row>
    <row r="276" spans="1:53" ht="12.75">
      <c r="L276" s="39" t="s">
        <v>705</v>
      </c>
      <c r="BA276" s="65"/>
    </row>
    <row r="277" spans="1:53" ht="12.75">
      <c r="A277" s="1264" t="s">
        <v>618</v>
      </c>
      <c r="B277" s="1264"/>
      <c r="C277" s="1264"/>
      <c r="D277" s="1264"/>
      <c r="E277" s="1264"/>
      <c r="F277" s="1264"/>
      <c r="G277" s="1264"/>
      <c r="H277" s="1264"/>
      <c r="I277" s="1264"/>
      <c r="J277" s="1264"/>
      <c r="K277" s="1264"/>
      <c r="L277" s="1264"/>
      <c r="M277" s="1264"/>
      <c r="N277" s="1264"/>
      <c r="O277" s="1264"/>
      <c r="P277" s="1264"/>
      <c r="Q277" s="1264"/>
      <c r="R277" s="1264"/>
      <c r="S277" s="1264"/>
      <c r="T277" s="1264"/>
      <c r="U277" s="1264"/>
      <c r="V277" s="1264"/>
      <c r="W277" s="1264"/>
      <c r="X277" s="1264"/>
      <c r="Y277" s="1264"/>
      <c r="Z277" s="1264"/>
      <c r="AA277" s="1264"/>
      <c r="AB277" s="1264"/>
      <c r="AC277" s="1264"/>
      <c r="AD277" s="1264"/>
      <c r="AE277" s="1264"/>
      <c r="AF277" s="1264"/>
      <c r="AG277" s="1264"/>
      <c r="AH277" s="1264"/>
      <c r="AI277" s="1264"/>
      <c r="AJ277" s="1264"/>
      <c r="AK277" s="1264"/>
      <c r="AL277" s="1264"/>
      <c r="BA277" s="65"/>
    </row>
    <row r="278" spans="1:53" ht="13.5" thickBot="1">
      <c r="A278" s="1265"/>
      <c r="B278" s="1265"/>
      <c r="C278" s="1265"/>
      <c r="D278" s="1265"/>
      <c r="E278" s="1265"/>
      <c r="F278" s="1265"/>
      <c r="G278" s="1265"/>
      <c r="H278" s="1265"/>
      <c r="I278" s="1265"/>
      <c r="J278" s="1265"/>
      <c r="K278" s="1265"/>
      <c r="L278" s="1265"/>
      <c r="M278" s="1265"/>
      <c r="N278" s="1265"/>
      <c r="O278" s="1265"/>
      <c r="P278" s="1265"/>
      <c r="Q278" s="1265"/>
      <c r="R278" s="1265"/>
      <c r="S278" s="1265"/>
      <c r="T278" s="1265"/>
      <c r="U278" s="1265"/>
      <c r="V278" s="1265"/>
      <c r="W278" s="1265"/>
      <c r="X278" s="1265"/>
      <c r="Y278" s="1265"/>
      <c r="Z278" s="1265"/>
      <c r="AA278" s="1265"/>
      <c r="AB278" s="1265"/>
      <c r="AC278" s="1265"/>
      <c r="AD278" s="1265"/>
      <c r="AE278" s="1265"/>
      <c r="AF278" s="1265"/>
      <c r="AG278" s="1265"/>
      <c r="AH278" s="1265"/>
      <c r="AI278" s="1265"/>
      <c r="AJ278" s="1265"/>
      <c r="AK278" s="1265"/>
      <c r="AL278" s="1265"/>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2.75">
      <c r="A280" s="54" t="s">
        <v>345</v>
      </c>
      <c r="C280" s="54" t="s">
        <v>706</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2.75">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2.75">
      <c r="B282" s="62" t="s">
        <v>707</v>
      </c>
      <c r="C282" s="62"/>
      <c r="D282" s="62"/>
      <c r="E282" s="62"/>
      <c r="F282" s="62"/>
      <c r="H282" s="1121" t="s">
        <v>1622</v>
      </c>
      <c r="I282" s="1121"/>
      <c r="J282" s="1121"/>
      <c r="K282" s="1121"/>
      <c r="L282" s="1121"/>
      <c r="M282" s="1121"/>
      <c r="N282" s="1121"/>
      <c r="O282" s="1121"/>
      <c r="P282" s="1121"/>
      <c r="Q282" s="1121"/>
      <c r="R282" s="1121"/>
      <c r="T282" s="62" t="s">
        <v>646</v>
      </c>
      <c r="V282" s="62"/>
      <c r="W282" s="62"/>
      <c r="X282" s="62"/>
      <c r="Y282" s="62"/>
      <c r="AA282" s="1121" t="s">
        <v>1626</v>
      </c>
      <c r="AB282" s="1121"/>
      <c r="AC282" s="1121"/>
      <c r="AD282" s="1121"/>
      <c r="AE282" s="1121"/>
      <c r="AF282" s="1121"/>
      <c r="AG282" s="1121"/>
      <c r="AH282" s="1121"/>
      <c r="AI282" s="1121"/>
      <c r="AJ282" s="1121"/>
      <c r="AK282" s="1121"/>
      <c r="BA282" s="65"/>
    </row>
    <row r="283" spans="1:53" ht="12.75" customHeight="1">
      <c r="B283" s="62" t="s">
        <v>547</v>
      </c>
      <c r="C283" s="62"/>
      <c r="D283" s="62"/>
      <c r="E283" s="62"/>
      <c r="F283" s="62"/>
      <c r="H283" s="1141" t="s">
        <v>1624</v>
      </c>
      <c r="I283" s="1141"/>
      <c r="J283" s="1141"/>
      <c r="K283" s="1141"/>
      <c r="L283" s="1141"/>
      <c r="M283" s="1141"/>
      <c r="N283" s="1141"/>
      <c r="O283" s="1141"/>
      <c r="P283" s="1141"/>
      <c r="Q283" s="1141"/>
      <c r="R283" s="1141"/>
      <c r="T283" s="62" t="s">
        <v>547</v>
      </c>
      <c r="V283" s="62"/>
      <c r="W283" s="62"/>
      <c r="X283" s="62"/>
      <c r="Y283" s="62"/>
      <c r="AA283" s="1141" t="s">
        <v>1628</v>
      </c>
      <c r="AB283" s="1141"/>
      <c r="AC283" s="1141"/>
      <c r="AD283" s="1141"/>
      <c r="AE283" s="1141"/>
      <c r="AF283" s="1141"/>
      <c r="AG283" s="1141"/>
      <c r="AH283" s="1141"/>
      <c r="AI283" s="1141"/>
      <c r="AJ283" s="1141"/>
      <c r="AK283" s="1141"/>
      <c r="BA283" s="65"/>
    </row>
    <row r="284" spans="1:53" ht="12.75" customHeight="1">
      <c r="B284" s="62" t="s">
        <v>548</v>
      </c>
      <c r="C284" s="62"/>
      <c r="D284" s="62"/>
      <c r="E284" s="62"/>
      <c r="F284" s="62"/>
      <c r="H284" s="1141" t="s">
        <v>1625</v>
      </c>
      <c r="I284" s="1141"/>
      <c r="J284" s="1141"/>
      <c r="K284" s="1141"/>
      <c r="L284" s="1141"/>
      <c r="M284" s="1141"/>
      <c r="N284" s="1141"/>
      <c r="O284" s="1141"/>
      <c r="P284" s="1141"/>
      <c r="Q284" s="1141"/>
      <c r="R284" s="1141"/>
      <c r="T284" s="62" t="s">
        <v>82</v>
      </c>
      <c r="V284" s="62"/>
      <c r="W284" s="62"/>
      <c r="X284" s="62"/>
      <c r="Y284" s="62"/>
      <c r="AA284" s="1141" t="s">
        <v>1629</v>
      </c>
      <c r="AB284" s="1141"/>
      <c r="AC284" s="1141"/>
      <c r="AD284" s="1141"/>
      <c r="AE284" s="1141"/>
      <c r="AF284" s="1141"/>
      <c r="AG284" s="1141"/>
      <c r="AH284" s="1141"/>
      <c r="AI284" s="1141"/>
      <c r="AJ284" s="1141"/>
      <c r="AK284" s="1141"/>
      <c r="BA284" s="65"/>
    </row>
    <row r="285" spans="1:53" ht="12.75" customHeight="1">
      <c r="B285" s="62" t="s">
        <v>95</v>
      </c>
      <c r="C285" s="62"/>
      <c r="D285" s="62"/>
      <c r="E285" s="62"/>
      <c r="F285" s="62"/>
      <c r="H285" s="1141" t="s">
        <v>1615</v>
      </c>
      <c r="I285" s="1141"/>
      <c r="J285" s="1141"/>
      <c r="K285" s="1141"/>
      <c r="L285" s="1141"/>
      <c r="M285" s="1141"/>
      <c r="N285" s="1141"/>
      <c r="O285" s="1141"/>
      <c r="P285" s="1141"/>
      <c r="Q285" s="1141"/>
      <c r="R285" s="1141"/>
      <c r="T285" s="62" t="s">
        <v>95</v>
      </c>
      <c r="V285" s="62"/>
      <c r="W285" s="62"/>
      <c r="X285" s="62"/>
      <c r="Y285" s="62"/>
      <c r="AA285" s="1141" t="s">
        <v>1627</v>
      </c>
      <c r="AB285" s="1141"/>
      <c r="AC285" s="1141"/>
      <c r="AD285" s="1141"/>
      <c r="AE285" s="1141"/>
      <c r="AF285" s="1141"/>
      <c r="AG285" s="1141"/>
      <c r="AH285" s="1141"/>
      <c r="AI285" s="1141"/>
      <c r="AJ285" s="1141"/>
      <c r="AK285" s="1141"/>
      <c r="BA285" s="65"/>
    </row>
    <row r="286" spans="1:53" ht="12.75" customHeight="1">
      <c r="B286" s="62" t="s">
        <v>96</v>
      </c>
      <c r="C286" s="62"/>
      <c r="D286" s="62"/>
      <c r="E286" s="62"/>
      <c r="F286" s="62"/>
      <c r="G286" s="62"/>
      <c r="H286" s="1142" t="s">
        <v>1616</v>
      </c>
      <c r="I286" s="1143"/>
      <c r="J286" s="1143"/>
      <c r="K286" s="1143"/>
      <c r="L286" s="1143"/>
      <c r="M286" s="1143"/>
      <c r="N286" s="8" t="s">
        <v>224</v>
      </c>
      <c r="O286" s="8"/>
      <c r="P286" s="1242">
        <v>915</v>
      </c>
      <c r="Q286" s="1242"/>
      <c r="R286" s="1242"/>
      <c r="S286" s="62"/>
      <c r="T286" s="62" t="s">
        <v>96</v>
      </c>
      <c r="V286" s="62"/>
      <c r="W286" s="62"/>
      <c r="X286" s="62"/>
      <c r="Y286" s="62"/>
      <c r="AA286" s="1142" t="s">
        <v>1630</v>
      </c>
      <c r="AB286" s="1143"/>
      <c r="AC286" s="1143"/>
      <c r="AD286" s="1143"/>
      <c r="AE286" s="1143"/>
      <c r="AF286" s="1143"/>
      <c r="AG286" s="8" t="s">
        <v>224</v>
      </c>
      <c r="AH286" s="8"/>
      <c r="AI286" s="1242"/>
      <c r="AJ286" s="1242"/>
      <c r="AK286" s="1242"/>
      <c r="BA286" s="65"/>
    </row>
    <row r="287" spans="1:53" ht="12.75">
      <c r="B287" s="62" t="s">
        <v>97</v>
      </c>
      <c r="C287" s="62"/>
      <c r="D287" s="62"/>
      <c r="E287" s="62"/>
      <c r="F287" s="62"/>
      <c r="G287" s="62"/>
      <c r="H287" s="1124" t="s">
        <v>1617</v>
      </c>
      <c r="I287" s="1125"/>
      <c r="J287" s="1125"/>
      <c r="K287" s="1125"/>
      <c r="L287" s="1125"/>
      <c r="M287" s="1125"/>
      <c r="N287" s="64"/>
      <c r="O287" s="64"/>
      <c r="P287" s="66"/>
      <c r="Q287" s="66"/>
      <c r="R287" s="66"/>
      <c r="S287" s="62"/>
      <c r="T287" s="62" t="s">
        <v>97</v>
      </c>
      <c r="V287" s="62"/>
      <c r="W287" s="62"/>
      <c r="X287" s="62"/>
      <c r="Y287" s="62"/>
      <c r="AA287" s="1124" t="s">
        <v>1631</v>
      </c>
      <c r="AB287" s="1125"/>
      <c r="AC287" s="1125"/>
      <c r="AD287" s="1125"/>
      <c r="AE287" s="1125"/>
      <c r="AF287" s="1125"/>
      <c r="AG287" s="64"/>
      <c r="AH287" s="64"/>
      <c r="AI287" s="66"/>
      <c r="AJ287" s="66"/>
      <c r="AK287" s="66"/>
      <c r="BA287" s="65"/>
    </row>
    <row r="288" spans="1:53" ht="12.75">
      <c r="B288" s="62" t="s">
        <v>83</v>
      </c>
      <c r="C288" s="62"/>
      <c r="D288" s="62"/>
      <c r="E288" s="62"/>
      <c r="F288" s="62"/>
      <c r="G288" s="62"/>
      <c r="H288" s="1141" t="s">
        <v>1618</v>
      </c>
      <c r="I288" s="1141"/>
      <c r="J288" s="1141"/>
      <c r="K288" s="1141"/>
      <c r="L288" s="1141"/>
      <c r="M288" s="1141"/>
      <c r="N288" s="1121"/>
      <c r="O288" s="1121"/>
      <c r="P288" s="1121"/>
      <c r="Q288" s="1121"/>
      <c r="R288" s="1121"/>
      <c r="S288" s="62"/>
      <c r="T288" s="62" t="s">
        <v>83</v>
      </c>
      <c r="V288" s="62"/>
      <c r="W288" s="62"/>
      <c r="X288" s="62"/>
      <c r="Y288" s="62"/>
      <c r="AA288" s="1141"/>
      <c r="AB288" s="1141"/>
      <c r="AC288" s="1141"/>
      <c r="AD288" s="1141"/>
      <c r="AE288" s="1141"/>
      <c r="AF288" s="1141"/>
      <c r="AG288" s="1121"/>
      <c r="AH288" s="1121"/>
      <c r="AI288" s="1121"/>
      <c r="AJ288" s="1121"/>
      <c r="AK288" s="1121"/>
      <c r="BA288" s="65"/>
    </row>
    <row r="289" spans="2:53" ht="12.75">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2.75">
      <c r="B290" s="62" t="s">
        <v>349</v>
      </c>
      <c r="C290" s="62"/>
      <c r="D290" s="62"/>
      <c r="E290" s="62"/>
      <c r="F290" s="62"/>
      <c r="H290" s="1121" t="s">
        <v>1633</v>
      </c>
      <c r="I290" s="1121"/>
      <c r="J290" s="1121"/>
      <c r="K290" s="1121"/>
      <c r="L290" s="1121"/>
      <c r="M290" s="1121"/>
      <c r="N290" s="1121"/>
      <c r="O290" s="1121"/>
      <c r="P290" s="1121"/>
      <c r="Q290" s="1121"/>
      <c r="R290" s="1121"/>
      <c r="T290" s="62" t="s">
        <v>401</v>
      </c>
      <c r="V290" s="62"/>
      <c r="W290" s="62"/>
      <c r="X290" s="62"/>
      <c r="Y290" s="62"/>
      <c r="AA290" s="1121" t="s">
        <v>1701</v>
      </c>
      <c r="AB290" s="1121"/>
      <c r="AC290" s="1121"/>
      <c r="AD290" s="1121"/>
      <c r="AE290" s="1121"/>
      <c r="AF290" s="1121"/>
      <c r="AG290" s="1121"/>
      <c r="AH290" s="1121"/>
      <c r="AI290" s="1121"/>
      <c r="AJ290" s="1121"/>
      <c r="AK290" s="1121"/>
      <c r="BA290" s="65"/>
    </row>
    <row r="291" spans="2:53" ht="12.75">
      <c r="B291" s="62" t="s">
        <v>547</v>
      </c>
      <c r="C291" s="62"/>
      <c r="D291" s="62"/>
      <c r="E291" s="62"/>
      <c r="F291" s="62"/>
      <c r="H291" s="1141" t="s">
        <v>1634</v>
      </c>
      <c r="I291" s="1141"/>
      <c r="J291" s="1141"/>
      <c r="K291" s="1141"/>
      <c r="L291" s="1141"/>
      <c r="M291" s="1141"/>
      <c r="N291" s="1141"/>
      <c r="O291" s="1141"/>
      <c r="P291" s="1141"/>
      <c r="Q291" s="1141"/>
      <c r="R291" s="1141"/>
      <c r="T291" s="62" t="s">
        <v>547</v>
      </c>
      <c r="V291" s="62"/>
      <c r="W291" s="62"/>
      <c r="X291" s="62"/>
      <c r="Y291" s="62"/>
      <c r="AA291" s="1141"/>
      <c r="AB291" s="1141"/>
      <c r="AC291" s="1141"/>
      <c r="AD291" s="1141"/>
      <c r="AE291" s="1141"/>
      <c r="AF291" s="1141"/>
      <c r="AG291" s="1141"/>
      <c r="AH291" s="1141"/>
      <c r="AI291" s="1141"/>
      <c r="AJ291" s="1141"/>
      <c r="AK291" s="1141"/>
      <c r="BA291" s="65"/>
    </row>
    <row r="292" spans="2:53" ht="12.75">
      <c r="B292" s="62" t="s">
        <v>548</v>
      </c>
      <c r="C292" s="62"/>
      <c r="D292" s="62"/>
      <c r="E292" s="62"/>
      <c r="F292" s="62"/>
      <c r="H292" s="1141" t="s">
        <v>1635</v>
      </c>
      <c r="I292" s="1141"/>
      <c r="J292" s="1141"/>
      <c r="K292" s="1141"/>
      <c r="L292" s="1141"/>
      <c r="M292" s="1141"/>
      <c r="N292" s="1141"/>
      <c r="O292" s="1141"/>
      <c r="P292" s="1141"/>
      <c r="Q292" s="1141"/>
      <c r="R292" s="1141"/>
      <c r="T292" s="62" t="s">
        <v>82</v>
      </c>
      <c r="V292" s="62"/>
      <c r="W292" s="62"/>
      <c r="X292" s="62"/>
      <c r="Y292" s="62"/>
      <c r="AA292" s="1141"/>
      <c r="AB292" s="1141"/>
      <c r="AC292" s="1141"/>
      <c r="AD292" s="1141"/>
      <c r="AE292" s="1141"/>
      <c r="AF292" s="1141"/>
      <c r="AG292" s="1141"/>
      <c r="AH292" s="1141"/>
      <c r="AI292" s="1141"/>
      <c r="AJ292" s="1141"/>
      <c r="AK292" s="1141"/>
      <c r="BA292" s="65"/>
    </row>
    <row r="293" spans="2:53" ht="12.75" customHeight="1">
      <c r="B293" s="62" t="s">
        <v>95</v>
      </c>
      <c r="C293" s="62"/>
      <c r="D293" s="62"/>
      <c r="E293" s="62"/>
      <c r="F293" s="62"/>
      <c r="H293" s="1141" t="s">
        <v>1632</v>
      </c>
      <c r="I293" s="1141"/>
      <c r="J293" s="1141"/>
      <c r="K293" s="1141"/>
      <c r="L293" s="1141"/>
      <c r="M293" s="1141"/>
      <c r="N293" s="1141"/>
      <c r="O293" s="1141"/>
      <c r="P293" s="1141"/>
      <c r="Q293" s="1141"/>
      <c r="R293" s="1141"/>
      <c r="T293" s="62" t="s">
        <v>95</v>
      </c>
      <c r="V293" s="62"/>
      <c r="W293" s="62"/>
      <c r="X293" s="62"/>
      <c r="Y293" s="62"/>
      <c r="AA293" s="1141"/>
      <c r="AB293" s="1141"/>
      <c r="AC293" s="1141"/>
      <c r="AD293" s="1141"/>
      <c r="AE293" s="1141"/>
      <c r="AF293" s="1141"/>
      <c r="AG293" s="1141"/>
      <c r="AH293" s="1141"/>
      <c r="AI293" s="1141"/>
      <c r="AJ293" s="1141"/>
      <c r="AK293" s="1141"/>
      <c r="BA293" s="65"/>
    </row>
    <row r="294" spans="2:53" ht="12.75" customHeight="1">
      <c r="B294" s="62" t="s">
        <v>96</v>
      </c>
      <c r="C294" s="62"/>
      <c r="D294" s="62"/>
      <c r="E294" s="62"/>
      <c r="F294" s="62"/>
      <c r="G294" s="62"/>
      <c r="H294" s="1142" t="s">
        <v>1636</v>
      </c>
      <c r="I294" s="1143"/>
      <c r="J294" s="1143"/>
      <c r="K294" s="1143"/>
      <c r="L294" s="1143"/>
      <c r="M294" s="1143"/>
      <c r="N294" s="8" t="s">
        <v>224</v>
      </c>
      <c r="O294" s="8"/>
      <c r="P294" s="1242"/>
      <c r="Q294" s="1242"/>
      <c r="R294" s="1242"/>
      <c r="S294" s="62"/>
      <c r="T294" s="62" t="s">
        <v>96</v>
      </c>
      <c r="V294" s="62"/>
      <c r="W294" s="62"/>
      <c r="X294" s="62"/>
      <c r="Y294" s="62"/>
      <c r="AA294" s="1143"/>
      <c r="AB294" s="1143"/>
      <c r="AC294" s="1143"/>
      <c r="AD294" s="1143"/>
      <c r="AE294" s="1143"/>
      <c r="AF294" s="1143"/>
      <c r="AG294" s="8" t="s">
        <v>224</v>
      </c>
      <c r="AH294" s="8"/>
      <c r="AI294" s="1242"/>
      <c r="AJ294" s="1242"/>
      <c r="AK294" s="1242"/>
      <c r="BA294" s="65"/>
    </row>
    <row r="295" spans="2:53" ht="12.75" customHeight="1">
      <c r="B295" s="62" t="s">
        <v>97</v>
      </c>
      <c r="C295" s="62"/>
      <c r="D295" s="62"/>
      <c r="E295" s="62"/>
      <c r="F295" s="62"/>
      <c r="G295" s="62"/>
      <c r="H295" s="1125"/>
      <c r="I295" s="1125"/>
      <c r="J295" s="1125"/>
      <c r="K295" s="1125"/>
      <c r="L295" s="1125"/>
      <c r="M295" s="1125"/>
      <c r="N295" s="64"/>
      <c r="O295" s="64"/>
      <c r="P295" s="66"/>
      <c r="Q295" s="66"/>
      <c r="R295" s="66"/>
      <c r="S295" s="62"/>
      <c r="T295" s="62" t="s">
        <v>97</v>
      </c>
      <c r="V295" s="62"/>
      <c r="W295" s="62"/>
      <c r="X295" s="62"/>
      <c r="Y295" s="62"/>
      <c r="AA295" s="1125"/>
      <c r="AB295" s="1125"/>
      <c r="AC295" s="1125"/>
      <c r="AD295" s="1125"/>
      <c r="AE295" s="1125"/>
      <c r="AF295" s="1125"/>
      <c r="AG295" s="64"/>
      <c r="AH295" s="64"/>
      <c r="AI295" s="66"/>
      <c r="AJ295" s="66"/>
      <c r="AK295" s="66"/>
      <c r="BA295" s="65"/>
    </row>
    <row r="296" spans="2:53" ht="12.75" customHeight="1">
      <c r="B296" s="62" t="s">
        <v>83</v>
      </c>
      <c r="C296" s="62"/>
      <c r="D296" s="62"/>
      <c r="E296" s="62"/>
      <c r="F296" s="62"/>
      <c r="G296" s="62"/>
      <c r="H296" s="1141" t="s">
        <v>1637</v>
      </c>
      <c r="I296" s="1141"/>
      <c r="J296" s="1141"/>
      <c r="K296" s="1141"/>
      <c r="L296" s="1141"/>
      <c r="M296" s="1141"/>
      <c r="N296" s="1121"/>
      <c r="O296" s="1121"/>
      <c r="P296" s="1121"/>
      <c r="Q296" s="1121"/>
      <c r="R296" s="1121"/>
      <c r="S296" s="62"/>
      <c r="T296" s="62" t="s">
        <v>83</v>
      </c>
      <c r="V296" s="62"/>
      <c r="W296" s="62"/>
      <c r="X296" s="62"/>
      <c r="Y296" s="62"/>
      <c r="AA296" s="1141"/>
      <c r="AB296" s="1141"/>
      <c r="AC296" s="1141"/>
      <c r="AD296" s="1141"/>
      <c r="AE296" s="1141"/>
      <c r="AF296" s="1141"/>
      <c r="AG296" s="1121"/>
      <c r="AH296" s="1121"/>
      <c r="AI296" s="1121"/>
      <c r="AJ296" s="1121"/>
      <c r="AK296" s="1121"/>
      <c r="BA296" s="65"/>
    </row>
    <row r="297" spans="2:53" ht="12.75">
      <c r="BA297" s="65"/>
    </row>
    <row r="298" spans="2:53" ht="12.75">
      <c r="B298" s="62" t="s">
        <v>84</v>
      </c>
      <c r="C298" s="62"/>
      <c r="D298" s="62"/>
      <c r="E298" s="62"/>
      <c r="F298" s="62"/>
      <c r="H298" s="1121" t="s">
        <v>1633</v>
      </c>
      <c r="I298" s="1121"/>
      <c r="J298" s="1121"/>
      <c r="K298" s="1121"/>
      <c r="L298" s="1121"/>
      <c r="M298" s="1121"/>
      <c r="N298" s="1121"/>
      <c r="O298" s="1121"/>
      <c r="P298" s="1121"/>
      <c r="Q298" s="1121"/>
      <c r="R298" s="1121"/>
      <c r="T298" s="8" t="s">
        <v>1006</v>
      </c>
      <c r="V298" s="62"/>
      <c r="W298" s="62"/>
      <c r="X298" s="62"/>
      <c r="Y298" s="62"/>
      <c r="AA298" s="1121" t="s">
        <v>1638</v>
      </c>
      <c r="AB298" s="1121"/>
      <c r="AC298" s="1121"/>
      <c r="AD298" s="1121"/>
      <c r="AE298" s="1121"/>
      <c r="AF298" s="1121"/>
      <c r="AG298" s="1121"/>
      <c r="AH298" s="1121"/>
      <c r="AI298" s="1121"/>
      <c r="AJ298" s="1121"/>
      <c r="AK298" s="1121"/>
      <c r="BA298" s="65"/>
    </row>
    <row r="299" spans="2:53" ht="12.75">
      <c r="B299" s="62" t="s">
        <v>547</v>
      </c>
      <c r="C299" s="62"/>
      <c r="D299" s="62"/>
      <c r="E299" s="62"/>
      <c r="F299" s="62"/>
      <c r="H299" s="1141" t="s">
        <v>1634</v>
      </c>
      <c r="I299" s="1141"/>
      <c r="J299" s="1141"/>
      <c r="K299" s="1141"/>
      <c r="L299" s="1141"/>
      <c r="M299" s="1141"/>
      <c r="N299" s="1141"/>
      <c r="O299" s="1141"/>
      <c r="P299" s="1141"/>
      <c r="Q299" s="1141"/>
      <c r="R299" s="1141"/>
      <c r="T299" s="62" t="s">
        <v>547</v>
      </c>
      <c r="V299" s="62"/>
      <c r="W299" s="62"/>
      <c r="X299" s="62"/>
      <c r="Y299" s="62"/>
      <c r="AA299" s="1141" t="s">
        <v>1639</v>
      </c>
      <c r="AB299" s="1141"/>
      <c r="AC299" s="1141"/>
      <c r="AD299" s="1141"/>
      <c r="AE299" s="1141"/>
      <c r="AF299" s="1141"/>
      <c r="AG299" s="1141"/>
      <c r="AH299" s="1141"/>
      <c r="AI299" s="1141"/>
      <c r="AJ299" s="1141"/>
      <c r="AK299" s="1141"/>
      <c r="BA299" s="65"/>
    </row>
    <row r="300" spans="2:53" ht="12.75">
      <c r="B300" s="62" t="s">
        <v>548</v>
      </c>
      <c r="C300" s="62"/>
      <c r="D300" s="62"/>
      <c r="E300" s="62"/>
      <c r="F300" s="62"/>
      <c r="H300" s="1141" t="s">
        <v>1635</v>
      </c>
      <c r="I300" s="1141"/>
      <c r="J300" s="1141"/>
      <c r="K300" s="1141"/>
      <c r="L300" s="1141"/>
      <c r="M300" s="1141"/>
      <c r="N300" s="1141"/>
      <c r="O300" s="1141"/>
      <c r="P300" s="1141"/>
      <c r="Q300" s="1141"/>
      <c r="R300" s="1141"/>
      <c r="T300" s="62" t="s">
        <v>82</v>
      </c>
      <c r="V300" s="62"/>
      <c r="W300" s="62"/>
      <c r="X300" s="62"/>
      <c r="Y300" s="62"/>
      <c r="AA300" s="1141" t="s">
        <v>1640</v>
      </c>
      <c r="AB300" s="1141"/>
      <c r="AC300" s="1141"/>
      <c r="AD300" s="1141"/>
      <c r="AE300" s="1141"/>
      <c r="AF300" s="1141"/>
      <c r="AG300" s="1141"/>
      <c r="AH300" s="1141"/>
      <c r="AI300" s="1141"/>
      <c r="AJ300" s="1141"/>
      <c r="AK300" s="1141"/>
      <c r="BA300" s="65"/>
    </row>
    <row r="301" spans="2:53" ht="12.75">
      <c r="B301" s="62" t="s">
        <v>95</v>
      </c>
      <c r="C301" s="62"/>
      <c r="D301" s="62"/>
      <c r="E301" s="62"/>
      <c r="F301" s="62"/>
      <c r="H301" s="1141" t="s">
        <v>1632</v>
      </c>
      <c r="I301" s="1141"/>
      <c r="J301" s="1141"/>
      <c r="K301" s="1141"/>
      <c r="L301" s="1141"/>
      <c r="M301" s="1141"/>
      <c r="N301" s="1141"/>
      <c r="O301" s="1141"/>
      <c r="P301" s="1141"/>
      <c r="Q301" s="1141"/>
      <c r="R301" s="1141"/>
      <c r="T301" s="62" t="s">
        <v>95</v>
      </c>
      <c r="V301" s="62"/>
      <c r="W301" s="62"/>
      <c r="X301" s="62"/>
      <c r="Y301" s="62"/>
      <c r="AA301" s="1141" t="s">
        <v>1641</v>
      </c>
      <c r="AB301" s="1141"/>
      <c r="AC301" s="1141"/>
      <c r="AD301" s="1141"/>
      <c r="AE301" s="1141"/>
      <c r="AF301" s="1141"/>
      <c r="AG301" s="1141"/>
      <c r="AH301" s="1141"/>
      <c r="AI301" s="1141"/>
      <c r="AJ301" s="1141"/>
      <c r="AK301" s="1141"/>
      <c r="BA301" s="65"/>
    </row>
    <row r="302" spans="2:53" ht="12.75">
      <c r="B302" s="62" t="s">
        <v>96</v>
      </c>
      <c r="C302" s="62"/>
      <c r="D302" s="62"/>
      <c r="E302" s="62"/>
      <c r="F302" s="62"/>
      <c r="G302" s="62"/>
      <c r="H302" s="1142" t="s">
        <v>1636</v>
      </c>
      <c r="I302" s="1143"/>
      <c r="J302" s="1143"/>
      <c r="K302" s="1143"/>
      <c r="L302" s="1143"/>
      <c r="M302" s="1143"/>
      <c r="N302" s="8" t="s">
        <v>224</v>
      </c>
      <c r="O302" s="8"/>
      <c r="P302" s="1242"/>
      <c r="Q302" s="1242"/>
      <c r="R302" s="1242"/>
      <c r="S302" s="62"/>
      <c r="T302" s="62" t="s">
        <v>96</v>
      </c>
      <c r="V302" s="62"/>
      <c r="W302" s="62"/>
      <c r="X302" s="62"/>
      <c r="Y302" s="62"/>
      <c r="AA302" s="1142" t="s">
        <v>1642</v>
      </c>
      <c r="AB302" s="1143"/>
      <c r="AC302" s="1143"/>
      <c r="AD302" s="1143"/>
      <c r="AE302" s="1143"/>
      <c r="AF302" s="1143"/>
      <c r="AG302" s="8" t="s">
        <v>224</v>
      </c>
      <c r="AH302" s="8"/>
      <c r="AI302" s="1242"/>
      <c r="AJ302" s="1242"/>
      <c r="AK302" s="1242"/>
      <c r="BA302" s="65"/>
    </row>
    <row r="303" spans="2:53" ht="12.75">
      <c r="B303" s="62" t="s">
        <v>97</v>
      </c>
      <c r="C303" s="62"/>
      <c r="D303" s="62"/>
      <c r="E303" s="62"/>
      <c r="F303" s="62"/>
      <c r="G303" s="62"/>
      <c r="H303" s="1125"/>
      <c r="I303" s="1125"/>
      <c r="J303" s="1125"/>
      <c r="K303" s="1125"/>
      <c r="L303" s="1125"/>
      <c r="M303" s="1125"/>
      <c r="N303" s="64"/>
      <c r="O303" s="64"/>
      <c r="P303" s="66"/>
      <c r="Q303" s="66"/>
      <c r="R303" s="66"/>
      <c r="S303" s="62"/>
      <c r="T303" s="62" t="s">
        <v>97</v>
      </c>
      <c r="V303" s="62"/>
      <c r="W303" s="62"/>
      <c r="X303" s="62"/>
      <c r="Y303" s="62"/>
      <c r="AA303" s="1125"/>
      <c r="AB303" s="1125"/>
      <c r="AC303" s="1125"/>
      <c r="AD303" s="1125"/>
      <c r="AE303" s="1125"/>
      <c r="AF303" s="1125"/>
      <c r="AG303" s="64"/>
      <c r="AH303" s="64"/>
      <c r="AI303" s="66"/>
      <c r="AJ303" s="66"/>
      <c r="AK303" s="66"/>
      <c r="BA303" s="65"/>
    </row>
    <row r="304" spans="2:53" ht="12.75">
      <c r="B304" s="62" t="s">
        <v>83</v>
      </c>
      <c r="C304" s="62"/>
      <c r="D304" s="62"/>
      <c r="E304" s="62"/>
      <c r="F304" s="62"/>
      <c r="G304" s="62"/>
      <c r="H304" s="1141" t="s">
        <v>1637</v>
      </c>
      <c r="I304" s="1141"/>
      <c r="J304" s="1141"/>
      <c r="K304" s="1141"/>
      <c r="L304" s="1141"/>
      <c r="M304" s="1141"/>
      <c r="N304" s="1121"/>
      <c r="O304" s="1121"/>
      <c r="P304" s="1121"/>
      <c r="Q304" s="1121"/>
      <c r="R304" s="1121"/>
      <c r="S304" s="62"/>
      <c r="T304" s="62" t="s">
        <v>83</v>
      </c>
      <c r="V304" s="62"/>
      <c r="W304" s="62"/>
      <c r="X304" s="62"/>
      <c r="Y304" s="62"/>
      <c r="AA304" s="1141" t="s">
        <v>1643</v>
      </c>
      <c r="AB304" s="1141"/>
      <c r="AC304" s="1141"/>
      <c r="AD304" s="1141"/>
      <c r="AE304" s="1141"/>
      <c r="AF304" s="1141"/>
      <c r="AG304" s="1121"/>
      <c r="AH304" s="1121"/>
      <c r="AI304" s="1121"/>
      <c r="AJ304" s="1121"/>
      <c r="AK304" s="1121"/>
      <c r="BA304" s="65"/>
    </row>
    <row r="305" spans="1:53" ht="12.75">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1047</v>
      </c>
      <c r="C306" s="62"/>
      <c r="D306" s="62"/>
      <c r="E306" s="62"/>
      <c r="F306" s="62"/>
      <c r="H306" s="1121" t="s">
        <v>1701</v>
      </c>
      <c r="I306" s="1121"/>
      <c r="J306" s="1121"/>
      <c r="K306" s="1121"/>
      <c r="L306" s="1121"/>
      <c r="M306" s="1121"/>
      <c r="N306" s="1121"/>
      <c r="O306" s="1121"/>
      <c r="P306" s="1121"/>
      <c r="Q306" s="1121"/>
      <c r="R306" s="1121"/>
      <c r="S306" s="62"/>
      <c r="T306" s="62" t="s">
        <v>402</v>
      </c>
      <c r="V306" s="62"/>
      <c r="W306" s="62"/>
      <c r="X306" s="62"/>
      <c r="Y306" s="62"/>
      <c r="AA306" s="1121" t="s">
        <v>1701</v>
      </c>
      <c r="AB306" s="1121"/>
      <c r="AC306" s="1121"/>
      <c r="AD306" s="1121"/>
      <c r="AE306" s="1121"/>
      <c r="AF306" s="1121"/>
      <c r="AG306" s="1121"/>
      <c r="AH306" s="1121"/>
      <c r="AI306" s="1121"/>
      <c r="AJ306" s="1121"/>
      <c r="AK306" s="1121"/>
      <c r="BA306" s="65"/>
    </row>
    <row r="307" spans="1:53" ht="12.75">
      <c r="B307" s="62" t="s">
        <v>547</v>
      </c>
      <c r="C307" s="62"/>
      <c r="D307" s="62"/>
      <c r="E307" s="62"/>
      <c r="F307" s="62"/>
      <c r="H307" s="1141"/>
      <c r="I307" s="1141"/>
      <c r="J307" s="1141"/>
      <c r="K307" s="1141"/>
      <c r="L307" s="1141"/>
      <c r="M307" s="1141"/>
      <c r="N307" s="1141"/>
      <c r="O307" s="1141"/>
      <c r="P307" s="1141"/>
      <c r="Q307" s="1141"/>
      <c r="R307" s="1141"/>
      <c r="S307" s="62"/>
      <c r="T307" s="62" t="s">
        <v>547</v>
      </c>
      <c r="V307" s="62"/>
      <c r="W307" s="62"/>
      <c r="X307" s="62"/>
      <c r="Y307" s="62"/>
      <c r="AA307" s="1141"/>
      <c r="AB307" s="1141"/>
      <c r="AC307" s="1141"/>
      <c r="AD307" s="1141"/>
      <c r="AE307" s="1141"/>
      <c r="AF307" s="1141"/>
      <c r="AG307" s="1141"/>
      <c r="AH307" s="1141"/>
      <c r="AI307" s="1141"/>
      <c r="AJ307" s="1141"/>
      <c r="AK307" s="1141"/>
      <c r="BA307" s="65"/>
    </row>
    <row r="308" spans="1:53" ht="12.75">
      <c r="B308" s="62" t="s">
        <v>548</v>
      </c>
      <c r="C308" s="62"/>
      <c r="D308" s="62"/>
      <c r="E308" s="62"/>
      <c r="F308" s="62"/>
      <c r="H308" s="1141"/>
      <c r="I308" s="1141"/>
      <c r="J308" s="1141"/>
      <c r="K308" s="1141"/>
      <c r="L308" s="1141"/>
      <c r="M308" s="1141"/>
      <c r="N308" s="1141"/>
      <c r="O308" s="1141"/>
      <c r="P308" s="1141"/>
      <c r="Q308" s="1141"/>
      <c r="R308" s="1141"/>
      <c r="S308" s="62"/>
      <c r="T308" s="62" t="s">
        <v>82</v>
      </c>
      <c r="V308" s="62"/>
      <c r="W308" s="62"/>
      <c r="X308" s="62"/>
      <c r="Y308" s="62"/>
      <c r="AA308" s="1141"/>
      <c r="AB308" s="1141"/>
      <c r="AC308" s="1141"/>
      <c r="AD308" s="1141"/>
      <c r="AE308" s="1141"/>
      <c r="AF308" s="1141"/>
      <c r="AG308" s="1141"/>
      <c r="AH308" s="1141"/>
      <c r="AI308" s="1141"/>
      <c r="AJ308" s="1141"/>
      <c r="AK308" s="1141"/>
      <c r="BA308" s="65"/>
    </row>
    <row r="309" spans="1:53" ht="12.75">
      <c r="B309" s="62" t="s">
        <v>95</v>
      </c>
      <c r="C309" s="62"/>
      <c r="D309" s="62"/>
      <c r="E309" s="62"/>
      <c r="F309" s="62"/>
      <c r="H309" s="1141"/>
      <c r="I309" s="1141"/>
      <c r="J309" s="1141"/>
      <c r="K309" s="1141"/>
      <c r="L309" s="1141"/>
      <c r="M309" s="1141"/>
      <c r="N309" s="1141"/>
      <c r="O309" s="1141"/>
      <c r="P309" s="1141"/>
      <c r="Q309" s="1141"/>
      <c r="R309" s="1141"/>
      <c r="S309" s="62"/>
      <c r="T309" s="62" t="s">
        <v>95</v>
      </c>
      <c r="V309" s="62"/>
      <c r="W309" s="62"/>
      <c r="X309" s="62"/>
      <c r="Y309" s="62"/>
      <c r="AA309" s="1141"/>
      <c r="AB309" s="1141"/>
      <c r="AC309" s="1141"/>
      <c r="AD309" s="1141"/>
      <c r="AE309" s="1141"/>
      <c r="AF309" s="1141"/>
      <c r="AG309" s="1141"/>
      <c r="AH309" s="1141"/>
      <c r="AI309" s="1141"/>
      <c r="AJ309" s="1141"/>
      <c r="AK309" s="1141"/>
      <c r="BA309" s="65"/>
    </row>
    <row r="310" spans="1:53" ht="12.75">
      <c r="B310" s="62" t="s">
        <v>96</v>
      </c>
      <c r="C310" s="62"/>
      <c r="D310" s="62"/>
      <c r="E310" s="62"/>
      <c r="F310" s="62"/>
      <c r="G310" s="62"/>
      <c r="H310" s="1143"/>
      <c r="I310" s="1143"/>
      <c r="J310" s="1143"/>
      <c r="K310" s="1143"/>
      <c r="L310" s="1143"/>
      <c r="M310" s="1143"/>
      <c r="N310" s="8" t="s">
        <v>224</v>
      </c>
      <c r="O310" s="8"/>
      <c r="P310" s="1242"/>
      <c r="Q310" s="1242"/>
      <c r="R310" s="1242"/>
      <c r="S310" s="62"/>
      <c r="T310" s="62" t="s">
        <v>96</v>
      </c>
      <c r="V310" s="62"/>
      <c r="W310" s="62"/>
      <c r="X310" s="62"/>
      <c r="Y310" s="62"/>
      <c r="AA310" s="1143"/>
      <c r="AB310" s="1143"/>
      <c r="AC310" s="1143"/>
      <c r="AD310" s="1143"/>
      <c r="AE310" s="1143"/>
      <c r="AF310" s="1143"/>
      <c r="AG310" s="8" t="s">
        <v>224</v>
      </c>
      <c r="AH310" s="8"/>
      <c r="AI310" s="1242"/>
      <c r="AJ310" s="1242"/>
      <c r="AK310" s="1242"/>
      <c r="BA310" s="65"/>
    </row>
    <row r="311" spans="1:53" ht="12.75">
      <c r="B311" s="62" t="s">
        <v>97</v>
      </c>
      <c r="C311" s="62"/>
      <c r="D311" s="62"/>
      <c r="E311" s="62"/>
      <c r="F311" s="62"/>
      <c r="G311" s="62"/>
      <c r="H311" s="1125"/>
      <c r="I311" s="1125"/>
      <c r="J311" s="1125"/>
      <c r="K311" s="1125"/>
      <c r="L311" s="1125"/>
      <c r="M311" s="1125"/>
      <c r="N311" s="64"/>
      <c r="O311" s="64"/>
      <c r="P311" s="66"/>
      <c r="Q311" s="66"/>
      <c r="R311" s="66"/>
      <c r="S311" s="62"/>
      <c r="T311" s="62" t="s">
        <v>97</v>
      </c>
      <c r="V311" s="62"/>
      <c r="W311" s="62"/>
      <c r="X311" s="62"/>
      <c r="Y311" s="62"/>
      <c r="AA311" s="1125"/>
      <c r="AB311" s="1125"/>
      <c r="AC311" s="1125"/>
      <c r="AD311" s="1125"/>
      <c r="AE311" s="1125"/>
      <c r="AF311" s="1125"/>
      <c r="AG311" s="64"/>
      <c r="AH311" s="64"/>
      <c r="AI311" s="66"/>
      <c r="AJ311" s="66"/>
      <c r="AK311" s="66"/>
      <c r="BA311" s="65"/>
    </row>
    <row r="312" spans="1:53" ht="12.75">
      <c r="B312" s="62" t="s">
        <v>83</v>
      </c>
      <c r="C312" s="62"/>
      <c r="D312" s="62"/>
      <c r="E312" s="62"/>
      <c r="F312" s="62"/>
      <c r="G312" s="62"/>
      <c r="H312" s="1141"/>
      <c r="I312" s="1141"/>
      <c r="J312" s="1141"/>
      <c r="K312" s="1141"/>
      <c r="L312" s="1141"/>
      <c r="M312" s="1141"/>
      <c r="N312" s="1121"/>
      <c r="O312" s="1121"/>
      <c r="P312" s="1121"/>
      <c r="Q312" s="1121"/>
      <c r="R312" s="1121"/>
      <c r="S312" s="62"/>
      <c r="T312" s="62" t="s">
        <v>83</v>
      </c>
      <c r="V312" s="62"/>
      <c r="W312" s="62"/>
      <c r="X312" s="62"/>
      <c r="Y312" s="62"/>
      <c r="AA312" s="1141"/>
      <c r="AB312" s="1141"/>
      <c r="AC312" s="1141"/>
      <c r="AD312" s="1141"/>
      <c r="AE312" s="1141"/>
      <c r="AF312" s="1141"/>
      <c r="AG312" s="1121"/>
      <c r="AH312" s="1121"/>
      <c r="AI312" s="1121"/>
      <c r="AJ312" s="1121"/>
      <c r="AK312" s="1121"/>
      <c r="BA312" s="65"/>
    </row>
    <row r="313" spans="1:53" ht="12.75">
      <c r="BA313" s="65"/>
    </row>
    <row r="314" spans="1:53" ht="12.75">
      <c r="B314" s="8" t="s">
        <v>1048</v>
      </c>
      <c r="C314" s="62"/>
      <c r="D314" s="62"/>
      <c r="E314" s="62"/>
      <c r="F314" s="62"/>
      <c r="H314" s="1121" t="s">
        <v>672</v>
      </c>
      <c r="I314" s="1121"/>
      <c r="J314" s="1121"/>
      <c r="K314" s="1121"/>
      <c r="L314" s="1121"/>
      <c r="M314" s="1121"/>
      <c r="N314" s="1121"/>
      <c r="O314" s="1121"/>
      <c r="P314" s="1121"/>
      <c r="Q314" s="1121"/>
      <c r="R314" s="1121"/>
      <c r="T314" s="62" t="s">
        <v>403</v>
      </c>
      <c r="V314" s="62"/>
      <c r="W314" s="62"/>
      <c r="X314" s="62"/>
      <c r="Y314" s="62"/>
      <c r="AA314" s="1121" t="s">
        <v>1644</v>
      </c>
      <c r="AB314" s="1121"/>
      <c r="AC314" s="1121"/>
      <c r="AD314" s="1121"/>
      <c r="AE314" s="1121"/>
      <c r="AF314" s="1121"/>
      <c r="AG314" s="1121"/>
      <c r="AH314" s="1121"/>
      <c r="AI314" s="1121"/>
      <c r="AJ314" s="1121"/>
      <c r="AK314" s="1121"/>
      <c r="BA314" s="65"/>
    </row>
    <row r="315" spans="1:53" ht="12.75" customHeight="1">
      <c r="B315" s="62" t="s">
        <v>547</v>
      </c>
      <c r="C315" s="62"/>
      <c r="D315" s="62"/>
      <c r="E315" s="62"/>
      <c r="F315" s="62"/>
      <c r="H315" s="1141"/>
      <c r="I315" s="1141"/>
      <c r="J315" s="1141"/>
      <c r="K315" s="1141"/>
      <c r="L315" s="1141"/>
      <c r="M315" s="1141"/>
      <c r="N315" s="1141"/>
      <c r="O315" s="1141"/>
      <c r="P315" s="1141"/>
      <c r="Q315" s="1141"/>
      <c r="R315" s="1141"/>
      <c r="T315" s="62" t="s">
        <v>547</v>
      </c>
      <c r="V315" s="62"/>
      <c r="W315" s="62"/>
      <c r="X315" s="62"/>
      <c r="Y315" s="62"/>
      <c r="AA315" s="1141" t="s">
        <v>1645</v>
      </c>
      <c r="AB315" s="1141"/>
      <c r="AC315" s="1141"/>
      <c r="AD315" s="1141"/>
      <c r="AE315" s="1141"/>
      <c r="AF315" s="1141"/>
      <c r="AG315" s="1141"/>
      <c r="AH315" s="1141"/>
      <c r="AI315" s="1141"/>
      <c r="AJ315" s="1141"/>
      <c r="AK315" s="1141"/>
      <c r="BA315" s="65"/>
    </row>
    <row r="316" spans="1:53" ht="12.75">
      <c r="B316" s="62" t="s">
        <v>548</v>
      </c>
      <c r="C316" s="62"/>
      <c r="D316" s="62"/>
      <c r="E316" s="62"/>
      <c r="F316" s="62"/>
      <c r="H316" s="1141"/>
      <c r="I316" s="1141"/>
      <c r="J316" s="1141"/>
      <c r="K316" s="1141"/>
      <c r="L316" s="1141"/>
      <c r="M316" s="1141"/>
      <c r="N316" s="1141"/>
      <c r="O316" s="1141"/>
      <c r="P316" s="1141"/>
      <c r="Q316" s="1141"/>
      <c r="R316" s="1141"/>
      <c r="T316" s="62" t="s">
        <v>82</v>
      </c>
      <c r="V316" s="62"/>
      <c r="W316" s="62"/>
      <c r="X316" s="62"/>
      <c r="Y316" s="62"/>
      <c r="AA316" s="1141" t="s">
        <v>1646</v>
      </c>
      <c r="AB316" s="1141"/>
      <c r="AC316" s="1141"/>
      <c r="AD316" s="1141"/>
      <c r="AE316" s="1141"/>
      <c r="AF316" s="1141"/>
      <c r="AG316" s="1141"/>
      <c r="AH316" s="1141"/>
      <c r="AI316" s="1141"/>
      <c r="AJ316" s="1141"/>
      <c r="AK316" s="1141"/>
      <c r="BA316" s="65"/>
    </row>
    <row r="317" spans="1:53" ht="12.75" customHeight="1">
      <c r="A317" s="43"/>
      <c r="B317" s="62" t="s">
        <v>95</v>
      </c>
      <c r="C317" s="62"/>
      <c r="D317" s="62"/>
      <c r="E317" s="62"/>
      <c r="F317" s="62"/>
      <c r="H317" s="1141"/>
      <c r="I317" s="1141"/>
      <c r="J317" s="1141"/>
      <c r="K317" s="1141"/>
      <c r="L317" s="1141"/>
      <c r="M317" s="1141"/>
      <c r="N317" s="1141"/>
      <c r="O317" s="1141"/>
      <c r="P317" s="1141"/>
      <c r="Q317" s="1141"/>
      <c r="R317" s="1141"/>
      <c r="T317" s="62" t="s">
        <v>95</v>
      </c>
      <c r="V317" s="62"/>
      <c r="W317" s="62"/>
      <c r="X317" s="62"/>
      <c r="Y317" s="62"/>
      <c r="AA317" s="1141" t="s">
        <v>1647</v>
      </c>
      <c r="AB317" s="1141"/>
      <c r="AC317" s="1141"/>
      <c r="AD317" s="1141"/>
      <c r="AE317" s="1141"/>
      <c r="AF317" s="1141"/>
      <c r="AG317" s="1141"/>
      <c r="AH317" s="1141"/>
      <c r="AI317" s="1141"/>
      <c r="AJ317" s="1141"/>
      <c r="AK317" s="1141"/>
      <c r="AL317" s="43"/>
    </row>
    <row r="318" spans="1:53" ht="12.75">
      <c r="A318" s="43"/>
      <c r="B318" s="62" t="s">
        <v>96</v>
      </c>
      <c r="C318" s="62"/>
      <c r="D318" s="62"/>
      <c r="E318" s="62"/>
      <c r="F318" s="62"/>
      <c r="G318" s="62"/>
      <c r="H318" s="1143"/>
      <c r="I318" s="1143"/>
      <c r="J318" s="1143"/>
      <c r="K318" s="1143"/>
      <c r="L318" s="1143"/>
      <c r="M318" s="1143"/>
      <c r="N318" s="8" t="s">
        <v>224</v>
      </c>
      <c r="O318" s="8"/>
      <c r="P318" s="1242"/>
      <c r="Q318" s="1242"/>
      <c r="R318" s="1242"/>
      <c r="S318" s="62"/>
      <c r="T318" s="62" t="s">
        <v>96</v>
      </c>
      <c r="V318" s="62"/>
      <c r="W318" s="62"/>
      <c r="X318" s="62"/>
      <c r="Y318" s="62"/>
      <c r="AA318" s="1142" t="s">
        <v>1648</v>
      </c>
      <c r="AB318" s="1143"/>
      <c r="AC318" s="1143"/>
      <c r="AD318" s="1143"/>
      <c r="AE318" s="1143"/>
      <c r="AF318" s="1143"/>
      <c r="AG318" s="8" t="s">
        <v>224</v>
      </c>
      <c r="AH318" s="8"/>
      <c r="AI318" s="1242"/>
      <c r="AJ318" s="1242"/>
      <c r="AK318" s="1242"/>
      <c r="AL318" s="43"/>
    </row>
    <row r="319" spans="1:53" ht="12.75">
      <c r="A319" s="43"/>
      <c r="B319" s="62" t="s">
        <v>97</v>
      </c>
      <c r="C319" s="62"/>
      <c r="D319" s="62"/>
      <c r="E319" s="62"/>
      <c r="F319" s="62"/>
      <c r="G319" s="62"/>
      <c r="H319" s="1125"/>
      <c r="I319" s="1125"/>
      <c r="J319" s="1125"/>
      <c r="K319" s="1125"/>
      <c r="L319" s="1125"/>
      <c r="M319" s="1125"/>
      <c r="N319" s="64"/>
      <c r="O319" s="64"/>
      <c r="P319" s="66"/>
      <c r="Q319" s="66"/>
      <c r="R319" s="66"/>
      <c r="S319" s="62"/>
      <c r="T319" s="62" t="s">
        <v>97</v>
      </c>
      <c r="V319" s="62"/>
      <c r="W319" s="62"/>
      <c r="X319" s="62"/>
      <c r="Y319" s="62"/>
      <c r="AA319" s="1125"/>
      <c r="AB319" s="1125"/>
      <c r="AC319" s="1125"/>
      <c r="AD319" s="1125"/>
      <c r="AE319" s="1125"/>
      <c r="AF319" s="1125"/>
      <c r="AG319" s="64"/>
      <c r="AH319" s="64"/>
      <c r="AI319" s="66"/>
      <c r="AJ319" s="66"/>
      <c r="AK319" s="66"/>
      <c r="AL319" s="43"/>
    </row>
    <row r="320" spans="1:53" ht="12.75">
      <c r="A320" s="43"/>
      <c r="B320" s="62" t="s">
        <v>83</v>
      </c>
      <c r="C320" s="62"/>
      <c r="D320" s="62"/>
      <c r="E320" s="62"/>
      <c r="F320" s="62"/>
      <c r="G320" s="62"/>
      <c r="H320" s="1141"/>
      <c r="I320" s="1141"/>
      <c r="J320" s="1141"/>
      <c r="K320" s="1141"/>
      <c r="L320" s="1141"/>
      <c r="M320" s="1141"/>
      <c r="N320" s="1121"/>
      <c r="O320" s="1121"/>
      <c r="P320" s="1121"/>
      <c r="Q320" s="1121"/>
      <c r="R320" s="1121"/>
      <c r="S320" s="62"/>
      <c r="T320" s="62" t="s">
        <v>83</v>
      </c>
      <c r="V320" s="62"/>
      <c r="W320" s="62"/>
      <c r="X320" s="62"/>
      <c r="Y320" s="62"/>
      <c r="AA320" s="1141" t="s">
        <v>1649</v>
      </c>
      <c r="AB320" s="1141"/>
      <c r="AC320" s="1141"/>
      <c r="AD320" s="1141"/>
      <c r="AE320" s="1141"/>
      <c r="AF320" s="1141"/>
      <c r="AG320" s="1121"/>
      <c r="AH320" s="1121"/>
      <c r="AI320" s="1121"/>
      <c r="AJ320" s="1121"/>
      <c r="AK320" s="1121"/>
      <c r="AL320" s="43"/>
    </row>
    <row r="321" spans="1:53" ht="12.75">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2.75">
      <c r="A322" s="43"/>
      <c r="B322" s="62" t="s">
        <v>404</v>
      </c>
      <c r="C322" s="62"/>
      <c r="D322" s="62"/>
      <c r="E322" s="62"/>
      <c r="F322" s="62"/>
      <c r="H322" s="1121" t="s">
        <v>1644</v>
      </c>
      <c r="I322" s="1121"/>
      <c r="J322" s="1121"/>
      <c r="K322" s="1121"/>
      <c r="L322" s="1121"/>
      <c r="M322" s="1121"/>
      <c r="N322" s="1121"/>
      <c r="O322" s="1121"/>
      <c r="P322" s="1121"/>
      <c r="Q322" s="1121"/>
      <c r="R322" s="1121"/>
      <c r="T322" s="62" t="s">
        <v>405</v>
      </c>
      <c r="V322" s="62"/>
      <c r="W322" s="62"/>
      <c r="X322" s="62"/>
      <c r="Y322" s="62"/>
      <c r="AA322" s="1121" t="s">
        <v>1650</v>
      </c>
      <c r="AB322" s="1121"/>
      <c r="AC322" s="1121"/>
      <c r="AD322" s="1121"/>
      <c r="AE322" s="1121"/>
      <c r="AF322" s="1121"/>
      <c r="AG322" s="1121"/>
      <c r="AH322" s="1121"/>
      <c r="AI322" s="1121"/>
      <c r="AJ322" s="1121"/>
      <c r="AK322" s="1121"/>
      <c r="AL322" s="43"/>
    </row>
    <row r="323" spans="1:53" ht="12.75">
      <c r="A323" s="43"/>
      <c r="B323" s="62" t="s">
        <v>547</v>
      </c>
      <c r="C323" s="62"/>
      <c r="D323" s="62"/>
      <c r="E323" s="62"/>
      <c r="F323" s="62"/>
      <c r="H323" s="1141" t="s">
        <v>1645</v>
      </c>
      <c r="I323" s="1141"/>
      <c r="J323" s="1141"/>
      <c r="K323" s="1141"/>
      <c r="L323" s="1141"/>
      <c r="M323" s="1141"/>
      <c r="N323" s="1141"/>
      <c r="O323" s="1141"/>
      <c r="P323" s="1141"/>
      <c r="Q323" s="1141"/>
      <c r="R323" s="1141"/>
      <c r="T323" s="62" t="s">
        <v>547</v>
      </c>
      <c r="V323" s="62"/>
      <c r="W323" s="62"/>
      <c r="X323" s="62"/>
      <c r="Y323" s="62"/>
      <c r="AA323" s="1141" t="s">
        <v>1651</v>
      </c>
      <c r="AB323" s="1141"/>
      <c r="AC323" s="1141"/>
      <c r="AD323" s="1141"/>
      <c r="AE323" s="1141"/>
      <c r="AF323" s="1141"/>
      <c r="AG323" s="1141"/>
      <c r="AH323" s="1141"/>
      <c r="AI323" s="1141"/>
      <c r="AJ323" s="1141"/>
      <c r="AK323" s="1141"/>
      <c r="AL323" s="43"/>
    </row>
    <row r="324" spans="1:53" ht="12.75" customHeight="1">
      <c r="A324" s="43"/>
      <c r="B324" s="62" t="s">
        <v>548</v>
      </c>
      <c r="C324" s="62"/>
      <c r="D324" s="62"/>
      <c r="E324" s="62"/>
      <c r="F324" s="62"/>
      <c r="H324" s="1141" t="s">
        <v>1646</v>
      </c>
      <c r="I324" s="1141"/>
      <c r="J324" s="1141"/>
      <c r="K324" s="1141"/>
      <c r="L324" s="1141"/>
      <c r="M324" s="1141"/>
      <c r="N324" s="1141"/>
      <c r="O324" s="1141"/>
      <c r="P324" s="1141"/>
      <c r="Q324" s="1141"/>
      <c r="R324" s="1141"/>
      <c r="T324" s="62" t="s">
        <v>82</v>
      </c>
      <c r="V324" s="62"/>
      <c r="W324" s="62"/>
      <c r="X324" s="62"/>
      <c r="Y324" s="62"/>
      <c r="AA324" s="1141" t="s">
        <v>1652</v>
      </c>
      <c r="AB324" s="1141"/>
      <c r="AC324" s="1141"/>
      <c r="AD324" s="1141"/>
      <c r="AE324" s="1141"/>
      <c r="AF324" s="1141"/>
      <c r="AG324" s="1141"/>
      <c r="AH324" s="1141"/>
      <c r="AI324" s="1141"/>
      <c r="AJ324" s="1141"/>
      <c r="AK324" s="1141"/>
      <c r="AL324" s="43"/>
    </row>
    <row r="325" spans="1:53" ht="12.75">
      <c r="A325" s="43"/>
      <c r="B325" s="62" t="s">
        <v>95</v>
      </c>
      <c r="C325" s="62"/>
      <c r="D325" s="62"/>
      <c r="E325" s="62"/>
      <c r="F325" s="62"/>
      <c r="H325" s="1141" t="s">
        <v>1647</v>
      </c>
      <c r="I325" s="1141"/>
      <c r="J325" s="1141"/>
      <c r="K325" s="1141"/>
      <c r="L325" s="1141"/>
      <c r="M325" s="1141"/>
      <c r="N325" s="1141"/>
      <c r="O325" s="1141"/>
      <c r="P325" s="1141"/>
      <c r="Q325" s="1141"/>
      <c r="R325" s="1141"/>
      <c r="T325" s="62" t="s">
        <v>95</v>
      </c>
      <c r="V325" s="62"/>
      <c r="W325" s="62"/>
      <c r="X325" s="62"/>
      <c r="Y325" s="62"/>
      <c r="AA325" s="1141" t="s">
        <v>1653</v>
      </c>
      <c r="AB325" s="1141"/>
      <c r="AC325" s="1141"/>
      <c r="AD325" s="1141"/>
      <c r="AE325" s="1141"/>
      <c r="AF325" s="1141"/>
      <c r="AG325" s="1141"/>
      <c r="AH325" s="1141"/>
      <c r="AI325" s="1141"/>
      <c r="AJ325" s="1141"/>
      <c r="AK325" s="1141"/>
      <c r="AL325" s="43"/>
    </row>
    <row r="326" spans="1:53" ht="12.75">
      <c r="A326" s="43"/>
      <c r="B326" s="62" t="s">
        <v>96</v>
      </c>
      <c r="C326" s="62"/>
      <c r="D326" s="62"/>
      <c r="E326" s="62"/>
      <c r="F326" s="62"/>
      <c r="G326" s="62"/>
      <c r="H326" s="1142" t="s">
        <v>1648</v>
      </c>
      <c r="I326" s="1143"/>
      <c r="J326" s="1143"/>
      <c r="K326" s="1143"/>
      <c r="L326" s="1143"/>
      <c r="M326" s="1143"/>
      <c r="N326" s="8" t="s">
        <v>224</v>
      </c>
      <c r="O326" s="8"/>
      <c r="P326" s="1242"/>
      <c r="Q326" s="1242"/>
      <c r="R326" s="1242"/>
      <c r="S326" s="62"/>
      <c r="T326" s="62" t="s">
        <v>96</v>
      </c>
      <c r="V326" s="62"/>
      <c r="W326" s="62"/>
      <c r="X326" s="62"/>
      <c r="Y326" s="62"/>
      <c r="AA326" s="1142" t="s">
        <v>1654</v>
      </c>
      <c r="AB326" s="1143"/>
      <c r="AC326" s="1143"/>
      <c r="AD326" s="1143"/>
      <c r="AE326" s="1143"/>
      <c r="AF326" s="1143"/>
      <c r="AG326" s="8" t="s">
        <v>224</v>
      </c>
      <c r="AH326" s="8"/>
      <c r="AI326" s="1242"/>
      <c r="AJ326" s="1242"/>
      <c r="AK326" s="1242"/>
      <c r="AL326" s="43"/>
    </row>
    <row r="327" spans="1:53" ht="12.75" customHeight="1">
      <c r="A327" s="43"/>
      <c r="B327" s="62" t="s">
        <v>97</v>
      </c>
      <c r="C327" s="62"/>
      <c r="D327" s="62"/>
      <c r="E327" s="62"/>
      <c r="F327" s="62"/>
      <c r="G327" s="62"/>
      <c r="H327" s="1125"/>
      <c r="I327" s="1125"/>
      <c r="J327" s="1125"/>
      <c r="K327" s="1125"/>
      <c r="L327" s="1125"/>
      <c r="M327" s="1125"/>
      <c r="N327" s="64"/>
      <c r="O327" s="64"/>
      <c r="P327" s="66"/>
      <c r="Q327" s="66"/>
      <c r="R327" s="66"/>
      <c r="S327" s="62"/>
      <c r="T327" s="62" t="s">
        <v>97</v>
      </c>
      <c r="V327" s="62"/>
      <c r="W327" s="62"/>
      <c r="X327" s="62"/>
      <c r="Y327" s="62"/>
      <c r="AA327" s="1125"/>
      <c r="AB327" s="1125"/>
      <c r="AC327" s="1125"/>
      <c r="AD327" s="1125"/>
      <c r="AE327" s="1125"/>
      <c r="AF327" s="1125"/>
      <c r="AG327" s="64"/>
      <c r="AH327" s="64"/>
      <c r="AI327" s="66"/>
      <c r="AJ327" s="66"/>
      <c r="AK327" s="66"/>
      <c r="AL327" s="43"/>
    </row>
    <row r="328" spans="1:53" ht="12.75" customHeight="1">
      <c r="A328" s="43"/>
      <c r="B328" s="62" t="s">
        <v>83</v>
      </c>
      <c r="C328" s="62"/>
      <c r="D328" s="62"/>
      <c r="E328" s="62"/>
      <c r="F328" s="62"/>
      <c r="G328" s="62"/>
      <c r="H328" s="1141" t="s">
        <v>1649</v>
      </c>
      <c r="I328" s="1141"/>
      <c r="J328" s="1141"/>
      <c r="K328" s="1141"/>
      <c r="L328" s="1141"/>
      <c r="M328" s="1141"/>
      <c r="N328" s="1121"/>
      <c r="O328" s="1121"/>
      <c r="P328" s="1121"/>
      <c r="Q328" s="1121"/>
      <c r="R328" s="1121"/>
      <c r="S328" s="62"/>
      <c r="T328" s="62" t="s">
        <v>83</v>
      </c>
      <c r="V328" s="62"/>
      <c r="W328" s="62"/>
      <c r="X328" s="62"/>
      <c r="Y328" s="62"/>
      <c r="AA328" s="1141" t="s">
        <v>1655</v>
      </c>
      <c r="AB328" s="1141"/>
      <c r="AC328" s="1141"/>
      <c r="AD328" s="1141"/>
      <c r="AE328" s="1141"/>
      <c r="AF328" s="1141"/>
      <c r="AG328" s="1121"/>
      <c r="AH328" s="1121"/>
      <c r="AI328" s="1121"/>
      <c r="AJ328" s="1121"/>
      <c r="AK328" s="1121"/>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21" t="s">
        <v>1695</v>
      </c>
      <c r="I330" s="1121"/>
      <c r="J330" s="1121"/>
      <c r="K330" s="1121"/>
      <c r="L330" s="1121"/>
      <c r="M330" s="1121"/>
      <c r="N330" s="1121"/>
      <c r="O330" s="1121"/>
      <c r="P330" s="1121"/>
      <c r="Q330" s="1121"/>
      <c r="R330" s="1121"/>
      <c r="T330" s="444" t="s">
        <v>1015</v>
      </c>
      <c r="V330" s="62"/>
      <c r="W330" s="62"/>
      <c r="X330" s="62"/>
      <c r="Y330" s="62"/>
      <c r="AA330" s="1121" t="s">
        <v>1656</v>
      </c>
      <c r="AB330" s="1121"/>
      <c r="AC330" s="1121"/>
      <c r="AD330" s="1121"/>
      <c r="AE330" s="1121"/>
      <c r="AF330" s="1121"/>
      <c r="AG330" s="1121"/>
      <c r="AH330" s="1121"/>
      <c r="AI330" s="1121"/>
      <c r="AJ330" s="1121"/>
      <c r="AK330" s="1121"/>
      <c r="AL330" s="43"/>
    </row>
    <row r="331" spans="1:53" ht="12.75" customHeight="1">
      <c r="B331" s="62" t="s">
        <v>547</v>
      </c>
      <c r="C331" s="264"/>
      <c r="D331" s="264"/>
      <c r="E331" s="264"/>
      <c r="F331" s="264"/>
      <c r="G331" s="3"/>
      <c r="H331" s="1141" t="s">
        <v>1697</v>
      </c>
      <c r="I331" s="1141"/>
      <c r="J331" s="1141"/>
      <c r="K331" s="1141"/>
      <c r="L331" s="1141"/>
      <c r="M331" s="1141"/>
      <c r="N331" s="1141"/>
      <c r="O331" s="1141"/>
      <c r="P331" s="1141"/>
      <c r="Q331" s="1141"/>
      <c r="R331" s="1141"/>
      <c r="T331" s="62" t="s">
        <v>547</v>
      </c>
      <c r="V331" s="62"/>
      <c r="W331" s="62"/>
      <c r="X331" s="62"/>
      <c r="Y331" s="62"/>
      <c r="AA331" s="1141" t="s">
        <v>1657</v>
      </c>
      <c r="AB331" s="1141"/>
      <c r="AC331" s="1141"/>
      <c r="AD331" s="1141"/>
      <c r="AE331" s="1141"/>
      <c r="AF331" s="1141"/>
      <c r="AG331" s="1141"/>
      <c r="AH331" s="1141"/>
      <c r="AI331" s="1141"/>
      <c r="AJ331" s="1141"/>
      <c r="AK331" s="1141"/>
      <c r="AL331" s="43"/>
    </row>
    <row r="332" spans="1:53" ht="12.75" customHeight="1">
      <c r="B332" s="62" t="s">
        <v>82</v>
      </c>
      <c r="C332" s="264"/>
      <c r="D332" s="264"/>
      <c r="E332" s="264"/>
      <c r="F332" s="264"/>
      <c r="G332" s="3"/>
      <c r="H332" s="1141" t="s">
        <v>1698</v>
      </c>
      <c r="I332" s="1141"/>
      <c r="J332" s="1141"/>
      <c r="K332" s="1141"/>
      <c r="L332" s="1141"/>
      <c r="M332" s="1141"/>
      <c r="N332" s="1141"/>
      <c r="O332" s="1141"/>
      <c r="P332" s="1141"/>
      <c r="Q332" s="1141"/>
      <c r="R332" s="1141"/>
      <c r="T332" s="62" t="s">
        <v>82</v>
      </c>
      <c r="V332" s="62"/>
      <c r="W332" s="62"/>
      <c r="X332" s="62"/>
      <c r="Y332" s="62"/>
      <c r="AA332" s="1141" t="s">
        <v>1625</v>
      </c>
      <c r="AB332" s="1141"/>
      <c r="AC332" s="1141"/>
      <c r="AD332" s="1141"/>
      <c r="AE332" s="1141"/>
      <c r="AF332" s="1141"/>
      <c r="AG332" s="1141"/>
      <c r="AH332" s="1141"/>
      <c r="AI332" s="1141"/>
      <c r="AJ332" s="1141"/>
      <c r="AK332" s="1141"/>
      <c r="AL332" s="43"/>
    </row>
    <row r="333" spans="1:53" ht="12.75">
      <c r="A333" s="43"/>
      <c r="B333" s="62" t="s">
        <v>95</v>
      </c>
      <c r="C333" s="264"/>
      <c r="D333" s="264"/>
      <c r="E333" s="264"/>
      <c r="F333" s="264"/>
      <c r="G333" s="264"/>
      <c r="H333" s="1141" t="s">
        <v>1696</v>
      </c>
      <c r="I333" s="1141"/>
      <c r="J333" s="1141"/>
      <c r="K333" s="1141"/>
      <c r="L333" s="1141"/>
      <c r="M333" s="1141"/>
      <c r="N333" s="1141"/>
      <c r="O333" s="1141"/>
      <c r="P333" s="1141"/>
      <c r="Q333" s="1141"/>
      <c r="R333" s="1141"/>
      <c r="T333" s="62" t="s">
        <v>95</v>
      </c>
      <c r="V333" s="62"/>
      <c r="W333" s="62"/>
      <c r="X333" s="62"/>
      <c r="Y333" s="62"/>
      <c r="AA333" s="1141" t="s">
        <v>1658</v>
      </c>
      <c r="AB333" s="1141"/>
      <c r="AC333" s="1141"/>
      <c r="AD333" s="1141"/>
      <c r="AE333" s="1141"/>
      <c r="AF333" s="1141"/>
      <c r="AG333" s="1141"/>
      <c r="AH333" s="1141"/>
      <c r="AI333" s="1141"/>
      <c r="AJ333" s="1141"/>
      <c r="AK333" s="1141"/>
      <c r="AL333" s="43"/>
    </row>
    <row r="334" spans="1:53" ht="12.75">
      <c r="A334" s="43"/>
      <c r="B334" s="62" t="s">
        <v>96</v>
      </c>
      <c r="C334" s="264"/>
      <c r="D334" s="264"/>
      <c r="E334" s="264"/>
      <c r="F334" s="264"/>
      <c r="G334" s="264"/>
      <c r="H334" s="1142" t="s">
        <v>1699</v>
      </c>
      <c r="I334" s="1143"/>
      <c r="J334" s="1143"/>
      <c r="K334" s="1143"/>
      <c r="L334" s="1143"/>
      <c r="M334" s="1143"/>
      <c r="N334" s="8" t="s">
        <v>224</v>
      </c>
      <c r="O334" s="8"/>
      <c r="P334" s="1242"/>
      <c r="Q334" s="1242"/>
      <c r="R334" s="1242"/>
      <c r="S334" s="62"/>
      <c r="T334" s="62" t="s">
        <v>96</v>
      </c>
      <c r="V334" s="62"/>
      <c r="W334" s="62"/>
      <c r="X334" s="62"/>
      <c r="Y334" s="62"/>
      <c r="AA334" s="1142" t="s">
        <v>1616</v>
      </c>
      <c r="AB334" s="1143"/>
      <c r="AC334" s="1143"/>
      <c r="AD334" s="1143"/>
      <c r="AE334" s="1143"/>
      <c r="AF334" s="1143"/>
      <c r="AG334" s="8" t="s">
        <v>224</v>
      </c>
      <c r="AH334" s="8"/>
      <c r="AI334" s="1242"/>
      <c r="AJ334" s="1242"/>
      <c r="AK334" s="1242"/>
      <c r="AL334" s="43"/>
    </row>
    <row r="335" spans="1:53" ht="12.75" customHeight="1">
      <c r="A335" s="43"/>
      <c r="B335" s="62" t="s">
        <v>97</v>
      </c>
      <c r="C335" s="264"/>
      <c r="D335" s="264"/>
      <c r="E335" s="264"/>
      <c r="F335" s="264"/>
      <c r="G335" s="264"/>
      <c r="H335" s="1124"/>
      <c r="I335" s="1125"/>
      <c r="J335" s="1125"/>
      <c r="K335" s="1125"/>
      <c r="L335" s="1125"/>
      <c r="M335" s="1125"/>
      <c r="N335" s="64"/>
      <c r="O335" s="64"/>
      <c r="P335" s="66"/>
      <c r="Q335" s="66"/>
      <c r="R335" s="66"/>
      <c r="S335" s="62"/>
      <c r="T335" s="62" t="s">
        <v>97</v>
      </c>
      <c r="V335" s="62"/>
      <c r="W335" s="62"/>
      <c r="X335" s="62"/>
      <c r="Y335" s="62"/>
      <c r="AA335" s="1124" t="s">
        <v>1659</v>
      </c>
      <c r="AB335" s="1125"/>
      <c r="AC335" s="1125"/>
      <c r="AD335" s="1125"/>
      <c r="AE335" s="1125"/>
      <c r="AF335" s="1125"/>
      <c r="AG335" s="64"/>
      <c r="AH335" s="64"/>
      <c r="AI335" s="66"/>
      <c r="AJ335" s="66"/>
      <c r="AK335" s="66"/>
      <c r="AL335" s="43"/>
    </row>
    <row r="336" spans="1:53" ht="12.75">
      <c r="A336" s="43"/>
      <c r="B336" s="62" t="s">
        <v>83</v>
      </c>
      <c r="C336" s="261"/>
      <c r="D336" s="261"/>
      <c r="E336" s="261"/>
      <c r="F336" s="261"/>
      <c r="G336" s="261"/>
      <c r="H336" s="1141" t="s">
        <v>1700</v>
      </c>
      <c r="I336" s="1141"/>
      <c r="J336" s="1141"/>
      <c r="K336" s="1141"/>
      <c r="L336" s="1141"/>
      <c r="M336" s="1141"/>
      <c r="N336" s="1121"/>
      <c r="O336" s="1121"/>
      <c r="P336" s="1121"/>
      <c r="Q336" s="1121"/>
      <c r="R336" s="1121"/>
      <c r="S336" s="62"/>
      <c r="T336" s="62" t="s">
        <v>83</v>
      </c>
      <c r="V336" s="62"/>
      <c r="W336" s="62"/>
      <c r="X336" s="62"/>
      <c r="Y336" s="62"/>
      <c r="AA336" s="1141" t="s">
        <v>1660</v>
      </c>
      <c r="AB336" s="1141"/>
      <c r="AC336" s="1141"/>
      <c r="AD336" s="1141"/>
      <c r="AE336" s="1141"/>
      <c r="AF336" s="1141"/>
      <c r="AG336" s="1121"/>
      <c r="AH336" s="1121"/>
      <c r="AI336" s="1121"/>
      <c r="AJ336" s="1121"/>
      <c r="AK336" s="1121"/>
      <c r="AL336" s="43"/>
      <c r="BA336" s="15" t="s">
        <v>672</v>
      </c>
    </row>
    <row r="337" spans="1:53" ht="12.75">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755</v>
      </c>
    </row>
    <row r="338" spans="1:53" ht="12.75">
      <c r="A338" s="3"/>
      <c r="B338" s="264"/>
      <c r="C338" s="445"/>
      <c r="D338" s="445"/>
      <c r="E338" s="445"/>
      <c r="F338" s="445"/>
      <c r="G338" s="92"/>
      <c r="H338" s="92"/>
      <c r="I338" s="444" t="s">
        <v>1016</v>
      </c>
      <c r="P338" s="1121" t="s">
        <v>672</v>
      </c>
      <c r="Q338" s="1121"/>
      <c r="R338" s="1121"/>
      <c r="S338" s="1121"/>
      <c r="T338" s="1121"/>
      <c r="U338" s="1121"/>
      <c r="V338" s="1121"/>
      <c r="W338" s="1121"/>
      <c r="X338" s="1121"/>
      <c r="Y338" s="1121"/>
      <c r="Z338" s="1121"/>
      <c r="AA338" s="1121"/>
      <c r="AB338" s="1121"/>
      <c r="AC338" s="1121"/>
      <c r="AD338" s="1121"/>
      <c r="AE338" s="1121"/>
      <c r="AF338" s="92"/>
      <c r="AG338" s="92"/>
      <c r="AH338" s="92"/>
      <c r="AI338" s="92"/>
      <c r="AJ338" s="92"/>
      <c r="AK338" s="92"/>
      <c r="AL338" s="43"/>
      <c r="BA338" s="15" t="s">
        <v>622</v>
      </c>
    </row>
    <row r="339" spans="1:53" ht="12.75">
      <c r="A339" s="3"/>
      <c r="B339" s="64"/>
      <c r="C339" s="64"/>
      <c r="D339" s="64"/>
      <c r="E339" s="64"/>
      <c r="F339" s="64"/>
      <c r="G339" s="3"/>
      <c r="H339" s="92"/>
      <c r="I339" s="8" t="s">
        <v>547</v>
      </c>
      <c r="P339" s="1141"/>
      <c r="Q339" s="1141"/>
      <c r="R339" s="1141"/>
      <c r="S339" s="1141"/>
      <c r="T339" s="1141"/>
      <c r="U339" s="1141"/>
      <c r="V339" s="1141"/>
      <c r="W339" s="1141"/>
      <c r="X339" s="1141"/>
      <c r="Y339" s="1141"/>
      <c r="Z339" s="1141"/>
      <c r="AA339" s="1141"/>
      <c r="AB339" s="1141"/>
      <c r="AC339" s="1141"/>
      <c r="AD339" s="1141"/>
      <c r="AE339" s="1141"/>
      <c r="AF339" s="92"/>
      <c r="AG339" s="92"/>
      <c r="AH339" s="92"/>
      <c r="AI339" s="92"/>
      <c r="AJ339" s="92"/>
      <c r="AK339" s="92"/>
      <c r="AL339" s="43"/>
    </row>
    <row r="340" spans="1:53" ht="12.75">
      <c r="A340" s="3"/>
      <c r="B340" s="64"/>
      <c r="C340" s="64"/>
      <c r="D340" s="64"/>
      <c r="E340" s="64"/>
      <c r="F340" s="64"/>
      <c r="G340" s="3"/>
      <c r="H340" s="92"/>
      <c r="I340" s="8" t="s">
        <v>82</v>
      </c>
      <c r="P340" s="1141"/>
      <c r="Q340" s="1141"/>
      <c r="R340" s="1141"/>
      <c r="S340" s="1141"/>
      <c r="T340" s="1141"/>
      <c r="U340" s="1141"/>
      <c r="V340" s="1141"/>
      <c r="W340" s="1141"/>
      <c r="X340" s="1141"/>
      <c r="Y340" s="1141"/>
      <c r="Z340" s="1141"/>
      <c r="AA340" s="1141"/>
      <c r="AB340" s="1141"/>
      <c r="AC340" s="1141"/>
      <c r="AD340" s="1141"/>
      <c r="AE340" s="1141"/>
      <c r="AF340" s="92"/>
      <c r="AG340" s="92"/>
      <c r="AH340" s="92"/>
      <c r="AI340" s="92"/>
      <c r="AJ340" s="92"/>
      <c r="AK340" s="92"/>
      <c r="AL340" s="43"/>
    </row>
    <row r="341" spans="1:53" ht="12.75" customHeight="1">
      <c r="A341" s="3"/>
      <c r="B341" s="64"/>
      <c r="C341" s="64"/>
      <c r="D341" s="64"/>
      <c r="E341" s="64"/>
      <c r="F341" s="64"/>
      <c r="G341" s="64"/>
      <c r="H341" s="92"/>
      <c r="I341" s="8" t="s">
        <v>95</v>
      </c>
      <c r="P341" s="1141"/>
      <c r="Q341" s="1141"/>
      <c r="R341" s="1141"/>
      <c r="S341" s="1141"/>
      <c r="T341" s="1141"/>
      <c r="U341" s="1141"/>
      <c r="V341" s="1141"/>
      <c r="W341" s="1141"/>
      <c r="X341" s="1141"/>
      <c r="Y341" s="1141"/>
      <c r="Z341" s="1141"/>
      <c r="AA341" s="1141"/>
      <c r="AB341" s="1141"/>
      <c r="AC341" s="1141"/>
      <c r="AD341" s="1141"/>
      <c r="AE341" s="1141"/>
      <c r="AF341" s="92"/>
      <c r="AG341" s="92"/>
      <c r="AH341" s="92"/>
      <c r="AI341" s="92"/>
      <c r="AJ341" s="92"/>
      <c r="AK341" s="92"/>
      <c r="AL341" s="43"/>
    </row>
    <row r="342" spans="1:53" ht="12.75">
      <c r="A342" s="3"/>
      <c r="B342" s="64"/>
      <c r="C342" s="64"/>
      <c r="D342" s="64"/>
      <c r="E342" s="64"/>
      <c r="F342" s="64"/>
      <c r="G342" s="64"/>
      <c r="H342" s="504"/>
      <c r="I342" s="8" t="s">
        <v>96</v>
      </c>
      <c r="P342" s="1125"/>
      <c r="Q342" s="1125"/>
      <c r="R342" s="1125"/>
      <c r="S342" s="1125"/>
      <c r="T342" s="1125"/>
      <c r="U342" s="1125"/>
      <c r="V342" s="1125"/>
      <c r="W342" s="1125"/>
      <c r="X342" s="1125"/>
      <c r="Y342" s="1125"/>
      <c r="Z342" s="1125"/>
      <c r="AA342" s="8" t="s">
        <v>224</v>
      </c>
      <c r="AB342" s="8"/>
      <c r="AC342" s="1126"/>
      <c r="AD342" s="1126"/>
      <c r="AE342" s="1126"/>
      <c r="AF342" s="504"/>
      <c r="AG342" s="64"/>
      <c r="AH342" s="64"/>
      <c r="AI342" s="445"/>
      <c r="AJ342" s="445"/>
      <c r="AK342" s="445"/>
      <c r="AL342" s="43"/>
    </row>
    <row r="343" spans="1:53" ht="12.75" customHeight="1">
      <c r="A343" s="3"/>
      <c r="B343" s="64"/>
      <c r="C343" s="64"/>
      <c r="D343" s="64"/>
      <c r="E343" s="64"/>
      <c r="F343" s="64"/>
      <c r="G343" s="64"/>
      <c r="H343" s="504"/>
      <c r="I343" s="8" t="s">
        <v>97</v>
      </c>
      <c r="P343" s="1125"/>
      <c r="Q343" s="1125"/>
      <c r="R343" s="1125"/>
      <c r="S343" s="1125"/>
      <c r="T343" s="1125"/>
      <c r="U343" s="1125"/>
      <c r="V343" s="1125"/>
      <c r="W343" s="1125"/>
      <c r="X343" s="1125"/>
      <c r="Y343" s="1125"/>
      <c r="Z343" s="1125"/>
      <c r="AF343" s="504"/>
      <c r="AG343" s="64"/>
      <c r="AH343" s="64"/>
      <c r="AI343" s="66"/>
      <c r="AJ343" s="66"/>
      <c r="AK343" s="66"/>
      <c r="AL343" s="43"/>
    </row>
    <row r="344" spans="1:53" ht="12.75">
      <c r="A344" s="3"/>
      <c r="B344" s="64"/>
      <c r="C344" s="445"/>
      <c r="D344" s="445"/>
      <c r="E344" s="445"/>
      <c r="F344" s="445"/>
      <c r="G344" s="445"/>
      <c r="H344" s="92"/>
      <c r="I344" s="8" t="s">
        <v>83</v>
      </c>
      <c r="P344" s="1121"/>
      <c r="Q344" s="1121"/>
      <c r="R344" s="1121"/>
      <c r="S344" s="1121"/>
      <c r="T344" s="1121"/>
      <c r="U344" s="1121"/>
      <c r="V344" s="1121"/>
      <c r="W344" s="1121"/>
      <c r="X344" s="1121"/>
      <c r="Y344" s="1121"/>
      <c r="Z344" s="1121"/>
      <c r="AA344" s="1121"/>
      <c r="AB344" s="1121"/>
      <c r="AC344" s="1121"/>
      <c r="AD344" s="1121"/>
      <c r="AE344" s="1121"/>
      <c r="AF344" s="92"/>
      <c r="AG344" s="92"/>
      <c r="AH344" s="92"/>
      <c r="AI344" s="92"/>
      <c r="AJ344" s="92"/>
      <c r="AK344" s="92"/>
      <c r="AL344" s="43"/>
    </row>
    <row r="345" spans="1:53" ht="12.75">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2.75">
      <c r="A346" s="1264" t="s">
        <v>619</v>
      </c>
      <c r="B346" s="1264"/>
      <c r="C346" s="1264"/>
      <c r="D346" s="1264"/>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c r="AL346" s="1264"/>
    </row>
    <row r="347" spans="1:53" ht="12.75" customHeight="1" thickBot="1">
      <c r="A347" s="1265"/>
      <c r="B347" s="1265"/>
      <c r="C347" s="1265"/>
      <c r="D347" s="1265"/>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c r="AL347" s="1265"/>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896</v>
      </c>
      <c r="K349" s="29"/>
      <c r="L349" s="29"/>
    </row>
    <row r="350" spans="1:53" ht="12.75" customHeight="1">
      <c r="D350" s="15" t="s">
        <v>406</v>
      </c>
      <c r="M350" s="1122" t="s">
        <v>672</v>
      </c>
      <c r="N350" s="1122"/>
      <c r="P350" s="15" t="s">
        <v>629</v>
      </c>
      <c r="AJ350" s="1122" t="s">
        <v>755</v>
      </c>
      <c r="AK350" s="1122"/>
    </row>
    <row r="351" spans="1:53" ht="12.75" customHeight="1">
      <c r="D351" s="8" t="s">
        <v>989</v>
      </c>
      <c r="R351" s="15" t="s">
        <v>630</v>
      </c>
      <c r="AJ351" s="1122" t="s">
        <v>672</v>
      </c>
      <c r="AK351" s="1122"/>
    </row>
    <row r="352" spans="1:53" ht="12.75" customHeight="1">
      <c r="D352" s="15" t="s">
        <v>798</v>
      </c>
      <c r="M352" s="1122" t="s">
        <v>672</v>
      </c>
      <c r="N352" s="1122"/>
      <c r="P352" s="8" t="s">
        <v>986</v>
      </c>
      <c r="AJ352" s="1122" t="s">
        <v>672</v>
      </c>
      <c r="AK352" s="1122"/>
    </row>
    <row r="353" spans="1:34" ht="12.75" customHeight="1">
      <c r="D353" s="15" t="s">
        <v>799</v>
      </c>
      <c r="M353" s="1122" t="s">
        <v>622</v>
      </c>
      <c r="N353" s="1122"/>
      <c r="Q353" s="8" t="s">
        <v>988</v>
      </c>
    </row>
    <row r="354" spans="1:34" ht="12.75" customHeight="1">
      <c r="Q354" s="8" t="s">
        <v>987</v>
      </c>
    </row>
    <row r="355" spans="1:34" ht="12.75" customHeight="1">
      <c r="Q355" s="8"/>
    </row>
    <row r="356" spans="1:34" ht="12.75" customHeight="1">
      <c r="A356" s="54" t="s">
        <v>657</v>
      </c>
      <c r="B356" s="54"/>
      <c r="C356" s="54" t="s">
        <v>631</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22" t="s">
        <v>622</v>
      </c>
      <c r="O358" s="1122"/>
      <c r="P358" s="73"/>
      <c r="Q358" s="73"/>
      <c r="R358" s="73"/>
      <c r="S358" s="73"/>
      <c r="T358" s="73"/>
      <c r="U358" s="73"/>
      <c r="V358" s="73"/>
      <c r="W358" s="73"/>
      <c r="X358" s="73"/>
      <c r="Y358" s="74"/>
      <c r="Z358" s="74"/>
      <c r="AC358" s="73"/>
      <c r="AD358" s="73"/>
      <c r="AE358" s="73"/>
    </row>
    <row r="359" spans="1:34" ht="12.75" customHeight="1">
      <c r="E359" s="15" t="s">
        <v>408</v>
      </c>
      <c r="Y359" s="1122" t="s">
        <v>672</v>
      </c>
      <c r="Z359" s="1122"/>
    </row>
    <row r="360" spans="1:34" ht="12.75" customHeight="1">
      <c r="D360" s="8" t="s">
        <v>1138</v>
      </c>
      <c r="Q360" s="1121" t="s">
        <v>1661</v>
      </c>
      <c r="R360" s="1121"/>
      <c r="S360" s="1121"/>
      <c r="T360" s="1121"/>
      <c r="U360" s="1121"/>
      <c r="V360" s="1121"/>
      <c r="W360" s="1121"/>
      <c r="X360" s="1121"/>
      <c r="Y360" s="1121"/>
      <c r="Z360" s="1121"/>
      <c r="AA360" s="1121"/>
      <c r="AB360" s="1121"/>
      <c r="AC360" s="1121"/>
      <c r="AD360" s="1121"/>
      <c r="AE360" s="1121"/>
      <c r="AF360" s="1121"/>
      <c r="AG360" s="1121"/>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22" t="s">
        <v>622</v>
      </c>
      <c r="K362" s="1122"/>
      <c r="L362" s="73"/>
      <c r="M362" s="73"/>
      <c r="N362" s="73"/>
      <c r="O362" s="73"/>
      <c r="P362" s="73"/>
      <c r="Q362" s="73"/>
      <c r="R362" s="73"/>
      <c r="S362" s="73"/>
      <c r="T362" s="73"/>
      <c r="U362" s="73"/>
      <c r="V362" s="73"/>
      <c r="W362" s="73"/>
      <c r="X362" s="73"/>
      <c r="Y362" s="73"/>
      <c r="Z362" s="73"/>
      <c r="AC362" s="73"/>
      <c r="AD362" s="73"/>
      <c r="AE362" s="73"/>
    </row>
    <row r="363" spans="1:34" ht="12.75" customHeight="1">
      <c r="E363" s="1238" t="s">
        <v>800</v>
      </c>
      <c r="F363" s="1238"/>
      <c r="G363" s="1238"/>
      <c r="H363" s="1238"/>
      <c r="I363" s="1238"/>
      <c r="J363" s="1238"/>
      <c r="K363" s="1238"/>
      <c r="L363" s="1238"/>
      <c r="M363" s="1238"/>
      <c r="N363" s="1238"/>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row>
    <row r="364" spans="1:34" ht="12.75" customHeight="1">
      <c r="E364" s="1238"/>
      <c r="F364" s="1238"/>
      <c r="G364" s="1238"/>
      <c r="H364" s="1238"/>
      <c r="I364" s="1238"/>
      <c r="J364" s="1238"/>
      <c r="K364" s="1238"/>
      <c r="L364" s="1238"/>
      <c r="M364" s="1238"/>
      <c r="N364" s="1238"/>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row>
    <row r="365" spans="1:34" ht="12.75" customHeight="1">
      <c r="E365" s="8" t="s">
        <v>522</v>
      </c>
      <c r="F365" s="8"/>
      <c r="G365" s="8"/>
      <c r="H365" s="8"/>
      <c r="I365" s="8"/>
      <c r="J365" s="8"/>
      <c r="K365" s="8"/>
      <c r="L365" s="8"/>
      <c r="N365" s="1436">
        <v>20</v>
      </c>
      <c r="O365" s="1436"/>
      <c r="P365" s="1436"/>
      <c r="Q365" s="1436"/>
      <c r="R365" s="8"/>
      <c r="U365" s="8" t="s">
        <v>523</v>
      </c>
      <c r="V365" s="8"/>
      <c r="W365" s="8"/>
      <c r="X365" s="8"/>
      <c r="Y365" s="8"/>
      <c r="Z365" s="8"/>
      <c r="AA365" s="8"/>
      <c r="AB365" s="8"/>
      <c r="AC365" s="1436">
        <v>14</v>
      </c>
      <c r="AD365" s="1436"/>
      <c r="AE365" s="1436"/>
      <c r="AF365" s="1436"/>
    </row>
    <row r="366" spans="1:34" ht="12.75" customHeight="1">
      <c r="E366" s="8" t="s">
        <v>524</v>
      </c>
      <c r="F366" s="8"/>
      <c r="G366" s="8"/>
      <c r="H366" s="8"/>
      <c r="I366" s="8"/>
      <c r="J366" s="8"/>
      <c r="K366" s="8"/>
      <c r="L366" s="8"/>
      <c r="N366" s="1436">
        <v>13</v>
      </c>
      <c r="O366" s="1436"/>
      <c r="P366" s="1436"/>
      <c r="Q366" s="1436"/>
      <c r="R366" s="8"/>
      <c r="U366" s="8" t="s">
        <v>0</v>
      </c>
      <c r="V366" s="8"/>
      <c r="W366" s="8"/>
      <c r="X366" s="8"/>
      <c r="Y366" s="8"/>
      <c r="Z366" s="8"/>
      <c r="AA366" s="8"/>
      <c r="AB366" s="8"/>
      <c r="AC366" s="1436">
        <v>81</v>
      </c>
      <c r="AD366" s="1436"/>
      <c r="AE366" s="1436"/>
      <c r="AF366" s="1436"/>
    </row>
    <row r="367" spans="1:34" ht="12.75" customHeight="1">
      <c r="E367" s="8" t="s">
        <v>1</v>
      </c>
      <c r="F367" s="8"/>
      <c r="G367" s="8"/>
      <c r="H367" s="8"/>
      <c r="I367" s="8"/>
      <c r="J367" s="8"/>
      <c r="K367" s="8"/>
      <c r="L367" s="8"/>
      <c r="N367" s="1436">
        <v>3</v>
      </c>
      <c r="O367" s="1436"/>
      <c r="P367" s="1436"/>
      <c r="Q367" s="1436"/>
      <c r="R367" s="8"/>
      <c r="V367" s="8"/>
      <c r="W367" s="8"/>
      <c r="X367" s="8"/>
      <c r="Y367" s="8"/>
      <c r="Z367" s="8"/>
      <c r="AA367" s="8"/>
      <c r="AB367" s="8"/>
    </row>
    <row r="368" spans="1:34" ht="12.75" customHeight="1">
      <c r="E368" s="8" t="s">
        <v>2</v>
      </c>
      <c r="F368" s="8"/>
      <c r="G368" s="8"/>
      <c r="H368" s="8"/>
      <c r="I368" s="8"/>
      <c r="J368" s="8"/>
      <c r="K368" s="8"/>
      <c r="L368" s="8"/>
      <c r="N368" s="1582" t="s">
        <v>1662</v>
      </c>
      <c r="O368" s="1583"/>
      <c r="P368" s="1583"/>
      <c r="Q368" s="1583"/>
      <c r="R368" s="1583"/>
      <c r="S368" s="1583"/>
      <c r="T368" s="1583"/>
      <c r="U368" s="1583"/>
      <c r="V368" s="1583"/>
      <c r="W368" s="1583"/>
      <c r="X368" s="1583"/>
      <c r="Y368" s="1583"/>
      <c r="Z368" s="1583"/>
      <c r="AA368" s="1583"/>
      <c r="AB368" s="1583"/>
      <c r="AC368" s="1583"/>
      <c r="AD368" s="1583"/>
      <c r="AE368" s="1583"/>
      <c r="AF368" s="1583"/>
    </row>
    <row r="369" spans="1:38" ht="12.75" customHeight="1">
      <c r="E369" s="8"/>
      <c r="F369" s="8"/>
      <c r="G369" s="8"/>
      <c r="H369" s="8"/>
      <c r="I369" s="8"/>
      <c r="J369" s="8"/>
      <c r="K369" s="8"/>
      <c r="L369" s="8"/>
      <c r="N369" s="1584"/>
      <c r="O369" s="1584"/>
      <c r="P369" s="1584"/>
      <c r="Q369" s="1584"/>
      <c r="R369" s="1584"/>
      <c r="S369" s="1584"/>
      <c r="T369" s="1584"/>
      <c r="U369" s="1584"/>
      <c r="V369" s="1584"/>
      <c r="W369" s="1584"/>
      <c r="X369" s="1584"/>
      <c r="Y369" s="1584"/>
      <c r="Z369" s="1584"/>
      <c r="AA369" s="1584"/>
      <c r="AB369" s="1584"/>
      <c r="AC369" s="1584"/>
      <c r="AD369" s="1584"/>
      <c r="AE369" s="1584"/>
      <c r="AF369" s="1584"/>
    </row>
    <row r="370" spans="1:38" ht="12.75" customHeight="1">
      <c r="E370" s="8"/>
      <c r="F370" s="8"/>
      <c r="G370" s="8"/>
      <c r="H370" s="8"/>
      <c r="I370" s="8"/>
      <c r="J370" s="8"/>
      <c r="K370" s="8"/>
      <c r="L370" s="8"/>
    </row>
    <row r="371" spans="1:38" ht="12.75" customHeight="1">
      <c r="D371" s="54" t="s">
        <v>1130</v>
      </c>
      <c r="E371" s="54"/>
      <c r="F371" s="8"/>
      <c r="G371" s="8"/>
      <c r="H371" s="8"/>
      <c r="I371" s="8"/>
      <c r="J371" s="8"/>
      <c r="K371" s="8"/>
      <c r="L371" s="8"/>
    </row>
    <row r="372" spans="1:38" ht="12.75" customHeight="1">
      <c r="E372" s="8" t="s">
        <v>1132</v>
      </c>
      <c r="F372" s="8"/>
      <c r="G372" s="8"/>
      <c r="H372" s="8"/>
      <c r="I372" s="8"/>
      <c r="J372" s="8"/>
      <c r="K372" s="8"/>
      <c r="L372" s="8"/>
      <c r="N372" s="29" t="s">
        <v>330</v>
      </c>
      <c r="P372" s="29"/>
      <c r="Q372" s="29" t="s">
        <v>331</v>
      </c>
      <c r="S372" s="1144">
        <v>1997</v>
      </c>
      <c r="T372" s="1144"/>
      <c r="U372" s="4" t="s">
        <v>332</v>
      </c>
      <c r="V372" s="1144">
        <v>555</v>
      </c>
      <c r="W372" s="1144"/>
      <c r="Y372" s="29" t="s">
        <v>330</v>
      </c>
      <c r="AA372" s="29"/>
      <c r="AB372" s="29" t="s">
        <v>331</v>
      </c>
      <c r="AD372" s="1144"/>
      <c r="AE372" s="1144"/>
      <c r="AF372" s="4" t="s">
        <v>332</v>
      </c>
      <c r="AG372" s="1144"/>
      <c r="AH372" s="1144"/>
    </row>
    <row r="373" spans="1:38" ht="12.75" customHeight="1">
      <c r="E373" s="8" t="s">
        <v>1177</v>
      </c>
      <c r="F373" s="8"/>
      <c r="G373" s="8"/>
      <c r="H373" s="8"/>
      <c r="I373" s="8"/>
      <c r="J373" s="8"/>
      <c r="K373" s="8"/>
      <c r="L373" s="8"/>
      <c r="N373" s="1144">
        <v>1999</v>
      </c>
      <c r="O373" s="1144"/>
      <c r="P373" s="1144"/>
    </row>
    <row r="374" spans="1:38" ht="12.75" customHeight="1">
      <c r="E374" s="421" t="s">
        <v>1179</v>
      </c>
      <c r="F374" s="8"/>
      <c r="G374" s="8"/>
      <c r="H374" s="8"/>
      <c r="I374" s="8"/>
      <c r="J374" s="8"/>
      <c r="K374" s="8"/>
      <c r="L374" s="8"/>
      <c r="AG374" s="1138" t="s">
        <v>622</v>
      </c>
      <c r="AH374" s="1138"/>
    </row>
    <row r="375" spans="1:38" ht="12.75" customHeight="1">
      <c r="E375" s="8"/>
      <c r="F375" s="8"/>
      <c r="G375" s="8" t="s">
        <v>1201</v>
      </c>
      <c r="H375" s="8"/>
      <c r="I375" s="8"/>
      <c r="J375" s="8"/>
      <c r="K375" s="8"/>
      <c r="L375" s="8"/>
      <c r="AG375" s="1138" t="s">
        <v>755</v>
      </c>
      <c r="AH375" s="1138"/>
    </row>
    <row r="376" spans="1:38" ht="12.75" customHeight="1">
      <c r="E376" s="8"/>
      <c r="F376" s="8"/>
      <c r="G376" s="559" t="s">
        <v>1180</v>
      </c>
      <c r="H376" s="8"/>
      <c r="I376" s="8"/>
      <c r="J376" s="8"/>
      <c r="K376" s="8"/>
      <c r="L376" s="8"/>
      <c r="V376" s="1122" t="s">
        <v>672</v>
      </c>
      <c r="W376" s="1122"/>
      <c r="Y376" s="39" t="s">
        <v>1140</v>
      </c>
    </row>
    <row r="377" spans="1:38" ht="12.75" customHeight="1">
      <c r="E377" s="8" t="s">
        <v>1141</v>
      </c>
      <c r="F377" s="8"/>
      <c r="G377" s="8"/>
      <c r="H377" s="8"/>
      <c r="I377" s="8"/>
      <c r="J377" s="8"/>
      <c r="K377" s="8"/>
      <c r="L377" s="8"/>
      <c r="V377" s="1122" t="s">
        <v>755</v>
      </c>
      <c r="W377" s="1122"/>
      <c r="Y377" s="8" t="s">
        <v>1142</v>
      </c>
    </row>
    <row r="378" spans="1:38" ht="12.75" customHeight="1"/>
    <row r="379" spans="1:38" ht="12.75" customHeight="1">
      <c r="A379" s="54" t="s">
        <v>85</v>
      </c>
      <c r="B379" s="54"/>
    </row>
    <row r="380" spans="1:38" ht="12.75" customHeight="1">
      <c r="D380" s="15" t="s">
        <v>482</v>
      </c>
      <c r="J380" s="1121" t="s">
        <v>1702</v>
      </c>
      <c r="K380" s="1121"/>
      <c r="L380" s="1121"/>
      <c r="M380" s="1121"/>
      <c r="N380" s="1121"/>
      <c r="O380" s="1121"/>
      <c r="P380" s="1121"/>
      <c r="Q380" s="1121"/>
      <c r="R380" s="1121"/>
      <c r="S380" s="1121"/>
      <c r="T380" s="1121"/>
      <c r="U380" s="1121"/>
      <c r="V380" s="17" t="s">
        <v>91</v>
      </c>
      <c r="W380" s="17"/>
      <c r="X380" s="17"/>
      <c r="Y380" s="17"/>
      <c r="Z380" s="17"/>
      <c r="AA380" s="17"/>
      <c r="AB380" s="17"/>
      <c r="AC380" s="1121" t="s">
        <v>1703</v>
      </c>
      <c r="AD380" s="1121"/>
      <c r="AE380" s="1121"/>
      <c r="AF380" s="1121"/>
      <c r="AG380" s="1121"/>
      <c r="AH380" s="1121"/>
      <c r="AI380" s="1121"/>
      <c r="AJ380" s="1121"/>
    </row>
    <row r="381" spans="1:38" ht="12.75" customHeight="1">
      <c r="A381" s="791"/>
      <c r="B381" s="791"/>
      <c r="C381" s="791"/>
      <c r="D381" s="62" t="s">
        <v>1503</v>
      </c>
      <c r="E381" s="791"/>
      <c r="F381" s="791"/>
      <c r="G381" s="791"/>
      <c r="H381" s="791"/>
      <c r="I381" s="791"/>
      <c r="J381" s="1141"/>
      <c r="K381" s="1141"/>
      <c r="L381" s="1141"/>
      <c r="M381" s="1141"/>
      <c r="N381" s="1141"/>
      <c r="O381" s="1141"/>
      <c r="P381" s="1141"/>
      <c r="Q381" s="1141"/>
      <c r="R381" s="1141"/>
      <c r="S381" s="1141"/>
      <c r="T381" s="1141"/>
      <c r="U381" s="1141"/>
      <c r="V381" s="62" t="s">
        <v>1503</v>
      </c>
      <c r="W381" s="17"/>
      <c r="X381" s="17"/>
      <c r="Y381" s="17"/>
      <c r="Z381" s="17"/>
      <c r="AA381" s="17"/>
      <c r="AB381" s="17"/>
      <c r="AC381" s="1121" t="s">
        <v>1704</v>
      </c>
      <c r="AD381" s="1121"/>
      <c r="AE381" s="1121"/>
      <c r="AF381" s="1121"/>
      <c r="AG381" s="1121"/>
      <c r="AH381" s="1121"/>
      <c r="AI381" s="1121"/>
      <c r="AJ381" s="1121"/>
      <c r="AK381" s="791"/>
      <c r="AL381" s="791"/>
    </row>
    <row r="382" spans="1:38" ht="12.75" customHeight="1">
      <c r="A382" s="791"/>
      <c r="B382" s="791"/>
      <c r="C382" s="791"/>
      <c r="D382" s="62" t="s">
        <v>507</v>
      </c>
      <c r="E382" s="791"/>
      <c r="F382" s="791"/>
      <c r="G382" s="791"/>
      <c r="H382" s="791"/>
      <c r="I382" s="791"/>
      <c r="J382" s="1141"/>
      <c r="K382" s="1141"/>
      <c r="L382" s="1141"/>
      <c r="M382" s="1141"/>
      <c r="N382" s="1141"/>
      <c r="O382" s="1141"/>
      <c r="P382" s="1141"/>
      <c r="Q382" s="1141"/>
      <c r="R382" s="1141"/>
      <c r="S382" s="1141"/>
      <c r="T382" s="1141"/>
      <c r="U382" s="1141"/>
      <c r="V382" s="62" t="s">
        <v>507</v>
      </c>
      <c r="W382" s="17"/>
      <c r="X382" s="17"/>
      <c r="Y382" s="17"/>
      <c r="Z382" s="17"/>
      <c r="AA382" s="17"/>
      <c r="AB382" s="17"/>
      <c r="AC382" s="1121" t="s">
        <v>1705</v>
      </c>
      <c r="AD382" s="1121"/>
      <c r="AE382" s="1121"/>
      <c r="AF382" s="1121"/>
      <c r="AG382" s="1121"/>
      <c r="AH382" s="1121"/>
      <c r="AI382" s="1121"/>
      <c r="AJ382" s="1121"/>
      <c r="AK382" s="791"/>
      <c r="AL382" s="791"/>
    </row>
    <row r="383" spans="1:38" ht="12.75" customHeight="1">
      <c r="A383" s="791"/>
      <c r="B383" s="791"/>
      <c r="C383" s="791"/>
      <c r="D383" s="518" t="s">
        <v>1499</v>
      </c>
      <c r="E383" s="791"/>
      <c r="F383" s="791"/>
      <c r="G383" s="791"/>
      <c r="H383" s="791"/>
      <c r="I383" s="92"/>
      <c r="J383" s="1262" t="s">
        <v>1706</v>
      </c>
      <c r="K383" s="1262"/>
      <c r="L383" s="1262"/>
      <c r="M383" s="1262"/>
      <c r="N383" s="1262"/>
      <c r="O383" s="1262"/>
      <c r="P383" s="1262"/>
      <c r="Q383" s="1262"/>
      <c r="R383" s="1262"/>
      <c r="S383" s="1262"/>
      <c r="T383" s="1262"/>
      <c r="U383" s="1262"/>
      <c r="V383" s="1121"/>
      <c r="W383" s="1121"/>
      <c r="X383" s="1121"/>
      <c r="Y383" s="1121"/>
      <c r="Z383" s="1121"/>
      <c r="AA383" s="1121"/>
      <c r="AB383" s="1121"/>
      <c r="AC383" s="1121"/>
      <c r="AD383" s="1121"/>
      <c r="AE383" s="1121"/>
      <c r="AF383" s="1121"/>
      <c r="AG383" s="1121"/>
      <c r="AH383" s="1121"/>
      <c r="AI383" s="1121"/>
      <c r="AJ383" s="1121"/>
      <c r="AK383" s="791"/>
      <c r="AL383" s="791"/>
    </row>
    <row r="384" spans="1:38" ht="12.75" customHeight="1">
      <c r="D384" s="15" t="s">
        <v>4</v>
      </c>
      <c r="Q384" s="1540">
        <v>43706</v>
      </c>
      <c r="R384" s="1540"/>
      <c r="S384" s="1540"/>
      <c r="T384" s="1540"/>
      <c r="U384" s="1540"/>
      <c r="V384" s="15" t="s">
        <v>335</v>
      </c>
      <c r="AI384" s="1122" t="s">
        <v>755</v>
      </c>
      <c r="AJ384" s="1122"/>
    </row>
    <row r="385" spans="1:38" ht="12.75" customHeight="1">
      <c r="D385" s="15" t="s">
        <v>5</v>
      </c>
      <c r="Q385" s="1236">
        <v>43889</v>
      </c>
      <c r="R385" s="1237"/>
      <c r="S385" s="1237"/>
      <c r="T385" s="1237"/>
      <c r="U385" s="1237"/>
      <c r="W385" s="37" t="s">
        <v>81</v>
      </c>
      <c r="AG385" s="1563"/>
      <c r="AH385" s="1563"/>
      <c r="AI385" s="1563"/>
      <c r="AJ385" s="1563"/>
    </row>
    <row r="386" spans="1:38" ht="12.75" customHeight="1">
      <c r="D386" s="15" t="s">
        <v>481</v>
      </c>
      <c r="Q386" s="1576">
        <v>6965000</v>
      </c>
      <c r="R386" s="1576"/>
      <c r="S386" s="1576"/>
      <c r="T386" s="1576"/>
      <c r="U386" s="1576"/>
      <c r="V386" s="62" t="s">
        <v>1502</v>
      </c>
      <c r="AG386" s="1585">
        <v>43830</v>
      </c>
      <c r="AH386" s="1585"/>
      <c r="AI386" s="1585"/>
      <c r="AJ386" s="1585"/>
    </row>
    <row r="387" spans="1:38" ht="12.75" customHeight="1">
      <c r="D387" s="15" t="s">
        <v>96</v>
      </c>
      <c r="I387" s="1143"/>
      <c r="J387" s="1143"/>
      <c r="K387" s="1143"/>
      <c r="L387" s="1143"/>
      <c r="M387" s="1143"/>
      <c r="N387" s="1143"/>
      <c r="Q387" s="61" t="s">
        <v>224</v>
      </c>
      <c r="S387" s="1574"/>
      <c r="T387" s="1574"/>
      <c r="U387" s="1574"/>
      <c r="V387" s="15" t="s">
        <v>80</v>
      </c>
      <c r="AI387" s="1122" t="s">
        <v>755</v>
      </c>
      <c r="AJ387" s="1122"/>
    </row>
    <row r="388" spans="1:38" ht="12.75">
      <c r="D388" s="15" t="s">
        <v>336</v>
      </c>
      <c r="Q388" s="1215"/>
      <c r="R388" s="1215"/>
      <c r="S388" s="1215"/>
      <c r="T388" s="1215"/>
      <c r="U388" s="1215"/>
      <c r="V388" s="15" t="s">
        <v>337</v>
      </c>
      <c r="AG388" s="1563"/>
      <c r="AH388" s="1563"/>
      <c r="AI388" s="1563"/>
      <c r="AJ388" s="1563"/>
    </row>
    <row r="389" spans="1:38" ht="12.75">
      <c r="D389" s="15" t="s">
        <v>338</v>
      </c>
      <c r="Q389" s="1527"/>
      <c r="R389" s="1527"/>
      <c r="S389" s="1527"/>
      <c r="T389" s="1527"/>
      <c r="U389" s="1527"/>
      <c r="V389" s="791" t="s">
        <v>1477</v>
      </c>
      <c r="AG389" s="1563"/>
      <c r="AH389" s="1563"/>
      <c r="AI389" s="1563"/>
      <c r="AJ389" s="1563"/>
    </row>
    <row r="390" spans="1:38" ht="12.75">
      <c r="D390" s="791" t="s">
        <v>1476</v>
      </c>
      <c r="V390" s="791"/>
      <c r="AG390" s="1563"/>
      <c r="AH390" s="1563"/>
      <c r="AI390" s="1563"/>
      <c r="AJ390" s="1563"/>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21"/>
      <c r="AH391" s="821"/>
      <c r="AI391" s="821"/>
      <c r="AJ391" s="821"/>
      <c r="AK391" s="43"/>
      <c r="AL391" s="43"/>
    </row>
    <row r="392" spans="1:38" ht="12.75" customHeight="1">
      <c r="A392" s="54" t="s">
        <v>670</v>
      </c>
      <c r="B392" s="54"/>
      <c r="C392" s="54" t="s">
        <v>119</v>
      </c>
    </row>
    <row r="393" spans="1:38" ht="12.75">
      <c r="B393" s="54"/>
      <c r="C393" s="54"/>
      <c r="D393" s="54" t="s">
        <v>1551</v>
      </c>
      <c r="I393" s="1118" t="s">
        <v>1707</v>
      </c>
      <c r="J393" s="1118"/>
      <c r="K393" s="1118"/>
      <c r="L393" s="1118"/>
      <c r="M393" s="1118"/>
      <c r="N393" s="1118"/>
      <c r="O393" s="1118"/>
      <c r="P393" s="1118"/>
      <c r="Q393" s="1118"/>
      <c r="R393" s="1118"/>
      <c r="S393" s="1118"/>
      <c r="T393" s="1118"/>
      <c r="U393" s="1118"/>
      <c r="V393" s="1118"/>
      <c r="W393" s="1118"/>
      <c r="X393" s="1118"/>
      <c r="Y393" s="1118"/>
      <c r="Z393" s="1118"/>
      <c r="AA393" s="1118"/>
      <c r="AB393" s="1118"/>
      <c r="AC393" s="1118"/>
      <c r="AD393" s="1118"/>
      <c r="AE393" s="1118"/>
    </row>
    <row r="394" spans="1:38" ht="12.75" customHeight="1">
      <c r="C394" s="29"/>
      <c r="D394" s="29"/>
      <c r="E394" s="15" t="s">
        <v>114</v>
      </c>
      <c r="F394" s="29"/>
      <c r="G394" s="29"/>
      <c r="H394" s="29"/>
      <c r="I394" s="29"/>
      <c r="J394" s="29"/>
      <c r="K394" s="29"/>
      <c r="L394" s="29"/>
      <c r="M394" s="29"/>
      <c r="N394" s="29"/>
      <c r="O394" s="29"/>
      <c r="P394" s="791"/>
      <c r="Q394" s="791"/>
      <c r="R394" s="1122" t="s">
        <v>672</v>
      </c>
      <c r="S394" s="1122"/>
      <c r="T394" s="15" t="s">
        <v>650</v>
      </c>
      <c r="U394" s="791"/>
      <c r="V394" s="791"/>
      <c r="W394" s="791"/>
      <c r="X394" s="791"/>
      <c r="Y394" s="791"/>
      <c r="Z394" s="791"/>
      <c r="AA394" s="791"/>
      <c r="AB394" s="791"/>
      <c r="AC394" s="791"/>
      <c r="AD394" s="1436">
        <v>0</v>
      </c>
      <c r="AE394" s="1436"/>
      <c r="AF394" s="791"/>
    </row>
    <row r="395" spans="1:38" ht="12.75" customHeight="1">
      <c r="C395" s="29"/>
      <c r="E395" s="15" t="s">
        <v>115</v>
      </c>
      <c r="F395" s="791"/>
      <c r="G395" s="791"/>
      <c r="H395" s="791"/>
      <c r="I395" s="791"/>
      <c r="J395" s="791"/>
      <c r="K395" s="791"/>
      <c r="L395" s="791"/>
      <c r="M395" s="791"/>
      <c r="N395" s="29"/>
      <c r="O395" s="29"/>
      <c r="P395" s="791"/>
      <c r="Q395" s="791"/>
      <c r="R395" s="1122" t="s">
        <v>622</v>
      </c>
      <c r="S395" s="1122"/>
      <c r="T395" s="15" t="s">
        <v>650</v>
      </c>
      <c r="U395" s="791"/>
      <c r="V395" s="791"/>
      <c r="W395" s="791"/>
      <c r="X395" s="791"/>
      <c r="Y395" s="791"/>
      <c r="Z395" s="791"/>
      <c r="AA395" s="791"/>
      <c r="AB395" s="791"/>
      <c r="AC395" s="791"/>
      <c r="AD395" s="1436">
        <v>3</v>
      </c>
      <c r="AE395" s="1436"/>
      <c r="AF395" s="791"/>
    </row>
    <row r="396" spans="1:38" ht="12.75" customHeight="1">
      <c r="C396" s="29"/>
      <c r="E396" s="15" t="s">
        <v>116</v>
      </c>
      <c r="F396" s="791"/>
      <c r="G396" s="791"/>
      <c r="H396" s="791"/>
      <c r="I396" s="791"/>
      <c r="J396" s="791"/>
      <c r="K396" s="791"/>
      <c r="L396" s="791"/>
      <c r="M396" s="791"/>
      <c r="N396" s="29"/>
      <c r="O396" s="29"/>
      <c r="P396" s="791"/>
      <c r="Q396" s="791"/>
      <c r="R396" s="791"/>
      <c r="S396" s="1122" t="s">
        <v>672</v>
      </c>
      <c r="T396" s="1122"/>
      <c r="U396" s="791"/>
      <c r="V396" s="791"/>
      <c r="W396" s="791"/>
      <c r="X396" s="791"/>
      <c r="Y396" s="791"/>
      <c r="Z396" s="791"/>
      <c r="AA396" s="791"/>
      <c r="AB396" s="791"/>
      <c r="AC396" s="791"/>
      <c r="AD396" s="791"/>
      <c r="AE396" s="791"/>
      <c r="AF396" s="791"/>
    </row>
    <row r="397" spans="1:38" ht="12.75" customHeight="1">
      <c r="E397" s="15" t="s">
        <v>181</v>
      </c>
      <c r="F397" s="791"/>
      <c r="G397" s="791"/>
      <c r="H397" s="1572" t="s">
        <v>361</v>
      </c>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791"/>
    </row>
    <row r="398" spans="1:38" ht="12.75" customHeight="1">
      <c r="E398" s="29"/>
      <c r="F398" s="791"/>
      <c r="G398" s="791"/>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791"/>
    </row>
    <row r="399" spans="1:38" ht="12.75" customHeight="1"/>
    <row r="400" spans="1:38" ht="12.75" customHeight="1"/>
    <row r="401" spans="1:36" ht="12.75" customHeight="1"/>
    <row r="402" spans="1:36" ht="12.75" customHeight="1"/>
    <row r="403" spans="1:36" ht="12.75" customHeight="1"/>
    <row r="404" spans="1:36" ht="12.75" customHeight="1"/>
    <row r="405" spans="1:36" ht="12.75">
      <c r="A405" s="54" t="s">
        <v>671</v>
      </c>
      <c r="B405" s="54"/>
      <c r="C405" s="54"/>
      <c r="D405" s="54" t="s">
        <v>122</v>
      </c>
      <c r="AF405" s="54" t="s">
        <v>1108</v>
      </c>
    </row>
    <row r="406" spans="1:36" ht="12.75" customHeight="1">
      <c r="E406" s="1144"/>
      <c r="F406" s="1144"/>
      <c r="G406" s="1144"/>
      <c r="H406" s="27" t="s">
        <v>123</v>
      </c>
      <c r="I406" s="1144"/>
      <c r="J406" s="1144"/>
      <c r="K406" s="1144"/>
      <c r="L406" s="15" t="s">
        <v>124</v>
      </c>
      <c r="N406" s="148" t="s">
        <v>656</v>
      </c>
      <c r="P406" s="1139">
        <v>5.86</v>
      </c>
      <c r="Q406" s="1139"/>
      <c r="R406" s="1139"/>
      <c r="S406" s="15" t="s">
        <v>125</v>
      </c>
      <c r="W406" s="1575">
        <f>IF(E406&gt;0,(E406*I406),(P406*43560))</f>
        <v>255261.6</v>
      </c>
      <c r="X406" s="1575"/>
      <c r="Y406" s="1575"/>
      <c r="Z406" s="15" t="s">
        <v>126</v>
      </c>
      <c r="AF406" s="1139">
        <f>AG424/P406</f>
        <v>13.822525597269625</v>
      </c>
      <c r="AG406" s="1139"/>
      <c r="AH406" s="1139"/>
    </row>
    <row r="407" spans="1:36" ht="12.75">
      <c r="E407" s="15" t="s">
        <v>57</v>
      </c>
    </row>
    <row r="408" spans="1:36" ht="12.75">
      <c r="E408" s="1586"/>
      <c r="F408" s="1586"/>
      <c r="G408" s="1586"/>
      <c r="H408" s="1586"/>
      <c r="I408" s="1586"/>
      <c r="J408" s="1586"/>
      <c r="K408" s="1586"/>
      <c r="L408" s="1586"/>
      <c r="M408" s="1586"/>
      <c r="N408" s="1586"/>
      <c r="O408" s="1586"/>
      <c r="P408" s="1586"/>
      <c r="Q408" s="1586"/>
      <c r="R408" s="1586"/>
      <c r="S408" s="1586"/>
      <c r="T408" s="1586"/>
      <c r="U408" s="1586"/>
      <c r="V408" s="1586"/>
      <c r="W408" s="1586"/>
      <c r="X408" s="1586"/>
      <c r="Y408" s="1586"/>
      <c r="Z408" s="1586"/>
      <c r="AA408" s="1586"/>
      <c r="AB408" s="1586"/>
      <c r="AC408" s="1586"/>
      <c r="AD408" s="1586"/>
      <c r="AE408" s="1586"/>
      <c r="AF408" s="1586"/>
      <c r="AG408" s="1586"/>
      <c r="AH408" s="1586"/>
      <c r="AI408" s="1586"/>
      <c r="AJ408" s="1586"/>
    </row>
    <row r="409" spans="1:36" ht="12.75"/>
    <row r="410" spans="1:36" ht="12.75">
      <c r="A410" s="54" t="s">
        <v>673</v>
      </c>
      <c r="B410" s="54"/>
      <c r="C410" s="54"/>
      <c r="D410" s="54" t="s">
        <v>128</v>
      </c>
    </row>
    <row r="411" spans="1:36" ht="12.75">
      <c r="E411" s="15" t="s">
        <v>129</v>
      </c>
      <c r="P411" s="1122">
        <v>14</v>
      </c>
      <c r="Q411" s="1122"/>
      <c r="S411" s="15" t="s">
        <v>207</v>
      </c>
      <c r="AE411" s="1122">
        <v>13</v>
      </c>
      <c r="AF411" s="1122"/>
    </row>
    <row r="412" spans="1:36" ht="12.75">
      <c r="E412" s="15" t="s">
        <v>208</v>
      </c>
      <c r="P412" s="1122">
        <v>1</v>
      </c>
      <c r="Q412" s="1122"/>
      <c r="S412" s="15" t="s">
        <v>142</v>
      </c>
      <c r="AE412" s="1122" t="s">
        <v>672</v>
      </c>
      <c r="AF412" s="1122"/>
    </row>
    <row r="413" spans="1:36" ht="12.75" customHeight="1">
      <c r="F413" s="71" t="s">
        <v>143</v>
      </c>
    </row>
    <row r="414" spans="1:36" ht="12.75" customHeight="1">
      <c r="F414" s="1281"/>
      <c r="G414" s="1281"/>
      <c r="H414" s="1281"/>
      <c r="I414" s="1281"/>
      <c r="J414" s="1281"/>
      <c r="K414" s="1281"/>
      <c r="L414" s="1281"/>
      <c r="M414" s="1281"/>
      <c r="N414" s="1281"/>
      <c r="O414" s="1281"/>
      <c r="P414" s="1281"/>
      <c r="Q414" s="1281"/>
      <c r="R414" s="1281"/>
      <c r="S414" s="1281"/>
      <c r="T414" s="1281"/>
      <c r="U414" s="1281"/>
      <c r="V414" s="1281"/>
      <c r="W414" s="1281"/>
      <c r="X414" s="1281"/>
      <c r="Y414" s="1281"/>
      <c r="Z414" s="1281"/>
      <c r="AA414" s="1281"/>
      <c r="AB414" s="1281"/>
      <c r="AC414" s="1281"/>
      <c r="AD414" s="1281"/>
      <c r="AE414" s="1281"/>
      <c r="AF414" s="1281"/>
      <c r="AG414" s="1281"/>
      <c r="AH414" s="1281"/>
    </row>
    <row r="415" spans="1:36" ht="12.75" customHeight="1">
      <c r="F415" s="1282"/>
      <c r="G415" s="1282"/>
      <c r="H415" s="1282"/>
      <c r="I415" s="1282"/>
      <c r="J415" s="1282"/>
      <c r="K415" s="1282"/>
      <c r="L415" s="1282"/>
      <c r="M415" s="1282"/>
      <c r="N415" s="1282"/>
      <c r="O415" s="1282"/>
      <c r="P415" s="1282"/>
      <c r="Q415" s="1282"/>
      <c r="R415" s="1282"/>
      <c r="S415" s="1282"/>
      <c r="T415" s="1282"/>
      <c r="U415" s="1282"/>
      <c r="V415" s="1282"/>
      <c r="W415" s="1282"/>
      <c r="X415" s="1282"/>
      <c r="Y415" s="1282"/>
      <c r="Z415" s="1282"/>
      <c r="AA415" s="1282"/>
      <c r="AB415" s="1282"/>
      <c r="AC415" s="1282"/>
      <c r="AD415" s="1282"/>
      <c r="AE415" s="1282"/>
      <c r="AF415" s="1282"/>
      <c r="AG415" s="1282"/>
      <c r="AH415" s="1282"/>
    </row>
    <row r="416" spans="1:36" ht="12.75" customHeight="1">
      <c r="E416" s="15" t="s">
        <v>689</v>
      </c>
      <c r="N416" s="43"/>
      <c r="O416" s="43"/>
      <c r="P416" s="259"/>
      <c r="Q416" s="1122" t="s">
        <v>622</v>
      </c>
      <c r="R416" s="1122"/>
      <c r="S416" s="43"/>
      <c r="T416" s="43"/>
      <c r="U416" s="43"/>
      <c r="V416" s="43"/>
      <c r="W416" s="43"/>
      <c r="X416" s="43"/>
      <c r="Y416" s="43"/>
      <c r="Z416" s="43"/>
      <c r="AA416" s="43"/>
      <c r="AB416" s="43"/>
      <c r="AC416" s="43"/>
      <c r="AD416" s="43"/>
      <c r="AG416" s="29"/>
    </row>
    <row r="417" spans="1:96" ht="12.75" customHeight="1">
      <c r="F417" s="15" t="s">
        <v>690</v>
      </c>
      <c r="N417" s="43"/>
      <c r="O417" s="43"/>
      <c r="P417" s="259"/>
      <c r="Q417" s="259"/>
      <c r="R417" s="43"/>
      <c r="S417" s="43"/>
      <c r="T417" s="43"/>
      <c r="U417" s="43"/>
      <c r="V417" s="43"/>
      <c r="W417" s="43"/>
      <c r="X417" s="43"/>
      <c r="Y417" s="43"/>
      <c r="Z417" s="43"/>
      <c r="AA417" s="43"/>
      <c r="AB417" s="43"/>
      <c r="AC417" s="43"/>
      <c r="AD417" s="43"/>
      <c r="AF417" s="1122" t="s">
        <v>672</v>
      </c>
      <c r="AG417" s="1591"/>
    </row>
    <row r="418" spans="1:96" ht="12.75" customHeight="1">
      <c r="S418" s="29"/>
      <c r="T418" s="29"/>
    </row>
    <row r="419" spans="1:96" ht="12.75" customHeight="1">
      <c r="A419" s="54"/>
      <c r="B419" s="54"/>
      <c r="C419" s="54"/>
      <c r="E419" s="8" t="s">
        <v>334</v>
      </c>
      <c r="Z419" s="1122" t="s">
        <v>755</v>
      </c>
      <c r="AA419" s="1122"/>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801</v>
      </c>
      <c r="G421" s="73"/>
      <c r="I421" s="73"/>
      <c r="J421" s="73"/>
      <c r="K421" s="73"/>
      <c r="L421" s="73"/>
      <c r="M421" s="73"/>
      <c r="N421" s="73"/>
      <c r="O421" s="71"/>
      <c r="P421" s="73"/>
      <c r="Q421" s="73"/>
      <c r="R421" s="73"/>
      <c r="S421" s="73"/>
      <c r="T421" s="73"/>
      <c r="U421" s="73"/>
      <c r="V421" s="73"/>
      <c r="W421" s="73"/>
      <c r="Z421" s="1122" t="s">
        <v>672</v>
      </c>
      <c r="AA421" s="1122"/>
    </row>
    <row r="422" spans="1:96" ht="12.75" customHeight="1"/>
    <row r="423" spans="1:96" ht="12.75" customHeight="1">
      <c r="A423" s="54" t="s">
        <v>543</v>
      </c>
      <c r="B423" s="54"/>
      <c r="C423" s="54"/>
      <c r="D423" s="54" t="s">
        <v>875</v>
      </c>
      <c r="AF423" s="84"/>
    </row>
    <row r="424" spans="1:96" ht="12.75" customHeight="1">
      <c r="D424" s="1181" t="s">
        <v>49</v>
      </c>
      <c r="E424" s="1182"/>
      <c r="F424" s="1182"/>
      <c r="G424" s="1182"/>
      <c r="H424" s="1182"/>
      <c r="I424" s="1182"/>
      <c r="J424" s="1182"/>
      <c r="K424" s="1182"/>
      <c r="L424" s="1182"/>
      <c r="M424" s="1182"/>
      <c r="N424" s="1182"/>
      <c r="O424" s="1182"/>
      <c r="P424" s="1182"/>
      <c r="Q424" s="1182"/>
      <c r="R424" s="1182"/>
      <c r="S424" s="1182"/>
      <c r="T424" s="1182"/>
      <c r="U424" s="1182"/>
      <c r="V424" s="1182"/>
      <c r="W424" s="1182"/>
      <c r="X424" s="1182"/>
      <c r="Y424" s="1182"/>
      <c r="Z424" s="1182"/>
      <c r="AA424" s="1182"/>
      <c r="AB424" s="1182"/>
      <c r="AC424" s="1182"/>
      <c r="AD424" s="1182"/>
      <c r="AE424" s="1182"/>
      <c r="AF424" s="1532"/>
      <c r="AG424" s="1569">
        <v>81</v>
      </c>
      <c r="AH424" s="1569"/>
      <c r="AI424" s="1569"/>
      <c r="AJ424" s="1569"/>
    </row>
    <row r="425" spans="1:96" ht="12.75" customHeight="1">
      <c r="D425" s="1529" t="s">
        <v>1600</v>
      </c>
      <c r="E425" s="1530"/>
      <c r="F425" s="1530"/>
      <c r="G425" s="1530"/>
      <c r="H425" s="1530"/>
      <c r="I425" s="1530"/>
      <c r="J425" s="1530"/>
      <c r="K425" s="1530"/>
      <c r="L425" s="1530"/>
      <c r="M425" s="1530"/>
      <c r="N425" s="1530"/>
      <c r="O425" s="1530"/>
      <c r="P425" s="1530"/>
      <c r="Q425" s="1530"/>
      <c r="R425" s="1530"/>
      <c r="S425" s="1530"/>
      <c r="T425" s="1530"/>
      <c r="U425" s="1530"/>
      <c r="V425" s="1530"/>
      <c r="W425" s="1530"/>
      <c r="X425" s="1530"/>
      <c r="Y425" s="1530"/>
      <c r="Z425" s="1530"/>
      <c r="AA425" s="1530"/>
      <c r="AB425" s="1530"/>
      <c r="AC425" s="1530"/>
      <c r="AD425" s="1530"/>
      <c r="AE425" s="1530"/>
      <c r="AF425" s="1531"/>
      <c r="AG425" s="1536"/>
      <c r="AH425" s="1192"/>
      <c r="AI425" s="1192"/>
      <c r="AJ425" s="1192"/>
    </row>
    <row r="426" spans="1:96" ht="12.75" customHeight="1">
      <c r="D426" s="1529" t="s">
        <v>1242</v>
      </c>
      <c r="E426" s="1530"/>
      <c r="F426" s="1530"/>
      <c r="G426" s="1530"/>
      <c r="H426" s="1530"/>
      <c r="I426" s="1530"/>
      <c r="J426" s="1530"/>
      <c r="K426" s="1530"/>
      <c r="L426" s="1530"/>
      <c r="M426" s="1530"/>
      <c r="N426" s="1530"/>
      <c r="O426" s="1530"/>
      <c r="P426" s="1530"/>
      <c r="Q426" s="1530"/>
      <c r="R426" s="1530"/>
      <c r="S426" s="1530"/>
      <c r="T426" s="1530"/>
      <c r="U426" s="1530"/>
      <c r="V426" s="1530"/>
      <c r="W426" s="1530"/>
      <c r="X426" s="1530"/>
      <c r="Y426" s="1530"/>
      <c r="Z426" s="1530"/>
      <c r="AA426" s="1530"/>
      <c r="AB426" s="1530"/>
      <c r="AC426" s="1530"/>
      <c r="AD426" s="1530"/>
      <c r="AE426" s="1530"/>
      <c r="AF426" s="1531"/>
      <c r="AG426" s="1569">
        <v>80</v>
      </c>
      <c r="AH426" s="1569"/>
      <c r="AI426" s="1569"/>
      <c r="AJ426" s="1569"/>
    </row>
    <row r="427" spans="1:96" ht="12.75" customHeight="1">
      <c r="D427" s="1529" t="s">
        <v>1243</v>
      </c>
      <c r="E427" s="1530"/>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1"/>
      <c r="AG427" s="1569">
        <v>80</v>
      </c>
      <c r="AH427" s="1569"/>
      <c r="AI427" s="1569"/>
      <c r="AJ427" s="1569"/>
    </row>
    <row r="428" spans="1:96" ht="12.75" customHeight="1">
      <c r="D428" s="1529" t="s">
        <v>1245</v>
      </c>
      <c r="E428" s="1530"/>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1"/>
      <c r="AG428" s="1571">
        <f>IF(ISERROR(AG427/AG426),"",AG427/AG426)</f>
        <v>1</v>
      </c>
      <c r="AH428" s="1571"/>
      <c r="AI428" s="1571"/>
      <c r="AJ428" s="1571"/>
    </row>
    <row r="429" spans="1:96" ht="12.75" customHeight="1">
      <c r="D429" s="1529" t="s">
        <v>1244</v>
      </c>
      <c r="E429" s="1530"/>
      <c r="F429" s="1530"/>
      <c r="G429" s="1530"/>
      <c r="H429" s="1530"/>
      <c r="I429" s="1530"/>
      <c r="J429" s="1530"/>
      <c r="K429" s="1530"/>
      <c r="L429" s="1530"/>
      <c r="M429" s="1530"/>
      <c r="N429" s="1530"/>
      <c r="O429" s="1530"/>
      <c r="P429" s="1530"/>
      <c r="Q429" s="1530"/>
      <c r="R429" s="1530"/>
      <c r="S429" s="1530"/>
      <c r="T429" s="1530"/>
      <c r="U429" s="1530"/>
      <c r="V429" s="1530"/>
      <c r="W429" s="1530"/>
      <c r="X429" s="1530"/>
      <c r="Y429" s="1530"/>
      <c r="Z429" s="1530"/>
      <c r="AA429" s="1530"/>
      <c r="AB429" s="1530"/>
      <c r="AC429" s="1530"/>
      <c r="AD429" s="1530"/>
      <c r="AE429" s="1530"/>
      <c r="AF429" s="1531"/>
      <c r="AG429" s="1447">
        <f>(8*1003)+(56*1187)+(16*1337)</f>
        <v>95888</v>
      </c>
      <c r="AH429" s="1447"/>
      <c r="AI429" s="1447"/>
      <c r="AJ429" s="1447"/>
    </row>
    <row r="430" spans="1:96" ht="12.75" customHeight="1">
      <c r="D430" s="1529" t="s">
        <v>1246</v>
      </c>
      <c r="E430" s="1530"/>
      <c r="F430" s="1530"/>
      <c r="G430" s="1530"/>
      <c r="H430" s="1530"/>
      <c r="I430" s="1530"/>
      <c r="J430" s="1530"/>
      <c r="K430" s="1530"/>
      <c r="L430" s="1530"/>
      <c r="M430" s="1530"/>
      <c r="N430" s="1530"/>
      <c r="O430" s="1530"/>
      <c r="P430" s="1530"/>
      <c r="Q430" s="1530"/>
      <c r="R430" s="1530"/>
      <c r="S430" s="1530"/>
      <c r="T430" s="1530"/>
      <c r="U430" s="1530"/>
      <c r="V430" s="1530"/>
      <c r="W430" s="1530"/>
      <c r="X430" s="1530"/>
      <c r="Y430" s="1530"/>
      <c r="Z430" s="1530"/>
      <c r="AA430" s="1530"/>
      <c r="AB430" s="1530"/>
      <c r="AC430" s="1530"/>
      <c r="AD430" s="1530"/>
      <c r="AE430" s="1530"/>
      <c r="AF430" s="1531"/>
      <c r="AG430" s="1447">
        <v>95888</v>
      </c>
      <c r="AH430" s="1447"/>
      <c r="AI430" s="1447"/>
      <c r="AJ430" s="1447"/>
    </row>
    <row r="431" spans="1:96" ht="12.75" customHeight="1">
      <c r="D431" s="1529" t="s">
        <v>1247</v>
      </c>
      <c r="E431" s="1530"/>
      <c r="F431" s="1530"/>
      <c r="G431" s="1530"/>
      <c r="H431" s="1530"/>
      <c r="I431" s="1530"/>
      <c r="J431" s="1530"/>
      <c r="K431" s="1530"/>
      <c r="L431" s="1530"/>
      <c r="M431" s="1530"/>
      <c r="N431" s="1530"/>
      <c r="O431" s="1530"/>
      <c r="P431" s="1530"/>
      <c r="Q431" s="1530"/>
      <c r="R431" s="1530"/>
      <c r="S431" s="1530"/>
      <c r="T431" s="1530"/>
      <c r="U431" s="1530"/>
      <c r="V431" s="1530"/>
      <c r="W431" s="1530"/>
      <c r="X431" s="1530"/>
      <c r="Y431" s="1530"/>
      <c r="Z431" s="1530"/>
      <c r="AA431" s="1530"/>
      <c r="AB431" s="1530"/>
      <c r="AC431" s="1530"/>
      <c r="AD431" s="1530"/>
      <c r="AE431" s="1530"/>
      <c r="AF431" s="1531"/>
      <c r="AG431" s="1571">
        <f>IF(ISERROR(AG430/AG429),"",AG430/AG429)</f>
        <v>1</v>
      </c>
      <c r="AH431" s="1571"/>
      <c r="AI431" s="1571"/>
      <c r="AJ431" s="1571"/>
    </row>
    <row r="432" spans="1:96" ht="12.75" customHeight="1">
      <c r="D432" s="1529" t="s">
        <v>1248</v>
      </c>
      <c r="E432" s="1530"/>
      <c r="F432" s="1530"/>
      <c r="G432" s="1530"/>
      <c r="H432" s="1530"/>
      <c r="I432" s="1530"/>
      <c r="J432" s="1530"/>
      <c r="K432" s="1530"/>
      <c r="L432" s="1530"/>
      <c r="M432" s="1530"/>
      <c r="N432" s="1530"/>
      <c r="O432" s="1530"/>
      <c r="P432" s="1530"/>
      <c r="Q432" s="1530"/>
      <c r="R432" s="1530"/>
      <c r="S432" s="1530"/>
      <c r="T432" s="1530"/>
      <c r="U432" s="1530"/>
      <c r="V432" s="1530"/>
      <c r="W432" s="1530"/>
      <c r="X432" s="1530"/>
      <c r="Y432" s="1530"/>
      <c r="Z432" s="1530"/>
      <c r="AA432" s="1530"/>
      <c r="AB432" s="1530"/>
      <c r="AC432" s="1530"/>
      <c r="AD432" s="1530"/>
      <c r="AE432" s="1530"/>
      <c r="AF432" s="1531"/>
      <c r="AG432" s="1571">
        <f>MIN(IF(AG428&gt;AG431,AG431,AG428),1)</f>
        <v>1</v>
      </c>
      <c r="AH432" s="1571"/>
      <c r="AI432" s="1571"/>
      <c r="AJ432" s="1571"/>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4" customHeight="1">
      <c r="D433" s="1529" t="s">
        <v>1552</v>
      </c>
      <c r="E433" s="1182"/>
      <c r="F433" s="1182"/>
      <c r="G433" s="1182"/>
      <c r="H433" s="1182"/>
      <c r="I433" s="1182"/>
      <c r="J433" s="1182"/>
      <c r="K433" s="1182"/>
      <c r="L433" s="1182"/>
      <c r="M433" s="1182"/>
      <c r="N433" s="1182"/>
      <c r="O433" s="1182"/>
      <c r="P433" s="1182"/>
      <c r="Q433" s="1182"/>
      <c r="R433" s="1182"/>
      <c r="S433" s="1182"/>
      <c r="T433" s="1182"/>
      <c r="U433" s="1182"/>
      <c r="V433" s="1182"/>
      <c r="W433" s="1182"/>
      <c r="X433" s="1182"/>
      <c r="Y433" s="1182"/>
      <c r="Z433" s="1182"/>
      <c r="AA433" s="1182"/>
      <c r="AB433" s="1182"/>
      <c r="AC433" s="1182"/>
      <c r="AD433" s="1182"/>
      <c r="AE433" s="1182"/>
      <c r="AF433" s="1532"/>
      <c r="AG433" s="1447">
        <v>0</v>
      </c>
      <c r="AH433" s="1447"/>
      <c r="AI433" s="1447"/>
      <c r="AJ433" s="1447"/>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4" customHeight="1">
      <c r="D434" s="1181" t="s">
        <v>648</v>
      </c>
      <c r="E434" s="1182"/>
      <c r="F434" s="1182"/>
      <c r="G434" s="1182"/>
      <c r="H434" s="1182"/>
      <c r="I434" s="1182"/>
      <c r="J434" s="1182"/>
      <c r="K434" s="1182"/>
      <c r="L434" s="1182"/>
      <c r="M434" s="1182"/>
      <c r="N434" s="1182"/>
      <c r="O434" s="1182"/>
      <c r="P434" s="1182"/>
      <c r="Q434" s="1182"/>
      <c r="R434" s="1182"/>
      <c r="S434" s="1182"/>
      <c r="T434" s="1182"/>
      <c r="U434" s="1182"/>
      <c r="V434" s="1182"/>
      <c r="W434" s="1182"/>
      <c r="X434" s="1182"/>
      <c r="Y434" s="1182"/>
      <c r="Z434" s="1182"/>
      <c r="AA434" s="1182"/>
      <c r="AB434" s="1182"/>
      <c r="AC434" s="1182"/>
      <c r="AD434" s="1182"/>
      <c r="AE434" s="1182"/>
      <c r="AF434" s="1532"/>
      <c r="AG434" s="1447">
        <v>0</v>
      </c>
      <c r="AH434" s="1447"/>
      <c r="AI434" s="1447"/>
      <c r="AJ434" s="1447"/>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2.75">
      <c r="D435" s="1529" t="s">
        <v>1553</v>
      </c>
      <c r="E435" s="1182"/>
      <c r="F435" s="1182"/>
      <c r="G435" s="1182"/>
      <c r="H435" s="1182"/>
      <c r="I435" s="1182"/>
      <c r="J435" s="1182"/>
      <c r="K435" s="1182"/>
      <c r="L435" s="1182"/>
      <c r="M435" s="1182"/>
      <c r="N435" s="1182"/>
      <c r="O435" s="1182"/>
      <c r="P435" s="1182"/>
      <c r="Q435" s="1182"/>
      <c r="R435" s="1182"/>
      <c r="S435" s="1182"/>
      <c r="T435" s="1182"/>
      <c r="U435" s="1182"/>
      <c r="V435" s="1182"/>
      <c r="W435" s="1182"/>
      <c r="X435" s="1182"/>
      <c r="Y435" s="1182"/>
      <c r="Z435" s="1182"/>
      <c r="AA435" s="1182"/>
      <c r="AB435" s="1182"/>
      <c r="AC435" s="1182"/>
      <c r="AD435" s="1182"/>
      <c r="AE435" s="1182"/>
      <c r="AF435" s="1532"/>
      <c r="AG435" s="1447">
        <v>1003</v>
      </c>
      <c r="AH435" s="1447"/>
      <c r="AI435" s="1447"/>
      <c r="AJ435" s="1447"/>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2.75">
      <c r="D436" s="1529" t="s">
        <v>1249</v>
      </c>
      <c r="E436" s="1182"/>
      <c r="F436" s="1182"/>
      <c r="G436" s="1182"/>
      <c r="H436" s="1182"/>
      <c r="I436" s="1182"/>
      <c r="J436" s="1182"/>
      <c r="K436" s="1182"/>
      <c r="L436" s="1182"/>
      <c r="M436" s="1182"/>
      <c r="N436" s="1182"/>
      <c r="O436" s="1182"/>
      <c r="P436" s="1182"/>
      <c r="Q436" s="1182"/>
      <c r="R436" s="1182"/>
      <c r="S436" s="1182"/>
      <c r="T436" s="1182"/>
      <c r="U436" s="1182"/>
      <c r="V436" s="1182"/>
      <c r="W436" s="1182"/>
      <c r="X436" s="1182"/>
      <c r="Y436" s="1182"/>
      <c r="Z436" s="1182"/>
      <c r="AA436" s="1182"/>
      <c r="AB436" s="1182"/>
      <c r="AC436" s="1182"/>
      <c r="AD436" s="1182"/>
      <c r="AE436" s="1182"/>
      <c r="AF436" s="1532"/>
      <c r="AG436" s="1447">
        <v>0</v>
      </c>
      <c r="AH436" s="1447"/>
      <c r="AI436" s="1447"/>
      <c r="AJ436" s="1447"/>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2.75">
      <c r="D437" s="1577" t="s">
        <v>1250</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579"/>
      <c r="AG437" s="1570">
        <f>AG429+AG433+AG435+AG436</f>
        <v>96891</v>
      </c>
      <c r="AH437" s="1570"/>
      <c r="AI437" s="1570"/>
      <c r="AJ437" s="1570"/>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2.75">
      <c r="D438" s="1580" t="s">
        <v>1554</v>
      </c>
      <c r="E438" s="1580"/>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1580"/>
      <c r="AG438" s="1580"/>
      <c r="AH438" s="1580"/>
      <c r="AI438" s="1580"/>
      <c r="AJ438" s="1580"/>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2.75">
      <c r="D439" s="1581"/>
      <c r="E439" s="158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1581"/>
      <c r="AG439" s="1581"/>
      <c r="AH439" s="1581"/>
      <c r="AI439" s="1581"/>
      <c r="AJ439" s="1581"/>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2.75">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2.75">
      <c r="D441" s="365" t="s">
        <v>932</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45">
        <f>'Sources and Uses Budget'!B105/Application!AG424</f>
        <v>198503.19194713386</v>
      </c>
      <c r="AD441" s="1145"/>
      <c r="AE441" s="1145"/>
      <c r="AF441" s="1145"/>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2.75">
      <c r="D442" s="365" t="s">
        <v>933</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45">
        <f>'Sources and Uses Budget'!C105/Application!AG424</f>
        <v>198503.19194713386</v>
      </c>
      <c r="AD442" s="1145"/>
      <c r="AE442" s="1145"/>
      <c r="AF442" s="1145"/>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2.75">
      <c r="D443" s="365" t="s">
        <v>985</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45">
        <f>('Sources and Uses Budget'!$S$107+'Sources and Uses Budget'!$T$107)/Application!AG424</f>
        <v>174703.06172839506</v>
      </c>
      <c r="AD443" s="1145"/>
      <c r="AE443" s="1145"/>
      <c r="AF443" s="1145"/>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2.75">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6"/>
      <c r="AD444" s="313">
        <f>'Basis &amp; Credits'!$AD$11</f>
        <v>7623115</v>
      </c>
      <c r="AE444" s="313">
        <f>'Basis &amp; Credits'!$AD$11</f>
        <v>7623115</v>
      </c>
      <c r="AF444" s="313">
        <f>'Basis &amp; Credits'!$AD$11</f>
        <v>7623115</v>
      </c>
      <c r="AG444" s="313">
        <f>'Basis &amp; Credits'!$AD$11</f>
        <v>7623115</v>
      </c>
      <c r="AH444" s="313">
        <f>'Basis &amp; Credits'!$AD$11</f>
        <v>7623115</v>
      </c>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2.75">
      <c r="A445" s="54" t="s">
        <v>694</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2.75">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2.75">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2.75">
      <c r="D448" s="320" t="s">
        <v>779</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2.75">
      <c r="D449" s="320" t="s">
        <v>780</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2.75">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2.75">
      <c r="A451" s="196"/>
      <c r="B451" s="196"/>
      <c r="C451" s="196"/>
      <c r="D451" s="322" t="s">
        <v>781</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2.75">
      <c r="A452" s="196"/>
      <c r="B452" s="196"/>
      <c r="C452" s="196"/>
      <c r="D452" s="1448" t="s">
        <v>782</v>
      </c>
      <c r="E452" s="1449"/>
      <c r="F452" s="1449"/>
      <c r="G452" s="1449"/>
      <c r="H452" s="1449"/>
      <c r="I452" s="1449"/>
      <c r="J452" s="1449"/>
      <c r="K452" s="1449"/>
      <c r="L452" s="1449"/>
      <c r="M452" s="1449"/>
      <c r="N452" s="1449"/>
      <c r="O452" s="1449"/>
      <c r="P452" s="1449"/>
      <c r="Q452" s="1449"/>
      <c r="R452" s="1449"/>
      <c r="S452" s="1449"/>
      <c r="T452" s="1449"/>
      <c r="U452" s="1449"/>
      <c r="V452" s="1450"/>
      <c r="W452" s="1268" t="s">
        <v>672</v>
      </c>
      <c r="X452" s="1269"/>
      <c r="Y452" s="1270"/>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448" t="s">
        <v>783</v>
      </c>
      <c r="E453" s="1449"/>
      <c r="F453" s="1449"/>
      <c r="G453" s="1449"/>
      <c r="H453" s="1449"/>
      <c r="I453" s="1449"/>
      <c r="J453" s="1449"/>
      <c r="K453" s="1449"/>
      <c r="L453" s="1449"/>
      <c r="M453" s="1449"/>
      <c r="N453" s="1449"/>
      <c r="O453" s="1449"/>
      <c r="P453" s="1449"/>
      <c r="Q453" s="1449"/>
      <c r="R453" s="1449"/>
      <c r="S453" s="1449"/>
      <c r="T453" s="1449"/>
      <c r="U453" s="1449"/>
      <c r="V453" s="1450"/>
      <c r="W453" s="1268" t="s">
        <v>672</v>
      </c>
      <c r="X453" s="1269"/>
      <c r="Y453" s="1270"/>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448" t="s">
        <v>784</v>
      </c>
      <c r="E454" s="1449"/>
      <c r="F454" s="1449"/>
      <c r="G454" s="1449"/>
      <c r="H454" s="1449"/>
      <c r="I454" s="1449"/>
      <c r="J454" s="1449"/>
      <c r="K454" s="1449"/>
      <c r="L454" s="1449"/>
      <c r="M454" s="1449"/>
      <c r="N454" s="1449"/>
      <c r="O454" s="1449"/>
      <c r="P454" s="1449"/>
      <c r="Q454" s="1449"/>
      <c r="R454" s="1449"/>
      <c r="S454" s="1449"/>
      <c r="T454" s="1449"/>
      <c r="U454" s="1449"/>
      <c r="V454" s="1450"/>
      <c r="W454" s="1268" t="s">
        <v>672</v>
      </c>
      <c r="X454" s="1269"/>
      <c r="Y454" s="1270"/>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2.75">
      <c r="A455" s="196"/>
      <c r="B455" s="196"/>
      <c r="C455" s="196"/>
      <c r="D455" s="1448" t="s">
        <v>785</v>
      </c>
      <c r="E455" s="1449"/>
      <c r="F455" s="1449"/>
      <c r="G455" s="1449"/>
      <c r="H455" s="1449"/>
      <c r="I455" s="1449"/>
      <c r="J455" s="1449"/>
      <c r="K455" s="1449"/>
      <c r="L455" s="1449"/>
      <c r="M455" s="1449"/>
      <c r="N455" s="1449"/>
      <c r="O455" s="1449"/>
      <c r="P455" s="1449"/>
      <c r="Q455" s="1449"/>
      <c r="R455" s="1449"/>
      <c r="S455" s="1449"/>
      <c r="T455" s="1449"/>
      <c r="U455" s="1449"/>
      <c r="V455" s="1450"/>
      <c r="W455" s="1268" t="s">
        <v>672</v>
      </c>
      <c r="X455" s="1269"/>
      <c r="Y455" s="1270"/>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2.75">
      <c r="A456" s="196"/>
      <c r="B456" s="196"/>
      <c r="C456" s="196"/>
      <c r="D456" s="1448" t="s">
        <v>1009</v>
      </c>
      <c r="E456" s="1449"/>
      <c r="F456" s="1449"/>
      <c r="G456" s="1449"/>
      <c r="H456" s="1449"/>
      <c r="I456" s="1449"/>
      <c r="J456" s="1449"/>
      <c r="K456" s="1449"/>
      <c r="L456" s="1449"/>
      <c r="M456" s="1449"/>
      <c r="N456" s="1449"/>
      <c r="O456" s="1449"/>
      <c r="P456" s="1449"/>
      <c r="Q456" s="1449"/>
      <c r="R456" s="1449"/>
      <c r="S456" s="1449"/>
      <c r="T456" s="1449"/>
      <c r="U456" s="1449"/>
      <c r="V456" s="1450"/>
      <c r="W456" s="1268" t="s">
        <v>672</v>
      </c>
      <c r="X456" s="1269"/>
      <c r="Y456" s="1270"/>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2.75">
      <c r="A457" s="196"/>
      <c r="B457" s="196"/>
      <c r="C457" s="196"/>
      <c r="D457" s="1448" t="s">
        <v>786</v>
      </c>
      <c r="E457" s="1449"/>
      <c r="F457" s="1449"/>
      <c r="G457" s="1449"/>
      <c r="H457" s="1449"/>
      <c r="I457" s="1449"/>
      <c r="J457" s="1449"/>
      <c r="K457" s="1449"/>
      <c r="L457" s="1449"/>
      <c r="M457" s="1449"/>
      <c r="N457" s="1449"/>
      <c r="O457" s="1449"/>
      <c r="P457" s="1449"/>
      <c r="Q457" s="1449"/>
      <c r="R457" s="1449"/>
      <c r="S457" s="1449"/>
      <c r="T457" s="1449"/>
      <c r="U457" s="1449"/>
      <c r="V457" s="1450"/>
      <c r="W457" s="1268" t="s">
        <v>672</v>
      </c>
      <c r="X457" s="1269"/>
      <c r="Y457" s="1270"/>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2.75">
      <c r="A458" s="196"/>
      <c r="B458" s="196"/>
      <c r="C458" s="196"/>
      <c r="D458" s="1448" t="s">
        <v>1208</v>
      </c>
      <c r="E458" s="1449"/>
      <c r="F458" s="1449"/>
      <c r="G458" s="1449"/>
      <c r="H458" s="1449"/>
      <c r="I458" s="1449"/>
      <c r="J458" s="1449"/>
      <c r="K458" s="1449"/>
      <c r="L458" s="1449"/>
      <c r="M458" s="1449"/>
      <c r="N458" s="1449"/>
      <c r="O458" s="1449"/>
      <c r="P458" s="1449"/>
      <c r="Q458" s="1449"/>
      <c r="R458" s="1449"/>
      <c r="S458" s="1449"/>
      <c r="T458" s="1449"/>
      <c r="U458" s="1449"/>
      <c r="V458" s="1450"/>
      <c r="W458" s="1268" t="s">
        <v>672</v>
      </c>
      <c r="X458" s="1269"/>
      <c r="Y458" s="1270"/>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2.75">
      <c r="A459" s="196"/>
      <c r="B459" s="196"/>
      <c r="C459" s="196"/>
      <c r="D459" s="431" t="s">
        <v>181</v>
      </c>
      <c r="E459" s="432"/>
      <c r="F459" s="433"/>
      <c r="G459" s="1566"/>
      <c r="H459" s="1567"/>
      <c r="I459" s="1567"/>
      <c r="J459" s="1567"/>
      <c r="K459" s="1567"/>
      <c r="L459" s="1567"/>
      <c r="M459" s="1567"/>
      <c r="N459" s="1567"/>
      <c r="O459" s="1567"/>
      <c r="P459" s="1567"/>
      <c r="Q459" s="1567"/>
      <c r="R459" s="1567"/>
      <c r="S459" s="1567"/>
      <c r="T459" s="1567"/>
      <c r="U459" s="1567"/>
      <c r="V459" s="1568"/>
      <c r="W459" s="1268" t="s">
        <v>672</v>
      </c>
      <c r="X459" s="1269"/>
      <c r="Y459" s="1270"/>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2.75">
      <c r="A460" s="196"/>
      <c r="B460" s="196"/>
      <c r="C460" s="196"/>
      <c r="D460" s="434" t="s">
        <v>1010</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2.75">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2.75">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2.75">
      <c r="A463" s="196"/>
      <c r="B463" s="196"/>
      <c r="C463" s="196"/>
      <c r="D463" s="1452" t="s">
        <v>787</v>
      </c>
      <c r="E463" s="1453"/>
      <c r="F463" s="1453"/>
      <c r="G463" s="1453"/>
      <c r="H463" s="1453"/>
      <c r="I463" s="1453"/>
      <c r="J463" s="1453"/>
      <c r="K463" s="1453"/>
      <c r="L463" s="1453"/>
      <c r="M463" s="1453"/>
      <c r="N463" s="1453"/>
      <c r="O463" s="1453"/>
      <c r="P463" s="1453"/>
      <c r="Q463" s="1453"/>
      <c r="R463" s="1453"/>
      <c r="S463" s="1453"/>
      <c r="T463" s="1453"/>
      <c r="U463" s="1453"/>
      <c r="V463" s="1453"/>
      <c r="W463" s="1564"/>
      <c r="X463" s="1564"/>
      <c r="Y463" s="1565"/>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2.75">
      <c r="A464" s="196"/>
      <c r="B464" s="196"/>
      <c r="C464" s="196"/>
      <c r="D464" s="1448" t="s">
        <v>788</v>
      </c>
      <c r="E464" s="1449"/>
      <c r="F464" s="1449"/>
      <c r="G464" s="1449"/>
      <c r="H464" s="1449"/>
      <c r="I464" s="1449"/>
      <c r="J464" s="1449"/>
      <c r="K464" s="1449"/>
      <c r="L464" s="1449"/>
      <c r="M464" s="1449"/>
      <c r="N464" s="1449"/>
      <c r="O464" s="1449"/>
      <c r="P464" s="1449"/>
      <c r="Q464" s="1449"/>
      <c r="R464" s="1449"/>
      <c r="S464" s="1449"/>
      <c r="T464" s="1449"/>
      <c r="U464" s="1449"/>
      <c r="V464" s="1450"/>
      <c r="W464" s="1455" t="s">
        <v>672</v>
      </c>
      <c r="X464" s="1269"/>
      <c r="Y464" s="1270"/>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2.75">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2.75">
      <c r="A466" s="1264" t="s">
        <v>926</v>
      </c>
      <c r="B466" s="1264"/>
      <c r="C466" s="1264"/>
      <c r="D466" s="1264"/>
      <c r="E466" s="1264"/>
      <c r="F466" s="1264"/>
      <c r="G466" s="1264"/>
      <c r="H466" s="1264"/>
      <c r="I466" s="1264"/>
      <c r="J466" s="1264"/>
      <c r="K466" s="1264"/>
      <c r="L466" s="1264"/>
      <c r="M466" s="1264"/>
      <c r="N466" s="1264"/>
      <c r="O466" s="1264"/>
      <c r="P466" s="1264"/>
      <c r="Q466" s="1264"/>
      <c r="R466" s="1264"/>
      <c r="S466" s="1264"/>
      <c r="T466" s="1264"/>
      <c r="U466" s="1264"/>
      <c r="V466" s="1264"/>
      <c r="W466" s="1264"/>
      <c r="X466" s="1264"/>
      <c r="Y466" s="1264"/>
      <c r="Z466" s="1264"/>
      <c r="AA466" s="1264"/>
      <c r="AB466" s="1264"/>
      <c r="AC466" s="1264"/>
      <c r="AD466" s="1264"/>
      <c r="AE466" s="1264"/>
      <c r="AF466" s="1264"/>
      <c r="AG466" s="1264"/>
      <c r="AH466" s="1264"/>
      <c r="AI466" s="1264"/>
      <c r="AJ466" s="1264"/>
      <c r="AK466" s="1264"/>
      <c r="AL466" s="1264"/>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5" thickBot="1">
      <c r="A467" s="1265"/>
      <c r="B467" s="1265"/>
      <c r="C467" s="1265"/>
      <c r="D467" s="1265"/>
      <c r="E467" s="1265"/>
      <c r="F467" s="1265"/>
      <c r="G467" s="1265"/>
      <c r="H467" s="1265"/>
      <c r="I467" s="1265"/>
      <c r="J467" s="1265"/>
      <c r="K467" s="1265"/>
      <c r="L467" s="1265"/>
      <c r="M467" s="1265"/>
      <c r="N467" s="1265"/>
      <c r="O467" s="1265"/>
      <c r="P467" s="1265"/>
      <c r="Q467" s="1265"/>
      <c r="R467" s="1265"/>
      <c r="S467" s="1265"/>
      <c r="T467" s="1265"/>
      <c r="U467" s="1265"/>
      <c r="V467" s="1265"/>
      <c r="W467" s="1265"/>
      <c r="X467" s="1265"/>
      <c r="Y467" s="1265"/>
      <c r="Z467" s="1265"/>
      <c r="AA467" s="1265"/>
      <c r="AB467" s="1265"/>
      <c r="AC467" s="1265"/>
      <c r="AD467" s="1265"/>
      <c r="AE467" s="1265"/>
      <c r="AF467" s="1265"/>
      <c r="AG467" s="1265"/>
      <c r="AH467" s="1265"/>
      <c r="AI467" s="1265"/>
      <c r="AJ467" s="1265"/>
      <c r="AK467" s="1265"/>
      <c r="AL467" s="1265"/>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5"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2.75">
      <c r="A469" s="54" t="s">
        <v>345</v>
      </c>
      <c r="C469" s="54" t="s">
        <v>924</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2.75">
      <c r="B470" s="54"/>
      <c r="C470" s="54"/>
      <c r="D470" s="54"/>
      <c r="AM470" s="62"/>
      <c r="AN470" s="62" t="str">
        <f>AG574</f>
        <v>Yes</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2.75">
      <c r="A471" s="43"/>
      <c r="B471" s="554"/>
      <c r="C471" s="554"/>
      <c r="D471" s="554"/>
      <c r="E471" s="957"/>
      <c r="F471" s="958"/>
      <c r="G471" s="958"/>
      <c r="H471" s="958"/>
      <c r="I471" s="958"/>
      <c r="J471" s="958"/>
      <c r="K471" s="958"/>
      <c r="L471" s="958"/>
      <c r="M471" s="958"/>
      <c r="N471" s="958"/>
      <c r="O471" s="958"/>
      <c r="P471" s="958"/>
      <c r="Q471" s="958"/>
      <c r="R471" s="958"/>
      <c r="S471" s="959"/>
      <c r="T471" s="1460" t="s">
        <v>927</v>
      </c>
      <c r="U471" s="1461"/>
      <c r="V471" s="1461"/>
      <c r="W471" s="1461"/>
      <c r="X471" s="1461"/>
      <c r="Y471" s="1461"/>
      <c r="Z471" s="1461"/>
      <c r="AA471" s="1461"/>
      <c r="AB471" s="1461"/>
      <c r="AC471" s="1461"/>
      <c r="AD471" s="1461"/>
      <c r="AE471" s="1461"/>
      <c r="AF471" s="1461"/>
      <c r="AG471" s="1461"/>
      <c r="AH471" s="1496"/>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3" customFormat="1" ht="12.75">
      <c r="A472" s="43"/>
      <c r="B472" s="43"/>
      <c r="C472" s="43"/>
      <c r="D472" s="43"/>
      <c r="E472" s="960"/>
      <c r="F472" s="753"/>
      <c r="G472" s="753"/>
      <c r="H472" s="753"/>
      <c r="I472" s="753"/>
      <c r="J472" s="753"/>
      <c r="K472" s="753"/>
      <c r="L472" s="753"/>
      <c r="M472" s="753"/>
      <c r="N472" s="753"/>
      <c r="O472" s="753"/>
      <c r="P472" s="753"/>
      <c r="Q472" s="753"/>
      <c r="R472" s="753"/>
      <c r="S472" s="961"/>
      <c r="T472" s="1454" t="s">
        <v>39</v>
      </c>
      <c r="U472" s="1454"/>
      <c r="V472" s="1454"/>
      <c r="W472" s="1454"/>
      <c r="X472" s="1454"/>
      <c r="Y472" s="1454" t="s">
        <v>40</v>
      </c>
      <c r="Z472" s="1454"/>
      <c r="AA472" s="1454"/>
      <c r="AB472" s="1454"/>
      <c r="AC472" s="1454"/>
      <c r="AD472" s="1454" t="s">
        <v>367</v>
      </c>
      <c r="AE472" s="1454"/>
      <c r="AF472" s="1454"/>
      <c r="AG472" s="1454"/>
      <c r="AH472" s="1454"/>
      <c r="AI472" s="43"/>
      <c r="AJ472" s="43"/>
      <c r="AK472" s="43"/>
      <c r="AL472" s="43"/>
      <c r="AM472" s="954"/>
      <c r="AN472" s="954"/>
      <c r="AO472" s="954"/>
      <c r="AP472" s="954"/>
      <c r="AQ472" s="954"/>
      <c r="AR472" s="954"/>
      <c r="AS472" s="954"/>
      <c r="AT472" s="954"/>
      <c r="AU472" s="954"/>
      <c r="AV472" s="954"/>
      <c r="AW472" s="954"/>
      <c r="AX472" s="954"/>
      <c r="AY472" s="954"/>
      <c r="AZ472" s="954"/>
      <c r="BA472" s="954"/>
      <c r="BB472" s="954"/>
      <c r="BC472" s="954"/>
      <c r="BD472" s="954"/>
      <c r="BE472" s="954"/>
      <c r="BF472" s="954"/>
      <c r="BG472" s="954"/>
      <c r="BH472" s="954"/>
      <c r="BI472" s="954"/>
      <c r="BJ472" s="954"/>
      <c r="BK472" s="954"/>
      <c r="BL472" s="954"/>
      <c r="BM472" s="954"/>
      <c r="BN472" s="954"/>
      <c r="BO472" s="954"/>
      <c r="BP472" s="954"/>
      <c r="BQ472" s="954"/>
      <c r="BR472" s="954"/>
      <c r="BS472" s="954"/>
      <c r="BT472" s="954"/>
      <c r="BU472" s="954"/>
      <c r="BV472" s="954"/>
      <c r="BW472" s="954"/>
      <c r="BX472" s="954"/>
      <c r="BY472" s="954"/>
      <c r="BZ472" s="954"/>
      <c r="CA472" s="954"/>
      <c r="CB472" s="954"/>
      <c r="CC472" s="954"/>
      <c r="CD472" s="954"/>
      <c r="CE472" s="954"/>
      <c r="CF472" s="954"/>
      <c r="CG472" s="954"/>
      <c r="CH472" s="954"/>
      <c r="CI472" s="954"/>
      <c r="CJ472" s="954"/>
      <c r="CK472" s="954"/>
      <c r="CL472" s="954"/>
      <c r="CM472" s="954"/>
      <c r="CN472" s="954"/>
      <c r="CO472" s="954"/>
      <c r="CP472" s="954"/>
      <c r="CQ472" s="954"/>
      <c r="CR472" s="954"/>
    </row>
    <row r="473" spans="1:96" s="953" customFormat="1" ht="12.75">
      <c r="A473" s="43"/>
      <c r="B473" s="43"/>
      <c r="C473" s="43"/>
      <c r="D473" s="43"/>
      <c r="E473" s="962"/>
      <c r="F473" s="963"/>
      <c r="G473" s="963"/>
      <c r="H473" s="963"/>
      <c r="I473" s="963"/>
      <c r="J473" s="963"/>
      <c r="K473" s="963"/>
      <c r="L473" s="963"/>
      <c r="M473" s="963"/>
      <c r="N473" s="963"/>
      <c r="O473" s="963"/>
      <c r="P473" s="963"/>
      <c r="Q473" s="963"/>
      <c r="R473" s="963"/>
      <c r="S473" s="964"/>
      <c r="T473" s="1454"/>
      <c r="U473" s="1454"/>
      <c r="V473" s="1454"/>
      <c r="W473" s="1454"/>
      <c r="X473" s="1454"/>
      <c r="Y473" s="1454"/>
      <c r="Z473" s="1454"/>
      <c r="AA473" s="1454"/>
      <c r="AB473" s="1454"/>
      <c r="AC473" s="1454"/>
      <c r="AD473" s="1454"/>
      <c r="AE473" s="1454"/>
      <c r="AF473" s="1454"/>
      <c r="AG473" s="1454"/>
      <c r="AH473" s="1454"/>
      <c r="AI473" s="43"/>
      <c r="AJ473" s="43"/>
      <c r="AK473" s="43"/>
      <c r="AL473" s="43"/>
      <c r="AM473" s="954"/>
      <c r="AN473" s="954"/>
      <c r="AO473" s="954"/>
      <c r="AP473" s="954"/>
      <c r="AQ473" s="954"/>
      <c r="AR473" s="954"/>
      <c r="AS473" s="954"/>
      <c r="AT473" s="954"/>
      <c r="AU473" s="954"/>
      <c r="AV473" s="954"/>
      <c r="AW473" s="954"/>
      <c r="AX473" s="954"/>
      <c r="AY473" s="954"/>
      <c r="AZ473" s="954"/>
      <c r="BA473" s="954"/>
      <c r="BB473" s="954"/>
      <c r="BC473" s="954"/>
      <c r="BD473" s="954"/>
      <c r="BE473" s="954"/>
      <c r="BF473" s="954"/>
      <c r="BG473" s="954"/>
      <c r="BH473" s="954"/>
      <c r="BI473" s="954"/>
      <c r="BJ473" s="954"/>
      <c r="BK473" s="954"/>
      <c r="BL473" s="954"/>
      <c r="BM473" s="954"/>
      <c r="BN473" s="954"/>
      <c r="BO473" s="954"/>
      <c r="BP473" s="954"/>
      <c r="BQ473" s="954"/>
      <c r="BR473" s="954"/>
      <c r="BS473" s="954"/>
      <c r="BT473" s="954"/>
      <c r="BU473" s="954"/>
      <c r="BV473" s="954"/>
      <c r="BW473" s="954"/>
      <c r="BX473" s="954"/>
      <c r="BY473" s="954"/>
      <c r="BZ473" s="954"/>
      <c r="CA473" s="954"/>
      <c r="CB473" s="954"/>
      <c r="CC473" s="954"/>
      <c r="CD473" s="954"/>
      <c r="CE473" s="954"/>
      <c r="CF473" s="954"/>
      <c r="CG473" s="954"/>
      <c r="CH473" s="954"/>
      <c r="CI473" s="954"/>
      <c r="CJ473" s="954"/>
      <c r="CK473" s="954"/>
      <c r="CL473" s="954"/>
      <c r="CM473" s="954"/>
      <c r="CN473" s="954"/>
      <c r="CO473" s="954"/>
      <c r="CP473" s="954"/>
      <c r="CQ473" s="954"/>
      <c r="CR473" s="954"/>
    </row>
    <row r="474" spans="1:96" ht="12.75">
      <c r="E474" s="80" t="s">
        <v>409</v>
      </c>
      <c r="F474" s="81"/>
      <c r="G474" s="81"/>
      <c r="H474" s="81"/>
      <c r="I474" s="81"/>
      <c r="J474" s="81"/>
      <c r="K474" s="81"/>
      <c r="L474" s="81"/>
      <c r="M474" s="81"/>
      <c r="N474" s="81"/>
      <c r="O474" s="81"/>
      <c r="P474" s="81"/>
      <c r="Q474" s="81"/>
      <c r="R474" s="81"/>
      <c r="S474" s="82"/>
      <c r="T474" s="1451" t="s">
        <v>672</v>
      </c>
      <c r="U474" s="1451"/>
      <c r="V474" s="1451"/>
      <c r="W474" s="1451"/>
      <c r="X474" s="1451"/>
      <c r="Y474" s="1451" t="s">
        <v>672</v>
      </c>
      <c r="Z474" s="1451"/>
      <c r="AA474" s="1451"/>
      <c r="AB474" s="1451"/>
      <c r="AC474" s="1451"/>
      <c r="AD474" s="1451" t="s">
        <v>672</v>
      </c>
      <c r="AE474" s="1451"/>
      <c r="AF474" s="1451"/>
      <c r="AG474" s="1451"/>
      <c r="AH474" s="1451"/>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2.75">
      <c r="E475" s="80" t="s">
        <v>410</v>
      </c>
      <c r="F475" s="81"/>
      <c r="G475" s="81"/>
      <c r="H475" s="81"/>
      <c r="I475" s="81"/>
      <c r="J475" s="81"/>
      <c r="K475" s="81"/>
      <c r="L475" s="81"/>
      <c r="M475" s="81"/>
      <c r="N475" s="81"/>
      <c r="O475" s="81"/>
      <c r="P475" s="81"/>
      <c r="Q475" s="81"/>
      <c r="R475" s="81"/>
      <c r="S475" s="81"/>
      <c r="T475" s="1451" t="s">
        <v>672</v>
      </c>
      <c r="U475" s="1451"/>
      <c r="V475" s="1451"/>
      <c r="W475" s="1451"/>
      <c r="X475" s="1451"/>
      <c r="Y475" s="1451" t="s">
        <v>672</v>
      </c>
      <c r="Z475" s="1451"/>
      <c r="AA475" s="1451"/>
      <c r="AB475" s="1451"/>
      <c r="AC475" s="1451"/>
      <c r="AD475" s="1451" t="s">
        <v>672</v>
      </c>
      <c r="AE475" s="1451"/>
      <c r="AF475" s="1451"/>
      <c r="AG475" s="1451"/>
      <c r="AH475" s="1451"/>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2.75">
      <c r="E476" s="80" t="s">
        <v>411</v>
      </c>
      <c r="F476" s="81"/>
      <c r="G476" s="81"/>
      <c r="H476" s="81"/>
      <c r="I476" s="81"/>
      <c r="J476" s="81"/>
      <c r="K476" s="81"/>
      <c r="L476" s="81"/>
      <c r="M476" s="81"/>
      <c r="N476" s="81"/>
      <c r="O476" s="81"/>
      <c r="P476" s="81"/>
      <c r="Q476" s="81"/>
      <c r="R476" s="81"/>
      <c r="S476" s="81"/>
      <c r="T476" s="1451" t="s">
        <v>672</v>
      </c>
      <c r="U476" s="1451"/>
      <c r="V476" s="1451"/>
      <c r="W476" s="1451"/>
      <c r="X476" s="1451"/>
      <c r="Y476" s="1451" t="s">
        <v>672</v>
      </c>
      <c r="Z476" s="1451"/>
      <c r="AA476" s="1451"/>
      <c r="AB476" s="1451"/>
      <c r="AC476" s="1451"/>
      <c r="AD476" s="1451" t="s">
        <v>672</v>
      </c>
      <c r="AE476" s="1451"/>
      <c r="AF476" s="1451"/>
      <c r="AG476" s="1451"/>
      <c r="AH476" s="1451"/>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2.75">
      <c r="E477" s="80" t="s">
        <v>412</v>
      </c>
      <c r="F477" s="81"/>
      <c r="G477" s="81"/>
      <c r="H477" s="81"/>
      <c r="I477" s="81"/>
      <c r="J477" s="81"/>
      <c r="K477" s="81"/>
      <c r="L477" s="81"/>
      <c r="M477" s="81"/>
      <c r="N477" s="81"/>
      <c r="O477" s="81"/>
      <c r="P477" s="81"/>
      <c r="Q477" s="81"/>
      <c r="R477" s="81"/>
      <c r="S477" s="81"/>
      <c r="T477" s="1451" t="s">
        <v>672</v>
      </c>
      <c r="U477" s="1451"/>
      <c r="V477" s="1451"/>
      <c r="W477" s="1451"/>
      <c r="X477" s="1451"/>
      <c r="Y477" s="1451" t="s">
        <v>672</v>
      </c>
      <c r="Z477" s="1451"/>
      <c r="AA477" s="1451"/>
      <c r="AB477" s="1451"/>
      <c r="AC477" s="1451"/>
      <c r="AD477" s="1451" t="s">
        <v>672</v>
      </c>
      <c r="AE477" s="1451"/>
      <c r="AF477" s="1451"/>
      <c r="AG477" s="1451"/>
      <c r="AH477" s="1451"/>
      <c r="AM477" s="62"/>
      <c r="AN477" s="62" t="str">
        <f>N582</f>
        <v>No</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2.75">
      <c r="E478" s="80" t="s">
        <v>413</v>
      </c>
      <c r="F478" s="81"/>
      <c r="G478" s="81"/>
      <c r="H478" s="81"/>
      <c r="I478" s="81"/>
      <c r="J478" s="81"/>
      <c r="K478" s="81"/>
      <c r="L478" s="81"/>
      <c r="M478" s="81"/>
      <c r="N478" s="81"/>
      <c r="O478" s="81"/>
      <c r="P478" s="81"/>
      <c r="Q478" s="81"/>
      <c r="R478" s="81"/>
      <c r="S478" s="81"/>
      <c r="T478" s="1451" t="s">
        <v>672</v>
      </c>
      <c r="U478" s="1451"/>
      <c r="V478" s="1451"/>
      <c r="W478" s="1451"/>
      <c r="X478" s="1451"/>
      <c r="Y478" s="1451" t="s">
        <v>672</v>
      </c>
      <c r="Z478" s="1451"/>
      <c r="AA478" s="1451"/>
      <c r="AB478" s="1451"/>
      <c r="AC478" s="1451"/>
      <c r="AD478" s="1451" t="s">
        <v>672</v>
      </c>
      <c r="AE478" s="1451"/>
      <c r="AF478" s="1451"/>
      <c r="AG478" s="1451"/>
      <c r="AH478" s="1451"/>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2.75">
      <c r="E479" s="80" t="s">
        <v>414</v>
      </c>
      <c r="F479" s="81"/>
      <c r="G479" s="81"/>
      <c r="H479" s="81"/>
      <c r="I479" s="81"/>
      <c r="J479" s="81"/>
      <c r="K479" s="81"/>
      <c r="L479" s="81"/>
      <c r="M479" s="81"/>
      <c r="N479" s="81"/>
      <c r="O479" s="81"/>
      <c r="P479" s="81"/>
      <c r="Q479" s="81"/>
      <c r="R479" s="81"/>
      <c r="S479" s="81"/>
      <c r="T479" s="1451" t="s">
        <v>672</v>
      </c>
      <c r="U479" s="1451"/>
      <c r="V479" s="1451"/>
      <c r="W479" s="1451"/>
      <c r="X479" s="1451"/>
      <c r="Y479" s="1451" t="s">
        <v>672</v>
      </c>
      <c r="Z479" s="1451"/>
      <c r="AA479" s="1451"/>
      <c r="AB479" s="1451"/>
      <c r="AC479" s="1451"/>
      <c r="AD479" s="1451" t="s">
        <v>672</v>
      </c>
      <c r="AE479" s="1451"/>
      <c r="AF479" s="1451"/>
      <c r="AG479" s="1451"/>
      <c r="AH479" s="1451"/>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2.75">
      <c r="E480" s="80" t="s">
        <v>415</v>
      </c>
      <c r="F480" s="81"/>
      <c r="G480" s="81"/>
      <c r="H480" s="81"/>
      <c r="I480" s="81"/>
      <c r="J480" s="81"/>
      <c r="K480" s="81"/>
      <c r="L480" s="81"/>
      <c r="M480" s="81"/>
      <c r="N480" s="81"/>
      <c r="O480" s="81"/>
      <c r="P480" s="81"/>
      <c r="Q480" s="81"/>
      <c r="R480" s="81"/>
      <c r="S480" s="81"/>
      <c r="T480" s="1451" t="s">
        <v>672</v>
      </c>
      <c r="U480" s="1451"/>
      <c r="V480" s="1451"/>
      <c r="W480" s="1451"/>
      <c r="X480" s="1451"/>
      <c r="Y480" s="1451" t="s">
        <v>672</v>
      </c>
      <c r="Z480" s="1451"/>
      <c r="AA480" s="1451"/>
      <c r="AB480" s="1451"/>
      <c r="AC480" s="1451"/>
      <c r="AD480" s="1451" t="s">
        <v>672</v>
      </c>
      <c r="AE480" s="1451"/>
      <c r="AF480" s="1451"/>
      <c r="AG480" s="1451"/>
      <c r="AH480" s="1451"/>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2.75">
      <c r="E481" s="80" t="s">
        <v>439</v>
      </c>
      <c r="F481" s="81"/>
      <c r="G481" s="81"/>
      <c r="H481" s="81"/>
      <c r="I481" s="81"/>
      <c r="J481" s="81"/>
      <c r="K481" s="81"/>
      <c r="L481" s="81"/>
      <c r="M481" s="81"/>
      <c r="N481" s="81"/>
      <c r="O481" s="81"/>
      <c r="P481" s="81"/>
      <c r="Q481" s="81"/>
      <c r="R481" s="81"/>
      <c r="S481" s="81"/>
      <c r="T481" s="1451" t="s">
        <v>672</v>
      </c>
      <c r="U481" s="1451"/>
      <c r="V481" s="1451"/>
      <c r="W481" s="1451"/>
      <c r="X481" s="1451"/>
      <c r="Y481" s="1451" t="s">
        <v>672</v>
      </c>
      <c r="Z481" s="1451"/>
      <c r="AA481" s="1451"/>
      <c r="AB481" s="1451"/>
      <c r="AC481" s="1451"/>
      <c r="AD481" s="1451" t="s">
        <v>672</v>
      </c>
      <c r="AE481" s="1451"/>
      <c r="AF481" s="1451"/>
      <c r="AG481" s="1451"/>
      <c r="AH481" s="1451"/>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2.75">
      <c r="E482" s="83" t="s">
        <v>440</v>
      </c>
      <c r="F482" s="81"/>
      <c r="G482" s="81"/>
      <c r="H482" s="81"/>
      <c r="I482" s="81"/>
      <c r="J482" s="81"/>
      <c r="K482" s="81"/>
      <c r="L482" s="81"/>
      <c r="M482" s="81"/>
      <c r="N482" s="81"/>
      <c r="O482" s="81"/>
      <c r="P482" s="81"/>
      <c r="Q482" s="81"/>
      <c r="R482" s="81"/>
      <c r="S482" s="81"/>
      <c r="T482" s="1451" t="s">
        <v>672</v>
      </c>
      <c r="U482" s="1451"/>
      <c r="V482" s="1451"/>
      <c r="W482" s="1451"/>
      <c r="X482" s="1451"/>
      <c r="Y482" s="1451" t="s">
        <v>672</v>
      </c>
      <c r="Z482" s="1451"/>
      <c r="AA482" s="1451"/>
      <c r="AB482" s="1451"/>
      <c r="AC482" s="1451"/>
      <c r="AD482" s="1451" t="s">
        <v>672</v>
      </c>
      <c r="AE482" s="1451"/>
      <c r="AF482" s="1451"/>
      <c r="AG482" s="1451"/>
      <c r="AH482" s="1451"/>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2.75">
      <c r="E483" s="107" t="s">
        <v>1181</v>
      </c>
      <c r="F483" s="84"/>
      <c r="G483" s="84"/>
      <c r="H483" s="84"/>
      <c r="I483" s="84"/>
      <c r="J483" s="84"/>
      <c r="K483" s="84"/>
      <c r="L483" s="84"/>
      <c r="M483" s="84"/>
      <c r="N483" s="84"/>
      <c r="O483" s="84"/>
      <c r="P483" s="84"/>
      <c r="Q483" s="84"/>
      <c r="R483" s="84"/>
      <c r="S483" s="84"/>
      <c r="T483" s="1451" t="s">
        <v>672</v>
      </c>
      <c r="U483" s="1451"/>
      <c r="V483" s="1451"/>
      <c r="W483" s="1451"/>
      <c r="X483" s="1451"/>
      <c r="Y483" s="1451" t="s">
        <v>672</v>
      </c>
      <c r="Z483" s="1451"/>
      <c r="AA483" s="1451"/>
      <c r="AB483" s="1451"/>
      <c r="AC483" s="1451"/>
      <c r="AD483" s="1451" t="s">
        <v>672</v>
      </c>
      <c r="AE483" s="1451"/>
      <c r="AF483" s="1451"/>
      <c r="AG483" s="1451"/>
      <c r="AH483" s="1451"/>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2.75">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2.75">
      <c r="B485" s="80"/>
      <c r="C485" s="81"/>
      <c r="D485" s="81"/>
      <c r="E485" s="81"/>
      <c r="F485" s="81"/>
      <c r="G485" s="81"/>
      <c r="H485" s="81"/>
      <c r="I485" s="81"/>
      <c r="J485" s="81"/>
      <c r="K485" s="81"/>
      <c r="L485" s="81"/>
      <c r="M485" s="81"/>
      <c r="N485" s="81"/>
      <c r="O485" s="81"/>
      <c r="P485" s="82"/>
      <c r="Q485" s="1457" t="s">
        <v>441</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62"/>
      <c r="AN485" s="62" t="str">
        <f>N590</f>
        <v>No</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2.75">
      <c r="B486" s="80" t="s">
        <v>442</v>
      </c>
      <c r="C486" s="81"/>
      <c r="D486" s="81"/>
      <c r="E486" s="81"/>
      <c r="F486" s="81"/>
      <c r="G486" s="81"/>
      <c r="H486" s="81"/>
      <c r="I486" s="81"/>
      <c r="J486" s="81"/>
      <c r="K486" s="81"/>
      <c r="L486" s="81"/>
      <c r="M486" s="81"/>
      <c r="N486" s="81"/>
      <c r="O486" s="81"/>
      <c r="P486" s="81"/>
      <c r="Q486" s="1372" t="s">
        <v>1708</v>
      </c>
      <c r="R486" s="1141"/>
      <c r="S486" s="1141"/>
      <c r="T486" s="1141"/>
      <c r="U486" s="1141"/>
      <c r="V486" s="1141"/>
      <c r="W486" s="1141"/>
      <c r="X486" s="1141"/>
      <c r="Y486" s="1141"/>
      <c r="Z486" s="1141"/>
      <c r="AA486" s="1141"/>
      <c r="AB486" s="1141"/>
      <c r="AC486" s="1141"/>
      <c r="AD486" s="1141"/>
      <c r="AE486" s="1141"/>
      <c r="AF486" s="1141"/>
      <c r="AG486" s="1141"/>
      <c r="AH486" s="1141"/>
      <c r="AI486" s="1141"/>
      <c r="AJ486" s="1141"/>
      <c r="AK486" s="1373"/>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2.75">
      <c r="B487" s="80" t="s">
        <v>443</v>
      </c>
      <c r="C487" s="81"/>
      <c r="D487" s="81"/>
      <c r="E487" s="81"/>
      <c r="F487" s="81"/>
      <c r="G487" s="81"/>
      <c r="H487" s="81"/>
      <c r="I487" s="81"/>
      <c r="J487" s="81"/>
      <c r="K487" s="81"/>
      <c r="L487" s="81"/>
      <c r="M487" s="81"/>
      <c r="N487" s="81"/>
      <c r="O487" s="81"/>
      <c r="P487" s="81"/>
      <c r="Q487" s="1372" t="s">
        <v>1708</v>
      </c>
      <c r="R487" s="1141"/>
      <c r="S487" s="1141"/>
      <c r="T487" s="1141"/>
      <c r="U487" s="1141"/>
      <c r="V487" s="1141"/>
      <c r="W487" s="1141"/>
      <c r="X487" s="1141"/>
      <c r="Y487" s="1141"/>
      <c r="Z487" s="1141"/>
      <c r="AA487" s="1141"/>
      <c r="AB487" s="1141"/>
      <c r="AC487" s="1141"/>
      <c r="AD487" s="1141"/>
      <c r="AE487" s="1141"/>
      <c r="AF487" s="1141"/>
      <c r="AG487" s="1141"/>
      <c r="AH487" s="1141"/>
      <c r="AI487" s="1141"/>
      <c r="AJ487" s="1141"/>
      <c r="AK487" s="1373"/>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2.75">
      <c r="B488" s="80" t="s">
        <v>444</v>
      </c>
      <c r="C488" s="81"/>
      <c r="D488" s="81"/>
      <c r="E488" s="81"/>
      <c r="F488" s="81"/>
      <c r="G488" s="81"/>
      <c r="H488" s="81"/>
      <c r="I488" s="81"/>
      <c r="J488" s="81"/>
      <c r="K488" s="81"/>
      <c r="L488" s="81"/>
      <c r="M488" s="81"/>
      <c r="N488" s="81"/>
      <c r="O488" s="81"/>
      <c r="P488" s="81"/>
      <c r="Q488" s="1372" t="s">
        <v>1708</v>
      </c>
      <c r="R488" s="1141"/>
      <c r="S488" s="1141"/>
      <c r="T488" s="1141"/>
      <c r="U488" s="1141"/>
      <c r="V488" s="1141"/>
      <c r="W488" s="1141"/>
      <c r="X488" s="1141"/>
      <c r="Y488" s="1141"/>
      <c r="Z488" s="1141"/>
      <c r="AA488" s="1141"/>
      <c r="AB488" s="1141"/>
      <c r="AC488" s="1141"/>
      <c r="AD488" s="1141"/>
      <c r="AE488" s="1141"/>
      <c r="AF488" s="1141"/>
      <c r="AG488" s="1141"/>
      <c r="AH488" s="1141"/>
      <c r="AI488" s="1141"/>
      <c r="AJ488" s="1141"/>
      <c r="AK488" s="1373"/>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4" customHeight="1">
      <c r="B489" s="1099" t="s">
        <v>445</v>
      </c>
      <c r="C489" s="1100"/>
      <c r="D489" s="1100"/>
      <c r="E489" s="1100"/>
      <c r="F489" s="1100"/>
      <c r="G489" s="1100"/>
      <c r="H489" s="1100"/>
      <c r="I489" s="1100"/>
      <c r="J489" s="1100"/>
      <c r="K489" s="1100"/>
      <c r="L489" s="1100"/>
      <c r="M489" s="1100"/>
      <c r="N489" s="1100"/>
      <c r="O489" s="1100"/>
      <c r="P489" s="1101"/>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4" customHeight="1">
      <c r="B490" s="1102"/>
      <c r="C490" s="1103"/>
      <c r="D490" s="1103"/>
      <c r="E490" s="1103"/>
      <c r="F490" s="1103"/>
      <c r="G490" s="1103"/>
      <c r="H490" s="1103"/>
      <c r="I490" s="1103"/>
      <c r="J490" s="1103"/>
      <c r="K490" s="1103"/>
      <c r="L490" s="1103"/>
      <c r="M490" s="1103"/>
      <c r="N490" s="1103"/>
      <c r="O490" s="1103"/>
      <c r="P490" s="1104"/>
      <c r="Q490" s="1108" t="s">
        <v>755</v>
      </c>
      <c r="R490" s="1109"/>
      <c r="S490" s="1112" t="s">
        <v>177</v>
      </c>
      <c r="T490" s="1113"/>
      <c r="U490" s="1113"/>
      <c r="V490" s="1113"/>
      <c r="W490" s="1113"/>
      <c r="X490" s="1113"/>
      <c r="Y490" s="1113"/>
      <c r="Z490" s="1113"/>
      <c r="AA490" s="1113"/>
      <c r="AB490" s="1113"/>
      <c r="AC490" s="1113"/>
      <c r="AD490" s="1113"/>
      <c r="AE490" s="1113"/>
      <c r="AF490" s="1113"/>
      <c r="AG490" s="1113"/>
      <c r="AH490" s="1113"/>
      <c r="AI490" s="1113"/>
      <c r="AJ490" s="1113"/>
      <c r="AK490" s="1114"/>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2.75">
      <c r="B491" s="1105"/>
      <c r="C491" s="1106"/>
      <c r="D491" s="1106"/>
      <c r="E491" s="1106"/>
      <c r="F491" s="1106"/>
      <c r="G491" s="1106"/>
      <c r="H491" s="1106"/>
      <c r="I491" s="1106"/>
      <c r="J491" s="1106"/>
      <c r="K491" s="1106"/>
      <c r="L491" s="1106"/>
      <c r="M491" s="1106"/>
      <c r="N491" s="1106"/>
      <c r="O491" s="1106"/>
      <c r="P491" s="1107"/>
      <c r="Q491" s="1110"/>
      <c r="R491" s="1111"/>
      <c r="S491" s="1115"/>
      <c r="T491" s="1116"/>
      <c r="U491" s="1116"/>
      <c r="V491" s="1116"/>
      <c r="W491" s="1116"/>
      <c r="X491" s="1116"/>
      <c r="Y491" s="1116"/>
      <c r="Z491" s="1116"/>
      <c r="AA491" s="1116"/>
      <c r="AB491" s="1116"/>
      <c r="AC491" s="1116"/>
      <c r="AD491" s="1116"/>
      <c r="AE491" s="1116"/>
      <c r="AF491" s="1116"/>
      <c r="AG491" s="1116"/>
      <c r="AH491" s="1116"/>
      <c r="AI491" s="1116"/>
      <c r="AJ491" s="1116"/>
      <c r="AK491" s="1117"/>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2.75">
      <c r="B492" s="80" t="s">
        <v>446</v>
      </c>
      <c r="C492" s="81"/>
      <c r="D492" s="81"/>
      <c r="E492" s="81"/>
      <c r="F492" s="81"/>
      <c r="G492" s="81"/>
      <c r="H492" s="81"/>
      <c r="I492" s="81"/>
      <c r="J492" s="81"/>
      <c r="K492" s="81"/>
      <c r="L492" s="81"/>
      <c r="M492" s="81"/>
      <c r="N492" s="81"/>
      <c r="O492" s="81"/>
      <c r="P492" s="81"/>
      <c r="Q492" s="1372" t="s">
        <v>1709</v>
      </c>
      <c r="R492" s="1141"/>
      <c r="S492" s="1141"/>
      <c r="T492" s="1141"/>
      <c r="U492" s="1141"/>
      <c r="V492" s="1141"/>
      <c r="W492" s="1141"/>
      <c r="X492" s="1141"/>
      <c r="Y492" s="1141"/>
      <c r="Z492" s="1141"/>
      <c r="AA492" s="1141"/>
      <c r="AB492" s="1141"/>
      <c r="AC492" s="1141"/>
      <c r="AD492" s="1141"/>
      <c r="AE492" s="1141"/>
      <c r="AF492" s="1141"/>
      <c r="AG492" s="1141"/>
      <c r="AH492" s="1141"/>
      <c r="AI492" s="1141"/>
      <c r="AJ492" s="1141"/>
      <c r="AK492" s="1373"/>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2.75">
      <c r="B493" s="80" t="s">
        <v>447</v>
      </c>
      <c r="C493" s="81"/>
      <c r="D493" s="81"/>
      <c r="E493" s="81"/>
      <c r="F493" s="81"/>
      <c r="G493" s="81"/>
      <c r="H493" s="81"/>
      <c r="I493" s="81"/>
      <c r="J493" s="81"/>
      <c r="K493" s="81"/>
      <c r="L493" s="81"/>
      <c r="M493" s="81"/>
      <c r="N493" s="81"/>
      <c r="O493" s="81"/>
      <c r="P493" s="81"/>
      <c r="Q493" s="1372" t="s">
        <v>1710</v>
      </c>
      <c r="R493" s="1141"/>
      <c r="S493" s="1141"/>
      <c r="T493" s="1141"/>
      <c r="U493" s="1141"/>
      <c r="V493" s="1141"/>
      <c r="W493" s="1141"/>
      <c r="X493" s="1141"/>
      <c r="Y493" s="1141"/>
      <c r="Z493" s="1141"/>
      <c r="AA493" s="1141"/>
      <c r="AB493" s="1141"/>
      <c r="AC493" s="1141"/>
      <c r="AD493" s="1141"/>
      <c r="AE493" s="1141"/>
      <c r="AF493" s="1141"/>
      <c r="AG493" s="1141"/>
      <c r="AH493" s="1141"/>
      <c r="AI493" s="1141"/>
      <c r="AJ493" s="1141"/>
      <c r="AK493" s="1373"/>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2.75">
      <c r="B494" s="29"/>
      <c r="C494" s="29"/>
      <c r="D494" s="29"/>
      <c r="E494" s="29"/>
      <c r="F494" s="29"/>
      <c r="G494" s="29"/>
      <c r="H494" s="29"/>
      <c r="I494" s="29"/>
      <c r="J494" s="29"/>
      <c r="K494" s="29"/>
      <c r="L494" s="29"/>
      <c r="M494" s="29"/>
      <c r="N494" s="29"/>
      <c r="O494" s="29"/>
      <c r="P494" s="753"/>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2.75">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2.75">
      <c r="A496" s="54" t="s">
        <v>657</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2.75">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2.75">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457" t="s">
        <v>449</v>
      </c>
      <c r="AD498" s="1458"/>
      <c r="AE498" s="1458"/>
      <c r="AF498" s="1458"/>
      <c r="AG498" s="1458"/>
      <c r="AH498" s="1458"/>
      <c r="AI498" s="1458"/>
      <c r="AJ498" s="1458"/>
      <c r="AK498" s="1459"/>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2.75">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460" t="s">
        <v>450</v>
      </c>
      <c r="AD499" s="1461"/>
      <c r="AE499" s="1461"/>
      <c r="AF499" s="1461"/>
      <c r="AG499" s="86" t="s">
        <v>451</v>
      </c>
      <c r="AH499" s="1461" t="s">
        <v>452</v>
      </c>
      <c r="AI499" s="1461"/>
      <c r="AJ499" s="1461"/>
      <c r="AK499" s="1496"/>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2.75">
      <c r="B500" s="1487" t="s">
        <v>453</v>
      </c>
      <c r="C500" s="1488"/>
      <c r="D500" s="1488"/>
      <c r="E500" s="1488"/>
      <c r="F500" s="1488"/>
      <c r="G500" s="1488"/>
      <c r="H500" s="1489"/>
      <c r="I500" s="76" t="s">
        <v>454</v>
      </c>
      <c r="J500" s="76"/>
      <c r="K500" s="76"/>
      <c r="L500" s="76"/>
      <c r="M500" s="76"/>
      <c r="N500" s="76"/>
      <c r="O500" s="76"/>
      <c r="P500" s="76"/>
      <c r="Q500" s="76"/>
      <c r="R500" s="76"/>
      <c r="S500" s="76"/>
      <c r="T500" s="76"/>
      <c r="U500" s="76"/>
      <c r="V500" s="76"/>
      <c r="W500" s="76"/>
      <c r="X500" s="29"/>
      <c r="Y500" s="29"/>
      <c r="AC500" s="1456" t="s">
        <v>672</v>
      </c>
      <c r="AD500" s="1436"/>
      <c r="AE500" s="1436"/>
      <c r="AF500" s="1436"/>
      <c r="AG500" s="79" t="s">
        <v>451</v>
      </c>
      <c r="AH500" s="1262">
        <v>0</v>
      </c>
      <c r="AI500" s="1262"/>
      <c r="AJ500" s="1262"/>
      <c r="AK500" s="1263"/>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2.75">
      <c r="B501" s="1490"/>
      <c r="C501" s="1491"/>
      <c r="D501" s="1491"/>
      <c r="E501" s="1491"/>
      <c r="F501" s="1491"/>
      <c r="G501" s="1491"/>
      <c r="H501" s="1492"/>
      <c r="I501" s="84" t="s">
        <v>455</v>
      </c>
      <c r="J501" s="84"/>
      <c r="K501" s="84"/>
      <c r="L501" s="84"/>
      <c r="M501" s="84"/>
      <c r="N501" s="84"/>
      <c r="O501" s="84"/>
      <c r="P501" s="84"/>
      <c r="Q501" s="84"/>
      <c r="R501" s="84"/>
      <c r="S501" s="84"/>
      <c r="T501" s="84"/>
      <c r="U501" s="84"/>
      <c r="V501" s="84"/>
      <c r="W501" s="84"/>
      <c r="X501" s="84"/>
      <c r="Y501" s="84"/>
      <c r="Z501" s="84"/>
      <c r="AA501" s="84"/>
      <c r="AB501" s="84"/>
      <c r="AC501" s="1456">
        <v>12</v>
      </c>
      <c r="AD501" s="1436"/>
      <c r="AE501" s="1436"/>
      <c r="AF501" s="1436"/>
      <c r="AG501" s="69" t="s">
        <v>451</v>
      </c>
      <c r="AH501" s="1262">
        <v>2019</v>
      </c>
      <c r="AI501" s="1262"/>
      <c r="AJ501" s="1262"/>
      <c r="AK501" s="1263"/>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487" t="s">
        <v>456</v>
      </c>
      <c r="C502" s="1488"/>
      <c r="D502" s="1488"/>
      <c r="E502" s="1488"/>
      <c r="F502" s="1488"/>
      <c r="G502" s="1488"/>
      <c r="H502" s="1489"/>
      <c r="I502" s="76" t="s">
        <v>457</v>
      </c>
      <c r="J502" s="76"/>
      <c r="K502" s="76"/>
      <c r="L502" s="76"/>
      <c r="M502" s="76"/>
      <c r="N502" s="76"/>
      <c r="O502" s="76"/>
      <c r="P502" s="76"/>
      <c r="Q502" s="76"/>
      <c r="R502" s="76"/>
      <c r="S502" s="76"/>
      <c r="T502" s="76"/>
      <c r="U502" s="76"/>
      <c r="V502" s="76"/>
      <c r="W502" s="76"/>
      <c r="X502" s="29"/>
      <c r="Y502" s="29"/>
      <c r="AC502" s="1456" t="s">
        <v>672</v>
      </c>
      <c r="AD502" s="1436"/>
      <c r="AE502" s="1436"/>
      <c r="AF502" s="1436"/>
      <c r="AG502" s="79" t="s">
        <v>451</v>
      </c>
      <c r="AH502" s="1262"/>
      <c r="AI502" s="1262"/>
      <c r="AJ502" s="1262"/>
      <c r="AK502" s="1263"/>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2.75">
      <c r="B503" s="1490"/>
      <c r="C503" s="1491"/>
      <c r="D503" s="1491"/>
      <c r="E503" s="1491"/>
      <c r="F503" s="1491"/>
      <c r="G503" s="1491"/>
      <c r="H503" s="1492"/>
      <c r="I503" s="29" t="s">
        <v>458</v>
      </c>
      <c r="J503" s="29"/>
      <c r="K503" s="29"/>
      <c r="L503" s="29"/>
      <c r="M503" s="29"/>
      <c r="N503" s="29"/>
      <c r="O503" s="29"/>
      <c r="P503" s="29"/>
      <c r="Q503" s="29"/>
      <c r="R503" s="29"/>
      <c r="S503" s="29"/>
      <c r="T503" s="29"/>
      <c r="U503" s="29"/>
      <c r="V503" s="29"/>
      <c r="W503" s="29"/>
      <c r="X503" s="29"/>
      <c r="Y503" s="29"/>
      <c r="AC503" s="1456" t="s">
        <v>672</v>
      </c>
      <c r="AD503" s="1436"/>
      <c r="AE503" s="1436"/>
      <c r="AF503" s="1436"/>
      <c r="AG503" s="79" t="s">
        <v>451</v>
      </c>
      <c r="AH503" s="1262"/>
      <c r="AI503" s="1262"/>
      <c r="AJ503" s="1262"/>
      <c r="AK503" s="1263"/>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2.75">
      <c r="B504" s="1490"/>
      <c r="C504" s="1491"/>
      <c r="D504" s="1491"/>
      <c r="E504" s="1491"/>
      <c r="F504" s="1491"/>
      <c r="G504" s="1491"/>
      <c r="H504" s="1492"/>
      <c r="I504" s="29" t="s">
        <v>459</v>
      </c>
      <c r="J504" s="29"/>
      <c r="K504" s="29"/>
      <c r="L504" s="29"/>
      <c r="M504" s="29"/>
      <c r="N504" s="29"/>
      <c r="O504" s="29"/>
      <c r="P504" s="29"/>
      <c r="Q504" s="29"/>
      <c r="R504" s="29"/>
      <c r="S504" s="29"/>
      <c r="T504" s="29"/>
      <c r="U504" s="29"/>
      <c r="V504" s="29"/>
      <c r="W504" s="29"/>
      <c r="X504" s="29"/>
      <c r="Y504" s="29"/>
      <c r="AC504" s="1456" t="s">
        <v>672</v>
      </c>
      <c r="AD504" s="1436"/>
      <c r="AE504" s="1436"/>
      <c r="AF504" s="1436"/>
      <c r="AG504" s="79" t="s">
        <v>451</v>
      </c>
      <c r="AH504" s="1262"/>
      <c r="AI504" s="1262"/>
      <c r="AJ504" s="1262"/>
      <c r="AK504" s="1263"/>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490"/>
      <c r="C505" s="1491"/>
      <c r="D505" s="1491"/>
      <c r="E505" s="1491"/>
      <c r="F505" s="1491"/>
      <c r="G505" s="1491"/>
      <c r="H505" s="1492"/>
      <c r="I505" s="29" t="s">
        <v>460</v>
      </c>
      <c r="J505" s="29"/>
      <c r="K505" s="29"/>
      <c r="L505" s="29"/>
      <c r="M505" s="29"/>
      <c r="N505" s="29"/>
      <c r="O505" s="29"/>
      <c r="P505" s="29"/>
      <c r="Q505" s="29"/>
      <c r="R505" s="29"/>
      <c r="S505" s="29"/>
      <c r="T505" s="29"/>
      <c r="U505" s="29"/>
      <c r="V505" s="29"/>
      <c r="W505" s="29"/>
      <c r="X505" s="29"/>
      <c r="Y505" s="29"/>
      <c r="AC505" s="1456" t="s">
        <v>672</v>
      </c>
      <c r="AD505" s="1436"/>
      <c r="AE505" s="1436"/>
      <c r="AF505" s="1436"/>
      <c r="AG505" s="79" t="s">
        <v>451</v>
      </c>
      <c r="AH505" s="1262"/>
      <c r="AI505" s="1262"/>
      <c r="AJ505" s="1262"/>
      <c r="AK505" s="1263"/>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 customHeight="1">
      <c r="B506" s="1490"/>
      <c r="C506" s="1491"/>
      <c r="D506" s="1491"/>
      <c r="E506" s="1491"/>
      <c r="F506" s="1491"/>
      <c r="G506" s="1491"/>
      <c r="H506" s="1492"/>
      <c r="I506" s="84" t="s">
        <v>461</v>
      </c>
      <c r="J506" s="84"/>
      <c r="K506" s="84"/>
      <c r="L506" s="84"/>
      <c r="M506" s="84"/>
      <c r="N506" s="84"/>
      <c r="O506" s="84"/>
      <c r="P506" s="84"/>
      <c r="Q506" s="84"/>
      <c r="R506" s="84"/>
      <c r="S506" s="84"/>
      <c r="T506" s="84"/>
      <c r="U506" s="84"/>
      <c r="V506" s="84"/>
      <c r="W506" s="84"/>
      <c r="X506" s="84"/>
      <c r="Y506" s="84"/>
      <c r="Z506" s="84"/>
      <c r="AA506" s="84"/>
      <c r="AB506" s="84"/>
      <c r="AC506" s="1456">
        <v>1</v>
      </c>
      <c r="AD506" s="1436"/>
      <c r="AE506" s="1436"/>
      <c r="AF506" s="1436"/>
      <c r="AG506" s="69" t="s">
        <v>451</v>
      </c>
      <c r="AH506" s="1262">
        <v>2020</v>
      </c>
      <c r="AI506" s="1262"/>
      <c r="AJ506" s="1262"/>
      <c r="AK506" s="1263"/>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2.75">
      <c r="B507" s="1487" t="s">
        <v>462</v>
      </c>
      <c r="C507" s="1488"/>
      <c r="D507" s="1488"/>
      <c r="E507" s="1488"/>
      <c r="F507" s="1488"/>
      <c r="G507" s="1488"/>
      <c r="H507" s="1489"/>
      <c r="I507" s="76" t="s">
        <v>463</v>
      </c>
      <c r="J507" s="76"/>
      <c r="K507" s="76"/>
      <c r="L507" s="76"/>
      <c r="M507" s="76"/>
      <c r="N507" s="76"/>
      <c r="O507" s="76"/>
      <c r="P507" s="76"/>
      <c r="Q507" s="76"/>
      <c r="R507" s="76"/>
      <c r="S507" s="76"/>
      <c r="T507" s="76"/>
      <c r="U507" s="76"/>
      <c r="V507" s="76"/>
      <c r="W507" s="76"/>
      <c r="X507" s="29"/>
      <c r="Y507" s="29"/>
      <c r="AC507" s="1456">
        <v>9</v>
      </c>
      <c r="AD507" s="1436"/>
      <c r="AE507" s="1436"/>
      <c r="AF507" s="1436"/>
      <c r="AG507" s="79" t="s">
        <v>451</v>
      </c>
      <c r="AH507" s="1262">
        <v>2019</v>
      </c>
      <c r="AI507" s="1262"/>
      <c r="AJ507" s="1262"/>
      <c r="AK507" s="1263"/>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2.75">
      <c r="B508" s="1490"/>
      <c r="C508" s="1491"/>
      <c r="D508" s="1491"/>
      <c r="E508" s="1491"/>
      <c r="F508" s="1491"/>
      <c r="G508" s="1491"/>
      <c r="H508" s="1492"/>
      <c r="I508" s="29" t="s">
        <v>464</v>
      </c>
      <c r="J508" s="29"/>
      <c r="K508" s="29"/>
      <c r="L508" s="29"/>
      <c r="M508" s="29"/>
      <c r="N508" s="29"/>
      <c r="O508" s="29"/>
      <c r="P508" s="29"/>
      <c r="Q508" s="29"/>
      <c r="R508" s="29"/>
      <c r="S508" s="29"/>
      <c r="T508" s="29"/>
      <c r="U508" s="29"/>
      <c r="V508" s="29"/>
      <c r="W508" s="29"/>
      <c r="X508" s="29"/>
      <c r="Y508" s="29"/>
      <c r="AC508" s="1456">
        <v>10</v>
      </c>
      <c r="AD508" s="1436"/>
      <c r="AE508" s="1436"/>
      <c r="AF508" s="1436"/>
      <c r="AG508" s="79" t="s">
        <v>451</v>
      </c>
      <c r="AH508" s="1262">
        <v>2019</v>
      </c>
      <c r="AI508" s="1262"/>
      <c r="AJ508" s="1262"/>
      <c r="AK508" s="1263"/>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2.75">
      <c r="B509" s="1490"/>
      <c r="C509" s="1491"/>
      <c r="D509" s="1491"/>
      <c r="E509" s="1491"/>
      <c r="F509" s="1491"/>
      <c r="G509" s="1491"/>
      <c r="H509" s="1492"/>
      <c r="I509" s="84" t="s">
        <v>465</v>
      </c>
      <c r="J509" s="84"/>
      <c r="K509" s="84"/>
      <c r="L509" s="84"/>
      <c r="M509" s="84"/>
      <c r="N509" s="84"/>
      <c r="O509" s="84"/>
      <c r="P509" s="84"/>
      <c r="Q509" s="84"/>
      <c r="R509" s="84"/>
      <c r="S509" s="84"/>
      <c r="T509" s="84"/>
      <c r="U509" s="84"/>
      <c r="V509" s="84"/>
      <c r="W509" s="84"/>
      <c r="X509" s="84"/>
      <c r="Y509" s="84"/>
      <c r="Z509" s="84"/>
      <c r="AA509" s="84"/>
      <c r="AB509" s="84"/>
      <c r="AC509" s="1456">
        <v>12</v>
      </c>
      <c r="AD509" s="1436"/>
      <c r="AE509" s="1436"/>
      <c r="AF509" s="1436"/>
      <c r="AG509" s="69" t="s">
        <v>451</v>
      </c>
      <c r="AH509" s="1262">
        <v>2019</v>
      </c>
      <c r="AI509" s="1262"/>
      <c r="AJ509" s="1262"/>
      <c r="AK509" s="1263"/>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2.75">
      <c r="B510" s="1487" t="s">
        <v>466</v>
      </c>
      <c r="C510" s="1488"/>
      <c r="D510" s="1488"/>
      <c r="E510" s="1488"/>
      <c r="F510" s="1488"/>
      <c r="G510" s="1488"/>
      <c r="H510" s="1489"/>
      <c r="I510" s="76" t="s">
        <v>463</v>
      </c>
      <c r="J510" s="76"/>
      <c r="K510" s="76"/>
      <c r="L510" s="76"/>
      <c r="M510" s="76"/>
      <c r="N510" s="76"/>
      <c r="O510" s="76"/>
      <c r="P510" s="76"/>
      <c r="Q510" s="76"/>
      <c r="R510" s="76"/>
      <c r="S510" s="76"/>
      <c r="T510" s="76"/>
      <c r="U510" s="76"/>
      <c r="V510" s="76"/>
      <c r="W510" s="76"/>
      <c r="X510" s="76"/>
      <c r="Y510" s="76"/>
      <c r="Z510" s="76"/>
      <c r="AA510" s="76"/>
      <c r="AB510" s="76"/>
      <c r="AC510" s="1189">
        <v>9</v>
      </c>
      <c r="AD510" s="1190"/>
      <c r="AE510" s="1190"/>
      <c r="AF510" s="1190"/>
      <c r="AG510" s="220" t="s">
        <v>451</v>
      </c>
      <c r="AH510" s="1262">
        <v>2019</v>
      </c>
      <c r="AI510" s="1262"/>
      <c r="AJ510" s="1262"/>
      <c r="AK510" s="1263"/>
      <c r="AM510" s="62" t="s">
        <v>533</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2.75">
      <c r="B511" s="1490"/>
      <c r="C511" s="1491"/>
      <c r="D511" s="1491"/>
      <c r="E511" s="1491"/>
      <c r="F511" s="1491"/>
      <c r="G511" s="1491"/>
      <c r="H511" s="1492"/>
      <c r="I511" s="29" t="s">
        <v>464</v>
      </c>
      <c r="J511" s="29"/>
      <c r="K511" s="29"/>
      <c r="L511" s="29"/>
      <c r="M511" s="29"/>
      <c r="N511" s="29"/>
      <c r="O511" s="29"/>
      <c r="P511" s="29"/>
      <c r="Q511" s="29"/>
      <c r="R511" s="29"/>
      <c r="S511" s="29"/>
      <c r="T511" s="29"/>
      <c r="U511" s="29"/>
      <c r="V511" s="29"/>
      <c r="W511" s="29"/>
      <c r="X511" s="29"/>
      <c r="Y511" s="29"/>
      <c r="Z511" s="29"/>
      <c r="AA511" s="29"/>
      <c r="AB511" s="29"/>
      <c r="AC511" s="1456">
        <v>10</v>
      </c>
      <c r="AD511" s="1436"/>
      <c r="AE511" s="1436"/>
      <c r="AF511" s="1436"/>
      <c r="AG511" s="79" t="s">
        <v>451</v>
      </c>
      <c r="AH511" s="1262">
        <v>2019</v>
      </c>
      <c r="AI511" s="1262"/>
      <c r="AJ511" s="1262"/>
      <c r="AK511" s="1263"/>
      <c r="AM511" s="62" t="s">
        <v>534</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2.75">
      <c r="B512" s="1493"/>
      <c r="C512" s="1494"/>
      <c r="D512" s="1494"/>
      <c r="E512" s="1494"/>
      <c r="F512" s="1494"/>
      <c r="G512" s="1494"/>
      <c r="H512" s="1495"/>
      <c r="I512" s="84" t="s">
        <v>465</v>
      </c>
      <c r="J512" s="84"/>
      <c r="K512" s="84"/>
      <c r="L512" s="84"/>
      <c r="M512" s="84"/>
      <c r="N512" s="84"/>
      <c r="O512" s="84"/>
      <c r="P512" s="84"/>
      <c r="Q512" s="84"/>
      <c r="R512" s="84"/>
      <c r="S512" s="84"/>
      <c r="T512" s="84"/>
      <c r="U512" s="84"/>
      <c r="V512" s="84"/>
      <c r="W512" s="84"/>
      <c r="X512" s="84"/>
      <c r="Y512" s="84"/>
      <c r="Z512" s="84"/>
      <c r="AA512" s="84"/>
      <c r="AB512" s="84"/>
      <c r="AC512" s="1456">
        <v>12</v>
      </c>
      <c r="AD512" s="1436"/>
      <c r="AE512" s="1436"/>
      <c r="AF512" s="1436"/>
      <c r="AG512" s="69" t="s">
        <v>451</v>
      </c>
      <c r="AH512" s="1262">
        <v>2019</v>
      </c>
      <c r="AI512" s="1262"/>
      <c r="AJ512" s="1262"/>
      <c r="AK512" s="1263"/>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2.75">
      <c r="B513" s="1487" t="s">
        <v>467</v>
      </c>
      <c r="C513" s="1488"/>
      <c r="D513" s="1488"/>
      <c r="E513" s="1488"/>
      <c r="F513" s="1488"/>
      <c r="G513" s="1488"/>
      <c r="H513" s="1489"/>
      <c r="I513" s="75" t="s">
        <v>468</v>
      </c>
      <c r="J513" s="76"/>
      <c r="K513" s="76"/>
      <c r="L513" s="76"/>
      <c r="M513" s="76"/>
      <c r="N513" s="76"/>
      <c r="O513" s="1141" t="s">
        <v>361</v>
      </c>
      <c r="P513" s="1141"/>
      <c r="Q513" s="1141"/>
      <c r="R513" s="1141"/>
      <c r="S513" s="1141"/>
      <c r="T513" s="1141"/>
      <c r="U513" s="1141"/>
      <c r="V513" s="1141"/>
      <c r="W513" s="1141"/>
      <c r="X513" s="1141"/>
      <c r="Y513" s="1141"/>
      <c r="Z513" s="1141"/>
      <c r="AA513" s="1141"/>
      <c r="AB513" s="98"/>
      <c r="AC513" s="1189" t="s">
        <v>672</v>
      </c>
      <c r="AD513" s="1190"/>
      <c r="AE513" s="1190"/>
      <c r="AF513" s="1190"/>
      <c r="AG513" s="220" t="s">
        <v>451</v>
      </c>
      <c r="AH513" s="1262"/>
      <c r="AI513" s="1262"/>
      <c r="AJ513" s="1262"/>
      <c r="AK513" s="1263"/>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2.75">
      <c r="B514" s="1490"/>
      <c r="C514" s="1491"/>
      <c r="D514" s="1491"/>
      <c r="E514" s="1491"/>
      <c r="F514" s="1491"/>
      <c r="G514" s="1491"/>
      <c r="H514" s="1492"/>
      <c r="I514" s="184" t="s">
        <v>469</v>
      </c>
      <c r="J514" s="29"/>
      <c r="K514" s="29"/>
      <c r="L514" s="29"/>
      <c r="M514" s="29"/>
      <c r="N514" s="29"/>
      <c r="O514" s="29"/>
      <c r="P514" s="29"/>
      <c r="Q514" s="29"/>
      <c r="R514" s="29"/>
      <c r="S514" s="29"/>
      <c r="T514" s="29"/>
      <c r="U514" s="29"/>
      <c r="V514" s="29"/>
      <c r="W514" s="29"/>
      <c r="X514" s="29"/>
      <c r="Y514" s="29"/>
      <c r="Z514" s="29"/>
      <c r="AA514" s="29"/>
      <c r="AB514" s="105"/>
      <c r="AC514" s="1456" t="s">
        <v>672</v>
      </c>
      <c r="AD514" s="1436"/>
      <c r="AE514" s="1436"/>
      <c r="AF514" s="1436"/>
      <c r="AG514" s="79" t="s">
        <v>451</v>
      </c>
      <c r="AH514" s="1262"/>
      <c r="AI514" s="1262"/>
      <c r="AJ514" s="1262"/>
      <c r="AK514" s="1263"/>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2.75">
      <c r="B515" s="1490"/>
      <c r="C515" s="1491"/>
      <c r="D515" s="1491"/>
      <c r="E515" s="1491"/>
      <c r="F515" s="1491"/>
      <c r="G515" s="1491"/>
      <c r="H515" s="1492"/>
      <c r="I515" s="83" t="s">
        <v>470</v>
      </c>
      <c r="J515" s="84"/>
      <c r="K515" s="84"/>
      <c r="L515" s="84"/>
      <c r="M515" s="84"/>
      <c r="N515" s="84"/>
      <c r="O515" s="84"/>
      <c r="P515" s="84"/>
      <c r="Q515" s="84"/>
      <c r="R515" s="84"/>
      <c r="S515" s="84"/>
      <c r="T515" s="84"/>
      <c r="U515" s="84"/>
      <c r="V515" s="84"/>
      <c r="W515" s="84"/>
      <c r="X515" s="84"/>
      <c r="Y515" s="84"/>
      <c r="Z515" s="84"/>
      <c r="AA515" s="84"/>
      <c r="AB515" s="85"/>
      <c r="AC515" s="1456" t="s">
        <v>672</v>
      </c>
      <c r="AD515" s="1436"/>
      <c r="AE515" s="1436"/>
      <c r="AF515" s="1436"/>
      <c r="AG515" s="69" t="s">
        <v>451</v>
      </c>
      <c r="AH515" s="1262"/>
      <c r="AI515" s="1262"/>
      <c r="AJ515" s="1262"/>
      <c r="AK515" s="1263"/>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2.75">
      <c r="B516" s="1490"/>
      <c r="C516" s="1491"/>
      <c r="D516" s="1491"/>
      <c r="E516" s="1491"/>
      <c r="F516" s="1491"/>
      <c r="G516" s="1491"/>
      <c r="H516" s="1492"/>
      <c r="I516" s="76" t="s">
        <v>471</v>
      </c>
      <c r="J516" s="76"/>
      <c r="K516" s="76"/>
      <c r="L516" s="76"/>
      <c r="M516" s="76"/>
      <c r="N516" s="76"/>
      <c r="O516" s="1121" t="s">
        <v>361</v>
      </c>
      <c r="P516" s="1121"/>
      <c r="Q516" s="1121"/>
      <c r="R516" s="1121"/>
      <c r="S516" s="1121"/>
      <c r="T516" s="1121"/>
      <c r="U516" s="1121"/>
      <c r="V516" s="1121"/>
      <c r="W516" s="1121"/>
      <c r="X516" s="1121"/>
      <c r="Y516" s="1121"/>
      <c r="Z516" s="1121"/>
      <c r="AA516" s="1121"/>
      <c r="AC516" s="1456" t="s">
        <v>672</v>
      </c>
      <c r="AD516" s="1436"/>
      <c r="AE516" s="1436"/>
      <c r="AF516" s="1436"/>
      <c r="AG516" s="79" t="s">
        <v>451</v>
      </c>
      <c r="AH516" s="1262"/>
      <c r="AI516" s="1262"/>
      <c r="AJ516" s="1262"/>
      <c r="AK516" s="1263"/>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2.75">
      <c r="B517" s="1490"/>
      <c r="C517" s="1491"/>
      <c r="D517" s="1491"/>
      <c r="E517" s="1491"/>
      <c r="F517" s="1491"/>
      <c r="G517" s="1491"/>
      <c r="H517" s="1492"/>
      <c r="I517" s="29" t="s">
        <v>469</v>
      </c>
      <c r="J517" s="29"/>
      <c r="K517" s="29"/>
      <c r="L517" s="29"/>
      <c r="M517" s="29"/>
      <c r="N517" s="29"/>
      <c r="O517" s="29"/>
      <c r="P517" s="29"/>
      <c r="Q517" s="29"/>
      <c r="R517" s="29"/>
      <c r="S517" s="29"/>
      <c r="T517" s="29"/>
      <c r="U517" s="29"/>
      <c r="V517" s="29"/>
      <c r="W517" s="29"/>
      <c r="X517" s="29"/>
      <c r="Y517" s="29"/>
      <c r="AC517" s="1456" t="s">
        <v>672</v>
      </c>
      <c r="AD517" s="1436"/>
      <c r="AE517" s="1436"/>
      <c r="AF517" s="1436"/>
      <c r="AG517" s="79" t="s">
        <v>451</v>
      </c>
      <c r="AH517" s="1262"/>
      <c r="AI517" s="1262"/>
      <c r="AJ517" s="1262"/>
      <c r="AK517" s="1263"/>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2.75">
      <c r="B518" s="1490"/>
      <c r="C518" s="1491"/>
      <c r="D518" s="1491"/>
      <c r="E518" s="1491"/>
      <c r="F518" s="1491"/>
      <c r="G518" s="1491"/>
      <c r="H518" s="1492"/>
      <c r="I518" s="84" t="s">
        <v>470</v>
      </c>
      <c r="J518" s="84"/>
      <c r="K518" s="84"/>
      <c r="L518" s="84"/>
      <c r="M518" s="84"/>
      <c r="N518" s="84"/>
      <c r="O518" s="84"/>
      <c r="P518" s="84"/>
      <c r="Q518" s="84"/>
      <c r="R518" s="84"/>
      <c r="S518" s="84"/>
      <c r="T518" s="84"/>
      <c r="U518" s="84"/>
      <c r="V518" s="84"/>
      <c r="W518" s="84"/>
      <c r="X518" s="84"/>
      <c r="Y518" s="84"/>
      <c r="Z518" s="84"/>
      <c r="AA518" s="84"/>
      <c r="AB518" s="84"/>
      <c r="AC518" s="1456" t="s">
        <v>672</v>
      </c>
      <c r="AD518" s="1436"/>
      <c r="AE518" s="1436"/>
      <c r="AF518" s="1436"/>
      <c r="AG518" s="69" t="s">
        <v>451</v>
      </c>
      <c r="AH518" s="1262"/>
      <c r="AI518" s="1262"/>
      <c r="AJ518" s="1262"/>
      <c r="AK518" s="1263"/>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2.75">
      <c r="B519" s="1490"/>
      <c r="C519" s="1491"/>
      <c r="D519" s="1491"/>
      <c r="E519" s="1491"/>
      <c r="F519" s="1491"/>
      <c r="G519" s="1491"/>
      <c r="H519" s="1492"/>
      <c r="I519" s="76" t="s">
        <v>471</v>
      </c>
      <c r="J519" s="76"/>
      <c r="K519" s="76"/>
      <c r="L519" s="76"/>
      <c r="M519" s="76"/>
      <c r="N519" s="76"/>
      <c r="O519" s="1121" t="s">
        <v>361</v>
      </c>
      <c r="P519" s="1121"/>
      <c r="Q519" s="1121"/>
      <c r="R519" s="1121"/>
      <c r="S519" s="1121"/>
      <c r="T519" s="1121"/>
      <c r="U519" s="1121"/>
      <c r="V519" s="1121"/>
      <c r="W519" s="1121"/>
      <c r="X519" s="1121"/>
      <c r="Y519" s="1121"/>
      <c r="Z519" s="1121"/>
      <c r="AA519" s="1121"/>
      <c r="AC519" s="1456" t="s">
        <v>672</v>
      </c>
      <c r="AD519" s="1436"/>
      <c r="AE519" s="1436"/>
      <c r="AF519" s="1436"/>
      <c r="AG519" s="79" t="s">
        <v>451</v>
      </c>
      <c r="AH519" s="1262"/>
      <c r="AI519" s="1262"/>
      <c r="AJ519" s="1262"/>
      <c r="AK519" s="1263"/>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2.75">
      <c r="B520" s="1490"/>
      <c r="C520" s="1491"/>
      <c r="D520" s="1491"/>
      <c r="E520" s="1491"/>
      <c r="F520" s="1491"/>
      <c r="G520" s="1491"/>
      <c r="H520" s="1492"/>
      <c r="I520" s="29" t="s">
        <v>469</v>
      </c>
      <c r="J520" s="29"/>
      <c r="K520" s="29"/>
      <c r="L520" s="29"/>
      <c r="M520" s="29"/>
      <c r="N520" s="29"/>
      <c r="O520" s="29"/>
      <c r="P520" s="29"/>
      <c r="Q520" s="29"/>
      <c r="R520" s="29"/>
      <c r="S520" s="29"/>
      <c r="T520" s="29"/>
      <c r="U520" s="29"/>
      <c r="V520" s="29"/>
      <c r="W520" s="29"/>
      <c r="X520" s="29"/>
      <c r="Y520" s="29"/>
      <c r="AC520" s="1456" t="s">
        <v>672</v>
      </c>
      <c r="AD520" s="1436"/>
      <c r="AE520" s="1436"/>
      <c r="AF520" s="1436"/>
      <c r="AG520" s="79" t="s">
        <v>451</v>
      </c>
      <c r="AH520" s="1262"/>
      <c r="AI520" s="1262"/>
      <c r="AJ520" s="1262"/>
      <c r="AK520" s="1263"/>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2.75">
      <c r="B521" s="1490"/>
      <c r="C521" s="1491"/>
      <c r="D521" s="1491"/>
      <c r="E521" s="1491"/>
      <c r="F521" s="1491"/>
      <c r="G521" s="1491"/>
      <c r="H521" s="1492"/>
      <c r="I521" s="84" t="s">
        <v>470</v>
      </c>
      <c r="J521" s="84"/>
      <c r="K521" s="84"/>
      <c r="L521" s="84"/>
      <c r="M521" s="84"/>
      <c r="N521" s="84"/>
      <c r="O521" s="84"/>
      <c r="P521" s="84"/>
      <c r="Q521" s="84"/>
      <c r="R521" s="84"/>
      <c r="S521" s="84"/>
      <c r="T521" s="84"/>
      <c r="U521" s="84"/>
      <c r="V521" s="84"/>
      <c r="W521" s="84"/>
      <c r="X521" s="84"/>
      <c r="Y521" s="84"/>
      <c r="Z521" s="84"/>
      <c r="AA521" s="84"/>
      <c r="AB521" s="84"/>
      <c r="AC521" s="1456" t="s">
        <v>672</v>
      </c>
      <c r="AD521" s="1436"/>
      <c r="AE521" s="1436"/>
      <c r="AF521" s="1436"/>
      <c r="AG521" s="69" t="s">
        <v>451</v>
      </c>
      <c r="AH521" s="1262"/>
      <c r="AI521" s="1262"/>
      <c r="AJ521" s="1262"/>
      <c r="AK521" s="1263"/>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2.75">
      <c r="B522" s="1490"/>
      <c r="C522" s="1491"/>
      <c r="D522" s="1491"/>
      <c r="E522" s="1491"/>
      <c r="F522" s="1491"/>
      <c r="G522" s="1491"/>
      <c r="H522" s="1492"/>
      <c r="I522" s="76" t="s">
        <v>471</v>
      </c>
      <c r="J522" s="76"/>
      <c r="K522" s="76"/>
      <c r="L522" s="76"/>
      <c r="M522" s="76"/>
      <c r="N522" s="76"/>
      <c r="O522" s="1121" t="s">
        <v>361</v>
      </c>
      <c r="P522" s="1121"/>
      <c r="Q522" s="1121"/>
      <c r="R522" s="1121"/>
      <c r="S522" s="1121"/>
      <c r="T522" s="1121"/>
      <c r="U522" s="1121"/>
      <c r="V522" s="1121"/>
      <c r="W522" s="1121"/>
      <c r="X522" s="1121"/>
      <c r="Y522" s="1121"/>
      <c r="Z522" s="1121"/>
      <c r="AA522" s="1121"/>
      <c r="AC522" s="1456" t="s">
        <v>672</v>
      </c>
      <c r="AD522" s="1436"/>
      <c r="AE522" s="1436"/>
      <c r="AF522" s="1436"/>
      <c r="AG522" s="79" t="s">
        <v>451</v>
      </c>
      <c r="AH522" s="1262"/>
      <c r="AI522" s="1262"/>
      <c r="AJ522" s="1262"/>
      <c r="AK522" s="1263"/>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2.75">
      <c r="B523" s="1490"/>
      <c r="C523" s="1491"/>
      <c r="D523" s="1491"/>
      <c r="E523" s="1491"/>
      <c r="F523" s="1491"/>
      <c r="G523" s="1491"/>
      <c r="H523" s="1492"/>
      <c r="I523" s="29" t="s">
        <v>469</v>
      </c>
      <c r="J523" s="29"/>
      <c r="K523" s="29"/>
      <c r="L523" s="29"/>
      <c r="M523" s="29"/>
      <c r="N523" s="29"/>
      <c r="O523" s="29"/>
      <c r="P523" s="29"/>
      <c r="Q523" s="29"/>
      <c r="R523" s="29"/>
      <c r="S523" s="29"/>
      <c r="T523" s="29"/>
      <c r="U523" s="29"/>
      <c r="V523" s="29"/>
      <c r="W523" s="29"/>
      <c r="X523" s="29"/>
      <c r="Y523" s="29"/>
      <c r="AC523" s="1456" t="s">
        <v>672</v>
      </c>
      <c r="AD523" s="1436"/>
      <c r="AE523" s="1436"/>
      <c r="AF523" s="1436"/>
      <c r="AG523" s="79" t="s">
        <v>451</v>
      </c>
      <c r="AH523" s="1262"/>
      <c r="AI523" s="1262"/>
      <c r="AJ523" s="1262"/>
      <c r="AK523" s="1263"/>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2.75">
      <c r="B524" s="1490"/>
      <c r="C524" s="1491"/>
      <c r="D524" s="1491"/>
      <c r="E524" s="1491"/>
      <c r="F524" s="1491"/>
      <c r="G524" s="1491"/>
      <c r="H524" s="1492"/>
      <c r="I524" s="84" t="s">
        <v>470</v>
      </c>
      <c r="J524" s="84"/>
      <c r="K524" s="84"/>
      <c r="L524" s="84"/>
      <c r="M524" s="84"/>
      <c r="N524" s="84"/>
      <c r="O524" s="84"/>
      <c r="P524" s="84"/>
      <c r="Q524" s="84"/>
      <c r="R524" s="84"/>
      <c r="S524" s="84"/>
      <c r="T524" s="84"/>
      <c r="U524" s="84"/>
      <c r="V524" s="84"/>
      <c r="W524" s="84"/>
      <c r="X524" s="84"/>
      <c r="Y524" s="84"/>
      <c r="Z524" s="84"/>
      <c r="AA524" s="84"/>
      <c r="AB524" s="84"/>
      <c r="AC524" s="1456" t="s">
        <v>672</v>
      </c>
      <c r="AD524" s="1436"/>
      <c r="AE524" s="1436"/>
      <c r="AF524" s="1436"/>
      <c r="AG524" s="69" t="s">
        <v>451</v>
      </c>
      <c r="AH524" s="1262"/>
      <c r="AI524" s="1262"/>
      <c r="AJ524" s="1262"/>
      <c r="AK524" s="1263"/>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2.75">
      <c r="B525" s="1490"/>
      <c r="C525" s="1491"/>
      <c r="D525" s="1491"/>
      <c r="E525" s="1491"/>
      <c r="F525" s="1491"/>
      <c r="G525" s="1491"/>
      <c r="H525" s="1492"/>
      <c r="I525" s="76" t="s">
        <v>471</v>
      </c>
      <c r="J525" s="76"/>
      <c r="K525" s="76"/>
      <c r="L525" s="76"/>
      <c r="M525" s="76"/>
      <c r="N525" s="76"/>
      <c r="O525" s="1121" t="s">
        <v>361</v>
      </c>
      <c r="P525" s="1121"/>
      <c r="Q525" s="1121"/>
      <c r="R525" s="1121"/>
      <c r="S525" s="1121"/>
      <c r="T525" s="1121"/>
      <c r="U525" s="1121"/>
      <c r="V525" s="1121"/>
      <c r="W525" s="1121"/>
      <c r="X525" s="1121"/>
      <c r="Y525" s="1121"/>
      <c r="Z525" s="1121"/>
      <c r="AA525" s="1121"/>
      <c r="AC525" s="1456" t="s">
        <v>672</v>
      </c>
      <c r="AD525" s="1436"/>
      <c r="AE525" s="1436"/>
      <c r="AF525" s="1436"/>
      <c r="AG525" s="79" t="s">
        <v>451</v>
      </c>
      <c r="AH525" s="1262"/>
      <c r="AI525" s="1262"/>
      <c r="AJ525" s="1262"/>
      <c r="AK525" s="1263"/>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2.75">
      <c r="B526" s="1490"/>
      <c r="C526" s="1491"/>
      <c r="D526" s="1491"/>
      <c r="E526" s="1491"/>
      <c r="F526" s="1491"/>
      <c r="G526" s="1491"/>
      <c r="H526" s="1492"/>
      <c r="I526" s="29" t="s">
        <v>469</v>
      </c>
      <c r="J526" s="29"/>
      <c r="K526" s="29"/>
      <c r="L526" s="29"/>
      <c r="M526" s="29"/>
      <c r="N526" s="29"/>
      <c r="O526" s="29"/>
      <c r="P526" s="29"/>
      <c r="Q526" s="29"/>
      <c r="R526" s="29"/>
      <c r="S526" s="29"/>
      <c r="T526" s="29"/>
      <c r="U526" s="29"/>
      <c r="V526" s="29"/>
      <c r="W526" s="29"/>
      <c r="X526" s="29"/>
      <c r="Y526" s="29"/>
      <c r="AC526" s="1456" t="s">
        <v>672</v>
      </c>
      <c r="AD526" s="1436"/>
      <c r="AE526" s="1436"/>
      <c r="AF526" s="1436"/>
      <c r="AG526" s="69" t="s">
        <v>451</v>
      </c>
      <c r="AH526" s="1262"/>
      <c r="AI526" s="1262"/>
      <c r="AJ526" s="1262"/>
      <c r="AK526" s="1263"/>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2.75">
      <c r="B527" s="1490"/>
      <c r="C527" s="1491"/>
      <c r="D527" s="1491"/>
      <c r="E527" s="1491"/>
      <c r="F527" s="1491"/>
      <c r="G527" s="1491"/>
      <c r="H527" s="1492"/>
      <c r="I527" s="84" t="s">
        <v>470</v>
      </c>
      <c r="J527" s="84"/>
      <c r="K527" s="84"/>
      <c r="L527" s="84"/>
      <c r="M527" s="84"/>
      <c r="N527" s="84"/>
      <c r="O527" s="84"/>
      <c r="P527" s="84"/>
      <c r="Q527" s="84"/>
      <c r="R527" s="84"/>
      <c r="S527" s="84"/>
      <c r="T527" s="84"/>
      <c r="U527" s="84"/>
      <c r="V527" s="84"/>
      <c r="W527" s="84"/>
      <c r="X527" s="84"/>
      <c r="Y527" s="84"/>
      <c r="Z527" s="84"/>
      <c r="AA527" s="84"/>
      <c r="AB527" s="84"/>
      <c r="AC527" s="1456" t="s">
        <v>672</v>
      </c>
      <c r="AD527" s="1436"/>
      <c r="AE527" s="1436"/>
      <c r="AF527" s="1436"/>
      <c r="AG527" s="79" t="s">
        <v>451</v>
      </c>
      <c r="AH527" s="1262"/>
      <c r="AI527" s="1262"/>
      <c r="AJ527" s="1262"/>
      <c r="AK527" s="1263"/>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2.75">
      <c r="B528" s="1490"/>
      <c r="C528" s="1491"/>
      <c r="D528" s="1491"/>
      <c r="E528" s="1491"/>
      <c r="F528" s="1491"/>
      <c r="G528" s="1491"/>
      <c r="H528" s="1492"/>
      <c r="I528" s="76" t="s">
        <v>471</v>
      </c>
      <c r="J528" s="76"/>
      <c r="K528" s="76"/>
      <c r="L528" s="76"/>
      <c r="M528" s="76"/>
      <c r="N528" s="76"/>
      <c r="O528" s="1121" t="s">
        <v>361</v>
      </c>
      <c r="P528" s="1121"/>
      <c r="Q528" s="1121"/>
      <c r="R528" s="1121"/>
      <c r="S528" s="1121"/>
      <c r="T528" s="1121"/>
      <c r="U528" s="1121"/>
      <c r="V528" s="1121"/>
      <c r="W528" s="1121"/>
      <c r="X528" s="1121"/>
      <c r="Y528" s="1121"/>
      <c r="Z528" s="1121"/>
      <c r="AA528" s="1121"/>
      <c r="AC528" s="1456" t="s">
        <v>672</v>
      </c>
      <c r="AD528" s="1436"/>
      <c r="AE528" s="1436"/>
      <c r="AF528" s="1436"/>
      <c r="AG528" s="69" t="s">
        <v>451</v>
      </c>
      <c r="AH528" s="1262"/>
      <c r="AI528" s="1262"/>
      <c r="AJ528" s="1262"/>
      <c r="AK528" s="1263"/>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2.75">
      <c r="B529" s="1490"/>
      <c r="C529" s="1491"/>
      <c r="D529" s="1491"/>
      <c r="E529" s="1491"/>
      <c r="F529" s="1491"/>
      <c r="G529" s="1491"/>
      <c r="H529" s="1492"/>
      <c r="I529" s="29" t="s">
        <v>469</v>
      </c>
      <c r="J529" s="29"/>
      <c r="K529" s="29"/>
      <c r="L529" s="29"/>
      <c r="M529" s="29"/>
      <c r="N529" s="29"/>
      <c r="O529" s="29"/>
      <c r="P529" s="29"/>
      <c r="Q529" s="29"/>
      <c r="R529" s="29"/>
      <c r="S529" s="29"/>
      <c r="T529" s="29"/>
      <c r="U529" s="29"/>
      <c r="V529" s="29"/>
      <c r="W529" s="29"/>
      <c r="X529" s="29"/>
      <c r="Y529" s="29"/>
      <c r="AC529" s="1456" t="s">
        <v>672</v>
      </c>
      <c r="AD529" s="1436"/>
      <c r="AE529" s="1436"/>
      <c r="AF529" s="1436"/>
      <c r="AG529" s="79" t="s">
        <v>451</v>
      </c>
      <c r="AH529" s="1262"/>
      <c r="AI529" s="1262"/>
      <c r="AJ529" s="1262"/>
      <c r="AK529" s="1263"/>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2.75">
      <c r="B530" s="1490"/>
      <c r="C530" s="1491"/>
      <c r="D530" s="1491"/>
      <c r="E530" s="1491"/>
      <c r="F530" s="1491"/>
      <c r="G530" s="1491"/>
      <c r="H530" s="1492"/>
      <c r="I530" s="84" t="s">
        <v>470</v>
      </c>
      <c r="J530" s="84"/>
      <c r="K530" s="84"/>
      <c r="L530" s="84"/>
      <c r="M530" s="84"/>
      <c r="N530" s="84"/>
      <c r="O530" s="84"/>
      <c r="P530" s="84"/>
      <c r="Q530" s="84"/>
      <c r="R530" s="84"/>
      <c r="S530" s="84"/>
      <c r="T530" s="84"/>
      <c r="U530" s="84"/>
      <c r="V530" s="84"/>
      <c r="W530" s="84"/>
      <c r="X530" s="84"/>
      <c r="Y530" s="84"/>
      <c r="Z530" s="84"/>
      <c r="AA530" s="84"/>
      <c r="AB530" s="84"/>
      <c r="AC530" s="1456" t="s">
        <v>672</v>
      </c>
      <c r="AD530" s="1436"/>
      <c r="AE530" s="1436"/>
      <c r="AF530" s="1436"/>
      <c r="AG530" s="69" t="s">
        <v>451</v>
      </c>
      <c r="AH530" s="1262"/>
      <c r="AI530" s="1262"/>
      <c r="AJ530" s="1262"/>
      <c r="AK530" s="1263"/>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2.75">
      <c r="B531" s="1490"/>
      <c r="C531" s="1491"/>
      <c r="D531" s="1491"/>
      <c r="E531" s="1491"/>
      <c r="F531" s="1491"/>
      <c r="G531" s="1491"/>
      <c r="H531" s="1492"/>
      <c r="I531" s="76" t="s">
        <v>641</v>
      </c>
      <c r="J531" s="76"/>
      <c r="K531" s="76"/>
      <c r="L531" s="76"/>
      <c r="M531" s="76"/>
      <c r="N531" s="76"/>
      <c r="O531" s="76"/>
      <c r="P531" s="76"/>
      <c r="Q531" s="76"/>
      <c r="R531" s="76"/>
      <c r="S531" s="76"/>
      <c r="T531" s="76"/>
      <c r="U531" s="76"/>
      <c r="V531" s="76"/>
      <c r="W531" s="76"/>
      <c r="X531" s="29"/>
      <c r="Y531" s="29"/>
      <c r="AC531" s="1456">
        <v>12</v>
      </c>
      <c r="AD531" s="1436"/>
      <c r="AE531" s="1436"/>
      <c r="AF531" s="1436"/>
      <c r="AG531" s="69" t="s">
        <v>451</v>
      </c>
      <c r="AH531" s="1262">
        <v>2019</v>
      </c>
      <c r="AI531" s="1262"/>
      <c r="AJ531" s="1262"/>
      <c r="AK531" s="1263"/>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2.75">
      <c r="B532" s="1490"/>
      <c r="C532" s="1491"/>
      <c r="D532" s="1491"/>
      <c r="E532" s="1491"/>
      <c r="F532" s="1491"/>
      <c r="G532" s="1491"/>
      <c r="H532" s="1492"/>
      <c r="I532" s="29" t="s">
        <v>642</v>
      </c>
      <c r="J532" s="29"/>
      <c r="K532" s="29"/>
      <c r="L532" s="29"/>
      <c r="M532" s="29"/>
      <c r="N532" s="29"/>
      <c r="O532" s="29"/>
      <c r="P532" s="29"/>
      <c r="Q532" s="29"/>
      <c r="R532" s="29"/>
      <c r="S532" s="29"/>
      <c r="T532" s="29"/>
      <c r="U532" s="29"/>
      <c r="V532" s="29"/>
      <c r="W532" s="29"/>
      <c r="X532" s="29"/>
      <c r="Y532" s="29"/>
      <c r="AC532" s="1456">
        <v>1</v>
      </c>
      <c r="AD532" s="1436"/>
      <c r="AE532" s="1436"/>
      <c r="AF532" s="1436"/>
      <c r="AG532" s="79" t="s">
        <v>451</v>
      </c>
      <c r="AH532" s="1262">
        <v>2020</v>
      </c>
      <c r="AI532" s="1262"/>
      <c r="AJ532" s="1262"/>
      <c r="AK532" s="1263"/>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2.75">
      <c r="B533" s="1490"/>
      <c r="C533" s="1491"/>
      <c r="D533" s="1491"/>
      <c r="E533" s="1491"/>
      <c r="F533" s="1491"/>
      <c r="G533" s="1491"/>
      <c r="H533" s="1492"/>
      <c r="I533" s="29" t="s">
        <v>643</v>
      </c>
      <c r="J533" s="29"/>
      <c r="K533" s="29"/>
      <c r="L533" s="29"/>
      <c r="M533" s="29"/>
      <c r="N533" s="29"/>
      <c r="O533" s="29"/>
      <c r="P533" s="29"/>
      <c r="Q533" s="29"/>
      <c r="R533" s="29"/>
      <c r="S533" s="29"/>
      <c r="T533" s="29"/>
      <c r="U533" s="29"/>
      <c r="V533" s="29"/>
      <c r="W533" s="29"/>
      <c r="X533" s="29"/>
      <c r="Y533" s="29"/>
      <c r="AC533" s="1456">
        <v>12</v>
      </c>
      <c r="AD533" s="1436"/>
      <c r="AE533" s="1436"/>
      <c r="AF533" s="1436"/>
      <c r="AG533" s="69" t="s">
        <v>451</v>
      </c>
      <c r="AH533" s="1262">
        <v>2020</v>
      </c>
      <c r="AI533" s="1262"/>
      <c r="AJ533" s="1262"/>
      <c r="AK533" s="1263"/>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2.75">
      <c r="B534" s="1490"/>
      <c r="C534" s="1491"/>
      <c r="D534" s="1491"/>
      <c r="E534" s="1491"/>
      <c r="F534" s="1491"/>
      <c r="G534" s="1491"/>
      <c r="H534" s="1492"/>
      <c r="I534" s="29" t="s">
        <v>644</v>
      </c>
      <c r="J534" s="29"/>
      <c r="K534" s="29"/>
      <c r="L534" s="29"/>
      <c r="M534" s="29"/>
      <c r="N534" s="29"/>
      <c r="O534" s="29"/>
      <c r="P534" s="29"/>
      <c r="Q534" s="29"/>
      <c r="R534" s="29"/>
      <c r="S534" s="29"/>
      <c r="T534" s="29"/>
      <c r="U534" s="29"/>
      <c r="V534" s="29"/>
      <c r="W534" s="29"/>
      <c r="X534" s="29"/>
      <c r="Y534" s="29"/>
      <c r="AC534" s="1456">
        <v>12</v>
      </c>
      <c r="AD534" s="1436"/>
      <c r="AE534" s="1436"/>
      <c r="AF534" s="1436"/>
      <c r="AG534" s="69" t="s">
        <v>451</v>
      </c>
      <c r="AH534" s="1262">
        <v>2020</v>
      </c>
      <c r="AI534" s="1262"/>
      <c r="AJ534" s="1262"/>
      <c r="AK534" s="1263"/>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2.75">
      <c r="B535" s="1493"/>
      <c r="C535" s="1494"/>
      <c r="D535" s="1494"/>
      <c r="E535" s="1494"/>
      <c r="F535" s="1494"/>
      <c r="G535" s="1494"/>
      <c r="H535" s="1495"/>
      <c r="I535" s="84" t="s">
        <v>525</v>
      </c>
      <c r="J535" s="84"/>
      <c r="K535" s="84"/>
      <c r="L535" s="84"/>
      <c r="M535" s="84"/>
      <c r="N535" s="84"/>
      <c r="O535" s="84"/>
      <c r="P535" s="84"/>
      <c r="Q535" s="84"/>
      <c r="R535" s="84"/>
      <c r="S535" s="84"/>
      <c r="T535" s="84"/>
      <c r="U535" s="84"/>
      <c r="V535" s="84"/>
      <c r="W535" s="84"/>
      <c r="X535" s="84"/>
      <c r="Y535" s="84"/>
      <c r="Z535" s="84"/>
      <c r="AA535" s="84"/>
      <c r="AB535" s="84"/>
      <c r="AC535" s="1456">
        <v>12</v>
      </c>
      <c r="AD535" s="1436"/>
      <c r="AE535" s="1436"/>
      <c r="AF535" s="1436"/>
      <c r="AG535" s="69" t="s">
        <v>451</v>
      </c>
      <c r="AH535" s="1262">
        <v>2020</v>
      </c>
      <c r="AI535" s="1262"/>
      <c r="AJ535" s="1262"/>
      <c r="AK535" s="1263"/>
      <c r="AM535" s="62" t="s">
        <v>121</v>
      </c>
      <c r="AN535" s="62" t="str">
        <f>AG640</f>
        <v>Yes</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2.75">
      <c r="A537" s="977" t="s">
        <v>620</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5"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5"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2.75">
      <c r="A540" s="54" t="s">
        <v>345</v>
      </c>
      <c r="B540" s="54"/>
      <c r="C540" s="54" t="s">
        <v>526</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2.75">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2.75">
      <c r="A542" s="54"/>
      <c r="B542" s="54"/>
      <c r="C542" s="54"/>
      <c r="D542" s="53" t="s">
        <v>25</v>
      </c>
      <c r="AM542" s="62" t="s">
        <v>127</v>
      </c>
      <c r="AN542" s="62" t="str">
        <f>N648</f>
        <v>Yes</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662</v>
      </c>
      <c r="AN543" s="62" t="str">
        <f>AG648</f>
        <v>No</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457" t="s">
        <v>527</v>
      </c>
      <c r="C544" s="1458"/>
      <c r="D544" s="1458"/>
      <c r="E544" s="1458"/>
      <c r="F544" s="1458"/>
      <c r="G544" s="1458"/>
      <c r="H544" s="1458"/>
      <c r="I544" s="1458"/>
      <c r="J544" s="1458"/>
      <c r="K544" s="1458"/>
      <c r="L544" s="1458"/>
      <c r="M544" s="1458"/>
      <c r="N544" s="1458"/>
      <c r="O544" s="1459"/>
      <c r="P544" s="1457" t="s">
        <v>350</v>
      </c>
      <c r="Q544" s="1458"/>
      <c r="R544" s="1458"/>
      <c r="S544" s="1458"/>
      <c r="T544" s="1459"/>
      <c r="U544" s="1457" t="s">
        <v>528</v>
      </c>
      <c r="V544" s="1458"/>
      <c r="W544" s="1458"/>
      <c r="X544" s="1458"/>
      <c r="Y544" s="1459"/>
      <c r="Z544" s="1443" t="s">
        <v>1505</v>
      </c>
      <c r="AA544" s="1444"/>
      <c r="AB544" s="1444"/>
      <c r="AC544" s="1444"/>
      <c r="AD544" s="1445"/>
      <c r="AE544" s="1457" t="s">
        <v>529</v>
      </c>
      <c r="AF544" s="1458"/>
      <c r="AG544" s="1458"/>
      <c r="AH544" s="1458"/>
      <c r="AI544" s="1458"/>
      <c r="AJ544" s="1458"/>
      <c r="AK544" s="1459"/>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2.75">
      <c r="B545" s="87" t="s">
        <v>120</v>
      </c>
      <c r="C545" s="1284" t="s">
        <v>1711</v>
      </c>
      <c r="D545" s="1126"/>
      <c r="E545" s="1126"/>
      <c r="F545" s="1126"/>
      <c r="G545" s="1126"/>
      <c r="H545" s="1126"/>
      <c r="I545" s="1126"/>
      <c r="J545" s="1126"/>
      <c r="K545" s="1126"/>
      <c r="L545" s="1126"/>
      <c r="M545" s="1126"/>
      <c r="N545" s="1126"/>
      <c r="O545" s="1437"/>
      <c r="P545" s="1261">
        <v>24</v>
      </c>
      <c r="Q545" s="1262"/>
      <c r="R545" s="1262"/>
      <c r="S545" s="1262"/>
      <c r="T545" s="1263"/>
      <c r="U545" s="1440">
        <v>3.4500000000000003E-2</v>
      </c>
      <c r="V545" s="1441"/>
      <c r="W545" s="1441"/>
      <c r="X545" s="1441"/>
      <c r="Y545" s="1442"/>
      <c r="Z545" s="1247" t="s">
        <v>1674</v>
      </c>
      <c r="AA545" s="1247"/>
      <c r="AB545" s="1247"/>
      <c r="AC545" s="1247"/>
      <c r="AD545" s="1248"/>
      <c r="AE545" s="1160">
        <f>15617000-1632801</f>
        <v>13984199</v>
      </c>
      <c r="AF545" s="1161"/>
      <c r="AG545" s="1161"/>
      <c r="AH545" s="1161"/>
      <c r="AI545" s="1161"/>
      <c r="AJ545" s="1161"/>
      <c r="AK545" s="11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2.75">
      <c r="B546" s="88" t="s">
        <v>121</v>
      </c>
      <c r="C546" s="1284" t="s">
        <v>1717</v>
      </c>
      <c r="D546" s="1126"/>
      <c r="E546" s="1126"/>
      <c r="F546" s="1126"/>
      <c r="G546" s="1126"/>
      <c r="H546" s="1126"/>
      <c r="I546" s="1126"/>
      <c r="J546" s="1126"/>
      <c r="K546" s="1126"/>
      <c r="L546" s="1126"/>
      <c r="M546" s="1126"/>
      <c r="N546" s="1126"/>
      <c r="O546" s="1437"/>
      <c r="P546" s="1261" t="s">
        <v>270</v>
      </c>
      <c r="Q546" s="1262"/>
      <c r="R546" s="1262"/>
      <c r="S546" s="1262"/>
      <c r="T546" s="1263"/>
      <c r="U546" s="1440"/>
      <c r="V546" s="1441"/>
      <c r="W546" s="1441"/>
      <c r="X546" s="1441"/>
      <c r="Y546" s="1442"/>
      <c r="Z546" s="1247"/>
      <c r="AA546" s="1247"/>
      <c r="AB546" s="1247"/>
      <c r="AC546" s="1247"/>
      <c r="AD546" s="1248"/>
      <c r="AE546" s="1160">
        <f>AG619</f>
        <v>248785</v>
      </c>
      <c r="AF546" s="1161"/>
      <c r="AG546" s="1161"/>
      <c r="AH546" s="1161"/>
      <c r="AI546" s="1161"/>
      <c r="AJ546" s="1161"/>
      <c r="AK546" s="11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2.75">
      <c r="B547" s="88" t="s">
        <v>127</v>
      </c>
      <c r="C547" s="1284" t="s">
        <v>1663</v>
      </c>
      <c r="D547" s="1126"/>
      <c r="E547" s="1126"/>
      <c r="F547" s="1126"/>
      <c r="G547" s="1126"/>
      <c r="H547" s="1126"/>
      <c r="I547" s="1126"/>
      <c r="J547" s="1126"/>
      <c r="K547" s="1126"/>
      <c r="L547" s="1126"/>
      <c r="M547" s="1126"/>
      <c r="N547" s="1126"/>
      <c r="O547" s="1437"/>
      <c r="P547" s="1261"/>
      <c r="Q547" s="1262"/>
      <c r="R547" s="1262"/>
      <c r="S547" s="1262"/>
      <c r="T547" s="1263"/>
      <c r="U547" s="1440"/>
      <c r="V547" s="1441"/>
      <c r="W547" s="1441"/>
      <c r="X547" s="1441"/>
      <c r="Y547" s="1442"/>
      <c r="Z547" s="1246"/>
      <c r="AA547" s="1247"/>
      <c r="AB547" s="1247"/>
      <c r="AC547" s="1247"/>
      <c r="AD547" s="1248"/>
      <c r="AE547" s="1160">
        <f>AG620</f>
        <v>1845775</v>
      </c>
      <c r="AF547" s="1161"/>
      <c r="AG547" s="1161"/>
      <c r="AH547" s="1161"/>
      <c r="AI547" s="1161"/>
      <c r="AJ547" s="1161"/>
      <c r="AK547" s="11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2.75">
      <c r="B548" s="88" t="s">
        <v>662</v>
      </c>
      <c r="C548" s="1284"/>
      <c r="D548" s="1126"/>
      <c r="E548" s="1126"/>
      <c r="F548" s="1126"/>
      <c r="G548" s="1126"/>
      <c r="H548" s="1126"/>
      <c r="I548" s="1126"/>
      <c r="J548" s="1126"/>
      <c r="K548" s="1126"/>
      <c r="L548" s="1126"/>
      <c r="M548" s="1126"/>
      <c r="N548" s="1126"/>
      <c r="O548" s="1437"/>
      <c r="P548" s="1261"/>
      <c r="Q548" s="1262"/>
      <c r="R548" s="1262"/>
      <c r="S548" s="1262"/>
      <c r="T548" s="1263"/>
      <c r="U548" s="1440"/>
      <c r="V548" s="1441"/>
      <c r="W548" s="1441"/>
      <c r="X548" s="1441"/>
      <c r="Y548" s="1442"/>
      <c r="Z548" s="1247" t="s">
        <v>1506</v>
      </c>
      <c r="AA548" s="1247"/>
      <c r="AB548" s="1247"/>
      <c r="AC548" s="1247"/>
      <c r="AD548" s="1248"/>
      <c r="AE548" s="1160"/>
      <c r="AF548" s="1161"/>
      <c r="AG548" s="1161"/>
      <c r="AH548" s="1161"/>
      <c r="AI548" s="1161"/>
      <c r="AJ548" s="1161"/>
      <c r="AK548" s="11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2.75">
      <c r="B549" s="88" t="s">
        <v>874</v>
      </c>
      <c r="C549" s="1126"/>
      <c r="D549" s="1126"/>
      <c r="E549" s="1126"/>
      <c r="F549" s="1126"/>
      <c r="G549" s="1126"/>
      <c r="H549" s="1126"/>
      <c r="I549" s="1126"/>
      <c r="J549" s="1126"/>
      <c r="K549" s="1126"/>
      <c r="L549" s="1126"/>
      <c r="M549" s="1126"/>
      <c r="N549" s="1126"/>
      <c r="O549" s="1437"/>
      <c r="P549" s="1261"/>
      <c r="Q549" s="1262"/>
      <c r="R549" s="1262"/>
      <c r="S549" s="1262"/>
      <c r="T549" s="1263"/>
      <c r="U549" s="1440"/>
      <c r="V549" s="1441"/>
      <c r="W549" s="1441"/>
      <c r="X549" s="1441"/>
      <c r="Y549" s="1442"/>
      <c r="Z549" s="1247" t="s">
        <v>1506</v>
      </c>
      <c r="AA549" s="1247"/>
      <c r="AB549" s="1247"/>
      <c r="AC549" s="1247"/>
      <c r="AD549" s="1248"/>
      <c r="AE549" s="1160"/>
      <c r="AF549" s="1161"/>
      <c r="AG549" s="1161"/>
      <c r="AH549" s="1161"/>
      <c r="AI549" s="1161"/>
      <c r="AJ549" s="1161"/>
      <c r="AK549" s="11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2.75">
      <c r="B550" s="88" t="s">
        <v>665</v>
      </c>
      <c r="C550" s="1126"/>
      <c r="D550" s="1126"/>
      <c r="E550" s="1126"/>
      <c r="F550" s="1126"/>
      <c r="G550" s="1126"/>
      <c r="H550" s="1126"/>
      <c r="I550" s="1126"/>
      <c r="J550" s="1126"/>
      <c r="K550" s="1126"/>
      <c r="L550" s="1126"/>
      <c r="M550" s="1126"/>
      <c r="N550" s="1126"/>
      <c r="O550" s="1437"/>
      <c r="P550" s="1261"/>
      <c r="Q550" s="1262"/>
      <c r="R550" s="1262"/>
      <c r="S550" s="1262"/>
      <c r="T550" s="1263"/>
      <c r="U550" s="1440"/>
      <c r="V550" s="1441"/>
      <c r="W550" s="1441"/>
      <c r="X550" s="1441"/>
      <c r="Y550" s="1442"/>
      <c r="Z550" s="1247" t="s">
        <v>1506</v>
      </c>
      <c r="AA550" s="1247"/>
      <c r="AB550" s="1247"/>
      <c r="AC550" s="1247"/>
      <c r="AD550" s="1248"/>
      <c r="AE550" s="1160"/>
      <c r="AF550" s="1161"/>
      <c r="AG550" s="1161"/>
      <c r="AH550" s="1161"/>
      <c r="AI550" s="1161"/>
      <c r="AJ550" s="1161"/>
      <c r="AK550" s="1162"/>
      <c r="AM550" s="62" t="s">
        <v>874</v>
      </c>
      <c r="AN550" s="62" t="str">
        <f>N656</f>
        <v>No</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2.75">
      <c r="B551" s="88" t="s">
        <v>530</v>
      </c>
      <c r="C551" s="1126"/>
      <c r="D551" s="1126"/>
      <c r="E551" s="1126"/>
      <c r="F551" s="1126"/>
      <c r="G551" s="1126"/>
      <c r="H551" s="1126"/>
      <c r="I551" s="1126"/>
      <c r="J551" s="1126"/>
      <c r="K551" s="1126"/>
      <c r="L551" s="1126"/>
      <c r="M551" s="1126"/>
      <c r="N551" s="1126"/>
      <c r="O551" s="1437"/>
      <c r="P551" s="1261"/>
      <c r="Q551" s="1262"/>
      <c r="R551" s="1262"/>
      <c r="S551" s="1262"/>
      <c r="T551" s="1263"/>
      <c r="U551" s="1440"/>
      <c r="V551" s="1441"/>
      <c r="W551" s="1441"/>
      <c r="X551" s="1441"/>
      <c r="Y551" s="1442"/>
      <c r="Z551" s="1247" t="s">
        <v>1506</v>
      </c>
      <c r="AA551" s="1247"/>
      <c r="AB551" s="1247"/>
      <c r="AC551" s="1247"/>
      <c r="AD551" s="1248"/>
      <c r="AE551" s="1160"/>
      <c r="AF551" s="1161"/>
      <c r="AG551" s="1161"/>
      <c r="AH551" s="1161"/>
      <c r="AI551" s="1161"/>
      <c r="AJ551" s="1161"/>
      <c r="AK551" s="1162"/>
      <c r="AM551" s="62" t="s">
        <v>665</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531</v>
      </c>
      <c r="C552" s="1126"/>
      <c r="D552" s="1126"/>
      <c r="E552" s="1126"/>
      <c r="F552" s="1126"/>
      <c r="G552" s="1126"/>
      <c r="H552" s="1126"/>
      <c r="I552" s="1126"/>
      <c r="J552" s="1126"/>
      <c r="K552" s="1126"/>
      <c r="L552" s="1126"/>
      <c r="M552" s="1126"/>
      <c r="N552" s="1126"/>
      <c r="O552" s="1437"/>
      <c r="P552" s="1261"/>
      <c r="Q552" s="1262"/>
      <c r="R552" s="1262"/>
      <c r="S552" s="1262"/>
      <c r="T552" s="1263"/>
      <c r="U552" s="1440"/>
      <c r="V552" s="1441"/>
      <c r="W552" s="1441"/>
      <c r="X552" s="1441"/>
      <c r="Y552" s="1442"/>
      <c r="Z552" s="1247" t="s">
        <v>1506</v>
      </c>
      <c r="AA552" s="1247"/>
      <c r="AB552" s="1247"/>
      <c r="AC552" s="1247"/>
      <c r="AD552" s="1248"/>
      <c r="AE552" s="1160"/>
      <c r="AF552" s="1161"/>
      <c r="AG552" s="1161"/>
      <c r="AH552" s="1161"/>
      <c r="AI552" s="1161"/>
      <c r="AJ552" s="1161"/>
      <c r="AK552" s="11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2.75">
      <c r="B553" s="88" t="s">
        <v>537</v>
      </c>
      <c r="C553" s="1126"/>
      <c r="D553" s="1126"/>
      <c r="E553" s="1126"/>
      <c r="F553" s="1126"/>
      <c r="G553" s="1126"/>
      <c r="H553" s="1126"/>
      <c r="I553" s="1126"/>
      <c r="J553" s="1126"/>
      <c r="K553" s="1126"/>
      <c r="L553" s="1126"/>
      <c r="M553" s="1126"/>
      <c r="N553" s="1126"/>
      <c r="O553" s="1437"/>
      <c r="P553" s="1261"/>
      <c r="Q553" s="1262"/>
      <c r="R553" s="1262"/>
      <c r="S553" s="1262"/>
      <c r="T553" s="1263"/>
      <c r="U553" s="1440"/>
      <c r="V553" s="1441"/>
      <c r="W553" s="1441"/>
      <c r="X553" s="1441"/>
      <c r="Y553" s="1442"/>
      <c r="Z553" s="1247" t="s">
        <v>1506</v>
      </c>
      <c r="AA553" s="1247"/>
      <c r="AB553" s="1247"/>
      <c r="AC553" s="1247"/>
      <c r="AD553" s="1248"/>
      <c r="AE553" s="1160"/>
      <c r="AF553" s="1161"/>
      <c r="AG553" s="1161"/>
      <c r="AH553" s="1161"/>
      <c r="AI553" s="1161"/>
      <c r="AJ553" s="1161"/>
      <c r="AK553" s="11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2.75">
      <c r="B554" s="88" t="s">
        <v>729</v>
      </c>
      <c r="C554" s="1126"/>
      <c r="D554" s="1126"/>
      <c r="E554" s="1126"/>
      <c r="F554" s="1126"/>
      <c r="G554" s="1126"/>
      <c r="H554" s="1126"/>
      <c r="I554" s="1126"/>
      <c r="J554" s="1126"/>
      <c r="K554" s="1126"/>
      <c r="L554" s="1126"/>
      <c r="M554" s="1126"/>
      <c r="N554" s="1126"/>
      <c r="O554" s="1437"/>
      <c r="P554" s="1261"/>
      <c r="Q554" s="1262"/>
      <c r="R554" s="1262"/>
      <c r="S554" s="1262"/>
      <c r="T554" s="1263"/>
      <c r="U554" s="1440"/>
      <c r="V554" s="1441"/>
      <c r="W554" s="1441"/>
      <c r="X554" s="1441"/>
      <c r="Y554" s="1442"/>
      <c r="Z554" s="1247" t="s">
        <v>1506</v>
      </c>
      <c r="AA554" s="1247"/>
      <c r="AB554" s="1247"/>
      <c r="AC554" s="1247"/>
      <c r="AD554" s="1248"/>
      <c r="AE554" s="1160"/>
      <c r="AF554" s="1161"/>
      <c r="AG554" s="1161"/>
      <c r="AH554" s="1161"/>
      <c r="AI554" s="1161"/>
      <c r="AJ554" s="1161"/>
      <c r="AK554" s="11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2.75">
      <c r="B555" s="88" t="s">
        <v>399</v>
      </c>
      <c r="C555" s="1126"/>
      <c r="D555" s="1126"/>
      <c r="E555" s="1126"/>
      <c r="F555" s="1126"/>
      <c r="G555" s="1126"/>
      <c r="H555" s="1126"/>
      <c r="I555" s="1126"/>
      <c r="J555" s="1126"/>
      <c r="K555" s="1126"/>
      <c r="L555" s="1126"/>
      <c r="M555" s="1126"/>
      <c r="N555" s="1126"/>
      <c r="O555" s="1437"/>
      <c r="P555" s="1261"/>
      <c r="Q555" s="1262"/>
      <c r="R555" s="1262"/>
      <c r="S555" s="1262"/>
      <c r="T555" s="1263"/>
      <c r="U555" s="1440"/>
      <c r="V555" s="1441"/>
      <c r="W555" s="1441"/>
      <c r="X555" s="1441"/>
      <c r="Y555" s="1442"/>
      <c r="Z555" s="1247" t="s">
        <v>1506</v>
      </c>
      <c r="AA555" s="1247"/>
      <c r="AB555" s="1247"/>
      <c r="AC555" s="1247"/>
      <c r="AD555" s="1248"/>
      <c r="AE555" s="1160"/>
      <c r="AF555" s="1161"/>
      <c r="AG555" s="1161"/>
      <c r="AH555" s="1161"/>
      <c r="AI555" s="1161"/>
      <c r="AJ555" s="1161"/>
      <c r="AK555" s="11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2.75">
      <c r="B556" s="88" t="s">
        <v>400</v>
      </c>
      <c r="C556" s="1126"/>
      <c r="D556" s="1126"/>
      <c r="E556" s="1126"/>
      <c r="F556" s="1126"/>
      <c r="G556" s="1126"/>
      <c r="H556" s="1126"/>
      <c r="I556" s="1126"/>
      <c r="J556" s="1126"/>
      <c r="K556" s="1126"/>
      <c r="L556" s="1126"/>
      <c r="M556" s="1126"/>
      <c r="N556" s="1126"/>
      <c r="O556" s="1437"/>
      <c r="P556" s="1261"/>
      <c r="Q556" s="1262"/>
      <c r="R556" s="1262"/>
      <c r="S556" s="1262"/>
      <c r="T556" s="1263"/>
      <c r="U556" s="1440"/>
      <c r="V556" s="1441"/>
      <c r="W556" s="1441"/>
      <c r="X556" s="1441"/>
      <c r="Y556" s="1442"/>
      <c r="Z556" s="1247" t="s">
        <v>1506</v>
      </c>
      <c r="AA556" s="1247"/>
      <c r="AB556" s="1247"/>
      <c r="AC556" s="1247"/>
      <c r="AD556" s="1248"/>
      <c r="AE556" s="1160"/>
      <c r="AF556" s="1161"/>
      <c r="AG556" s="1161"/>
      <c r="AH556" s="1161"/>
      <c r="AI556" s="1161"/>
      <c r="AJ556" s="1161"/>
      <c r="AK556" s="11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2.75">
      <c r="B557" s="1186" t="s">
        <v>135</v>
      </c>
      <c r="C557" s="1187"/>
      <c r="D557" s="1187"/>
      <c r="E557" s="1187"/>
      <c r="F557" s="1187"/>
      <c r="G557" s="1187"/>
      <c r="H557" s="1187"/>
      <c r="I557" s="1187"/>
      <c r="J557" s="1187"/>
      <c r="K557" s="1187"/>
      <c r="L557" s="1187"/>
      <c r="M557" s="1187"/>
      <c r="N557" s="1187"/>
      <c r="O557" s="1187"/>
      <c r="P557" s="1187"/>
      <c r="Q557" s="1187"/>
      <c r="R557" s="1187"/>
      <c r="S557" s="1187"/>
      <c r="T557" s="1187"/>
      <c r="U557" s="1187"/>
      <c r="V557" s="1187"/>
      <c r="W557" s="1187"/>
      <c r="X557" s="1187"/>
      <c r="Y557" s="1187"/>
      <c r="Z557" s="1187"/>
      <c r="AA557" s="1187"/>
      <c r="AB557" s="1187"/>
      <c r="AC557" s="1187"/>
      <c r="AD557" s="1188"/>
      <c r="AE557" s="1230">
        <f>SUM(AE545:AK556)</f>
        <v>16078759</v>
      </c>
      <c r="AF557" s="1231"/>
      <c r="AG557" s="1231"/>
      <c r="AH557" s="1231"/>
      <c r="AI557" s="1231"/>
      <c r="AJ557" s="1231"/>
      <c r="AK557" s="123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2.7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530</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2.75">
      <c r="A559" s="91" t="s">
        <v>120</v>
      </c>
      <c r="B559" s="15" t="s">
        <v>539</v>
      </c>
      <c r="G559" s="1123" t="str">
        <f>C545</f>
        <v>Umpqua - Tax-exempt bond loan</v>
      </c>
      <c r="H559" s="1123"/>
      <c r="I559" s="1123"/>
      <c r="J559" s="1123"/>
      <c r="K559" s="1123"/>
      <c r="L559" s="1123"/>
      <c r="M559" s="1123"/>
      <c r="N559" s="1123"/>
      <c r="O559" s="1123"/>
      <c r="P559" s="1123"/>
      <c r="Q559" s="1123"/>
      <c r="R559" s="1123"/>
      <c r="S559" s="17"/>
      <c r="T559" s="91" t="s">
        <v>121</v>
      </c>
      <c r="U559" s="15" t="s">
        <v>539</v>
      </c>
      <c r="Z559" s="1123" t="str">
        <f>C546</f>
        <v>Net operating income</v>
      </c>
      <c r="AA559" s="1123"/>
      <c r="AB559" s="1123"/>
      <c r="AC559" s="1123"/>
      <c r="AD559" s="1123"/>
      <c r="AE559" s="1123"/>
      <c r="AF559" s="1123"/>
      <c r="AG559" s="1123"/>
      <c r="AH559" s="1123"/>
      <c r="AI559" s="1123"/>
      <c r="AJ559" s="1123"/>
      <c r="AK559" s="1123"/>
      <c r="AM559" s="62" t="s">
        <v>531</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21" t="s">
        <v>1715</v>
      </c>
      <c r="H560" s="1121"/>
      <c r="I560" s="1121"/>
      <c r="J560" s="1121"/>
      <c r="K560" s="1121"/>
      <c r="L560" s="1121"/>
      <c r="M560" s="1121"/>
      <c r="N560" s="1121"/>
      <c r="O560" s="1121"/>
      <c r="P560" s="1121"/>
      <c r="Q560" s="1121"/>
      <c r="R560" s="1121"/>
      <c r="S560" s="17"/>
      <c r="T560" s="39"/>
      <c r="U560" s="15" t="s">
        <v>93</v>
      </c>
      <c r="Z560" s="1121"/>
      <c r="AA560" s="1121"/>
      <c r="AB560" s="1121"/>
      <c r="AC560" s="1121"/>
      <c r="AD560" s="1121"/>
      <c r="AE560" s="1121"/>
      <c r="AF560" s="1121"/>
      <c r="AG560" s="1121"/>
      <c r="AH560" s="1121"/>
      <c r="AI560" s="1121"/>
      <c r="AJ560" s="1121"/>
      <c r="AK560" s="1121"/>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661</v>
      </c>
      <c r="G561" s="1121" t="s">
        <v>1652</v>
      </c>
      <c r="H561" s="1121"/>
      <c r="I561" s="1121"/>
      <c r="J561" s="1121"/>
      <c r="K561" s="1121"/>
      <c r="L561" s="1121"/>
      <c r="M561" s="1121"/>
      <c r="N561" s="1121"/>
      <c r="O561" s="1121"/>
      <c r="P561" s="1121"/>
      <c r="Q561" s="1121"/>
      <c r="R561" s="1121"/>
      <c r="S561" s="92"/>
      <c r="T561" s="39"/>
      <c r="U561" s="15" t="s">
        <v>661</v>
      </c>
      <c r="Z561" s="1141"/>
      <c r="AA561" s="1141"/>
      <c r="AB561" s="1141"/>
      <c r="AC561" s="1141"/>
      <c r="AD561" s="1141"/>
      <c r="AE561" s="1141"/>
      <c r="AF561" s="1141"/>
      <c r="AG561" s="1141"/>
      <c r="AH561" s="1141"/>
      <c r="AI561" s="1141"/>
      <c r="AJ561" s="1141"/>
      <c r="AK561" s="1141"/>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21" t="s">
        <v>1713</v>
      </c>
      <c r="H562" s="1121"/>
      <c r="I562" s="1121"/>
      <c r="J562" s="1121"/>
      <c r="K562" s="1121"/>
      <c r="L562" s="1121"/>
      <c r="M562" s="1121"/>
      <c r="N562" s="1121"/>
      <c r="O562" s="1121"/>
      <c r="P562" s="1121"/>
      <c r="Q562" s="1121"/>
      <c r="R562" s="1121"/>
      <c r="S562" s="17"/>
      <c r="T562" s="39"/>
      <c r="U562" s="15" t="s">
        <v>20</v>
      </c>
      <c r="Z562" s="1141"/>
      <c r="AA562" s="1141"/>
      <c r="AB562" s="1141"/>
      <c r="AC562" s="1141"/>
      <c r="AD562" s="1141"/>
      <c r="AE562" s="1141"/>
      <c r="AF562" s="1141"/>
      <c r="AG562" s="1141"/>
      <c r="AH562" s="1141"/>
      <c r="AI562" s="1141"/>
      <c r="AJ562" s="1141"/>
      <c r="AK562" s="1141"/>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124" t="s">
        <v>1714</v>
      </c>
      <c r="H563" s="1125"/>
      <c r="I563" s="1125"/>
      <c r="J563" s="1125"/>
      <c r="K563" s="1125"/>
      <c r="L563" s="1125"/>
      <c r="O563" s="144" t="s">
        <v>224</v>
      </c>
      <c r="P563" s="1126"/>
      <c r="Q563" s="1126"/>
      <c r="R563" s="1126"/>
      <c r="S563" s="19"/>
      <c r="T563" s="39"/>
      <c r="U563" s="15" t="s">
        <v>342</v>
      </c>
      <c r="Z563" s="1124"/>
      <c r="AA563" s="1125"/>
      <c r="AB563" s="1125"/>
      <c r="AC563" s="1125"/>
      <c r="AD563" s="1125"/>
      <c r="AE563" s="1125"/>
      <c r="AH563" s="144" t="s">
        <v>224</v>
      </c>
      <c r="AI563" s="1126"/>
      <c r="AJ563" s="1126"/>
      <c r="AK563" s="1126"/>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21" t="s">
        <v>1672</v>
      </c>
      <c r="I564" s="1121"/>
      <c r="J564" s="1121"/>
      <c r="K564" s="1121"/>
      <c r="L564" s="1121"/>
      <c r="M564" s="1121"/>
      <c r="N564" s="1121"/>
      <c r="O564" s="1121"/>
      <c r="P564" s="1121"/>
      <c r="Q564" s="1121"/>
      <c r="R564" s="1121"/>
      <c r="S564" s="17"/>
      <c r="T564" s="39"/>
      <c r="U564" s="15" t="s">
        <v>21</v>
      </c>
      <c r="AA564" s="1121"/>
      <c r="AB564" s="1121"/>
      <c r="AC564" s="1121"/>
      <c r="AD564" s="1121"/>
      <c r="AE564" s="1121"/>
      <c r="AF564" s="1121"/>
      <c r="AG564" s="1121"/>
      <c r="AH564" s="1121"/>
      <c r="AI564" s="1121"/>
      <c r="AJ564" s="1121"/>
      <c r="AK564" s="1121"/>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1507</v>
      </c>
      <c r="C565" s="791"/>
      <c r="D565" s="791"/>
      <c r="E565" s="791"/>
      <c r="F565" s="791"/>
      <c r="G565" s="791"/>
      <c r="H565" s="17"/>
      <c r="I565" s="17"/>
      <c r="J565" s="17"/>
      <c r="K565" s="17"/>
      <c r="L565" s="17"/>
      <c r="M565" s="1561" t="s">
        <v>1673</v>
      </c>
      <c r="N565" s="1561"/>
      <c r="O565" s="1561"/>
      <c r="P565" s="1561"/>
      <c r="Q565" s="1561"/>
      <c r="R565" s="1561"/>
      <c r="S565" s="17"/>
      <c r="T565" s="39"/>
      <c r="U565" s="559" t="s">
        <v>1507</v>
      </c>
      <c r="V565" s="791"/>
      <c r="W565" s="791"/>
      <c r="X565" s="791"/>
      <c r="Y565" s="791"/>
      <c r="Z565" s="791"/>
      <c r="AA565" s="17"/>
      <c r="AB565" s="17"/>
      <c r="AC565" s="17"/>
      <c r="AD565" s="17"/>
      <c r="AE565" s="17"/>
      <c r="AF565" s="1561"/>
      <c r="AG565" s="1561"/>
      <c r="AH565" s="1561"/>
      <c r="AI565" s="1561"/>
      <c r="AJ565" s="1561"/>
      <c r="AK565" s="1561"/>
      <c r="AL565" s="791"/>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22" t="s">
        <v>622</v>
      </c>
      <c r="O566" s="1122"/>
      <c r="T566" s="39"/>
      <c r="U566" s="15" t="s">
        <v>23</v>
      </c>
      <c r="AG566" s="1122" t="s">
        <v>622</v>
      </c>
      <c r="AH566" s="112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539</v>
      </c>
      <c r="G568" s="1123" t="str">
        <f>C547</f>
        <v>Deferred developer fee</v>
      </c>
      <c r="H568" s="1123"/>
      <c r="I568" s="1123"/>
      <c r="J568" s="1123"/>
      <c r="K568" s="1123"/>
      <c r="L568" s="1123"/>
      <c r="M568" s="1123"/>
      <c r="N568" s="1123"/>
      <c r="O568" s="1123"/>
      <c r="P568" s="1123"/>
      <c r="Q568" s="1123"/>
      <c r="R568" s="1123"/>
      <c r="T568" s="91" t="s">
        <v>662</v>
      </c>
      <c r="U568" s="15" t="s">
        <v>539</v>
      </c>
      <c r="Z568" s="1123">
        <f>C548</f>
        <v>0</v>
      </c>
      <c r="AA568" s="1123"/>
      <c r="AB568" s="1123"/>
      <c r="AC568" s="1123"/>
      <c r="AD568" s="1123"/>
      <c r="AE568" s="1123"/>
      <c r="AF568" s="1123"/>
      <c r="AG568" s="1123"/>
      <c r="AH568" s="1123"/>
      <c r="AI568" s="1123"/>
      <c r="AJ568" s="1123"/>
      <c r="AK568" s="1123"/>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21" t="s">
        <v>1624</v>
      </c>
      <c r="H569" s="1121"/>
      <c r="I569" s="1121"/>
      <c r="J569" s="1121"/>
      <c r="K569" s="1121"/>
      <c r="L569" s="1121"/>
      <c r="M569" s="1121"/>
      <c r="N569" s="1121"/>
      <c r="O569" s="1121"/>
      <c r="P569" s="1121"/>
      <c r="Q569" s="1121"/>
      <c r="R569" s="1121"/>
      <c r="T569" s="39"/>
      <c r="U569" s="15" t="s">
        <v>93</v>
      </c>
      <c r="Z569" s="1121"/>
      <c r="AA569" s="1121"/>
      <c r="AB569" s="1121"/>
      <c r="AC569" s="1121"/>
      <c r="AD569" s="1121"/>
      <c r="AE569" s="1121"/>
      <c r="AF569" s="1121"/>
      <c r="AG569" s="1121"/>
      <c r="AH569" s="1121"/>
      <c r="AI569" s="1121"/>
      <c r="AJ569" s="1121"/>
      <c r="AK569" s="1121"/>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661</v>
      </c>
      <c r="G570" s="1141" t="s">
        <v>1613</v>
      </c>
      <c r="H570" s="1141"/>
      <c r="I570" s="1141"/>
      <c r="J570" s="1141"/>
      <c r="K570" s="1141"/>
      <c r="L570" s="1141"/>
      <c r="M570" s="1141"/>
      <c r="N570" s="1141"/>
      <c r="O570" s="1141"/>
      <c r="P570" s="1141"/>
      <c r="Q570" s="1141"/>
      <c r="R570" s="1141"/>
      <c r="T570" s="39"/>
      <c r="U570" s="15" t="s">
        <v>661</v>
      </c>
      <c r="Z570" s="1141"/>
      <c r="AA570" s="1141"/>
      <c r="AB570" s="1141"/>
      <c r="AC570" s="1141"/>
      <c r="AD570" s="1141"/>
      <c r="AE570" s="1141"/>
      <c r="AF570" s="1141"/>
      <c r="AG570" s="1141"/>
      <c r="AH570" s="1141"/>
      <c r="AI570" s="1141"/>
      <c r="AJ570" s="1141"/>
      <c r="AK570" s="1141"/>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41" t="s">
        <v>1615</v>
      </c>
      <c r="H571" s="1141"/>
      <c r="I571" s="1141"/>
      <c r="J571" s="1141"/>
      <c r="K571" s="1141"/>
      <c r="L571" s="1141"/>
      <c r="M571" s="1141"/>
      <c r="N571" s="1141"/>
      <c r="O571" s="1141"/>
      <c r="P571" s="1141"/>
      <c r="Q571" s="1141"/>
      <c r="R571" s="1141"/>
      <c r="T571" s="39"/>
      <c r="U571" s="15" t="s">
        <v>20</v>
      </c>
      <c r="Z571" s="1141"/>
      <c r="AA571" s="1141"/>
      <c r="AB571" s="1141"/>
      <c r="AC571" s="1141"/>
      <c r="AD571" s="1141"/>
      <c r="AE571" s="1141"/>
      <c r="AF571" s="1141"/>
      <c r="AG571" s="1141"/>
      <c r="AH571" s="1141"/>
      <c r="AI571" s="1141"/>
      <c r="AJ571" s="1141"/>
      <c r="AK571" s="1141"/>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124" t="s">
        <v>1616</v>
      </c>
      <c r="H572" s="1125"/>
      <c r="I572" s="1125"/>
      <c r="J572" s="1125"/>
      <c r="K572" s="1125"/>
      <c r="L572" s="1125"/>
      <c r="O572" s="144" t="s">
        <v>224</v>
      </c>
      <c r="P572" s="1126"/>
      <c r="Q572" s="1126"/>
      <c r="R572" s="1126"/>
      <c r="T572" s="39"/>
      <c r="U572" s="15" t="s">
        <v>342</v>
      </c>
      <c r="Z572" s="1125"/>
      <c r="AA572" s="1125"/>
      <c r="AB572" s="1125"/>
      <c r="AC572" s="1125"/>
      <c r="AD572" s="1125"/>
      <c r="AE572" s="1125"/>
      <c r="AH572" s="144" t="s">
        <v>224</v>
      </c>
      <c r="AI572" s="1126"/>
      <c r="AJ572" s="1126"/>
      <c r="AK572" s="1126"/>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21" t="s">
        <v>1664</v>
      </c>
      <c r="I573" s="1121"/>
      <c r="J573" s="1121"/>
      <c r="K573" s="1121"/>
      <c r="L573" s="1121"/>
      <c r="M573" s="1121"/>
      <c r="N573" s="1121"/>
      <c r="O573" s="1121"/>
      <c r="P573" s="1121"/>
      <c r="Q573" s="1121"/>
      <c r="R573" s="1121"/>
      <c r="T573" s="39"/>
      <c r="U573" s="15" t="s">
        <v>21</v>
      </c>
      <c r="AA573" s="1121"/>
      <c r="AB573" s="1121"/>
      <c r="AC573" s="1121"/>
      <c r="AD573" s="1121"/>
      <c r="AE573" s="1121"/>
      <c r="AF573" s="1121"/>
      <c r="AG573" s="1121"/>
      <c r="AH573" s="1121"/>
      <c r="AI573" s="1121"/>
      <c r="AJ573" s="1121"/>
      <c r="AK573" s="1121"/>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22" t="s">
        <v>622</v>
      </c>
      <c r="O574" s="1122"/>
      <c r="T574" s="39"/>
      <c r="U574" s="15" t="s">
        <v>23</v>
      </c>
      <c r="AG574" s="1122" t="s">
        <v>622</v>
      </c>
      <c r="AH574" s="112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874</v>
      </c>
      <c r="B576" s="15" t="s">
        <v>539</v>
      </c>
      <c r="G576" s="1123">
        <f>C549</f>
        <v>0</v>
      </c>
      <c r="H576" s="1123"/>
      <c r="I576" s="1123"/>
      <c r="J576" s="1123"/>
      <c r="K576" s="1123"/>
      <c r="L576" s="1123"/>
      <c r="M576" s="1123"/>
      <c r="N576" s="1123"/>
      <c r="O576" s="1123"/>
      <c r="P576" s="1123"/>
      <c r="Q576" s="1123"/>
      <c r="R576" s="1123"/>
      <c r="T576" s="91" t="s">
        <v>665</v>
      </c>
      <c r="U576" s="15" t="s">
        <v>539</v>
      </c>
      <c r="Z576" s="1123">
        <f>C550</f>
        <v>0</v>
      </c>
      <c r="AA576" s="1123"/>
      <c r="AB576" s="1123"/>
      <c r="AC576" s="1123"/>
      <c r="AD576" s="1123"/>
      <c r="AE576" s="1123"/>
      <c r="AF576" s="1123"/>
      <c r="AG576" s="1123"/>
      <c r="AH576" s="1123"/>
      <c r="AI576" s="1123"/>
      <c r="AJ576" s="1123"/>
      <c r="AK576" s="1123"/>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21"/>
      <c r="H577" s="1121"/>
      <c r="I577" s="1121"/>
      <c r="J577" s="1121"/>
      <c r="K577" s="1121"/>
      <c r="L577" s="1121"/>
      <c r="M577" s="1121"/>
      <c r="N577" s="1121"/>
      <c r="O577" s="1121"/>
      <c r="P577" s="1121"/>
      <c r="Q577" s="1121"/>
      <c r="R577" s="1121"/>
      <c r="T577" s="39"/>
      <c r="U577" s="15" t="s">
        <v>93</v>
      </c>
      <c r="Z577" s="1121"/>
      <c r="AA577" s="1121"/>
      <c r="AB577" s="1121"/>
      <c r="AC577" s="1121"/>
      <c r="AD577" s="1121"/>
      <c r="AE577" s="1121"/>
      <c r="AF577" s="1121"/>
      <c r="AG577" s="1121"/>
      <c r="AH577" s="1121"/>
      <c r="AI577" s="1121"/>
      <c r="AJ577" s="1121"/>
      <c r="AK577" s="1121"/>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661</v>
      </c>
      <c r="G578" s="1121"/>
      <c r="H578" s="1121"/>
      <c r="I578" s="1121"/>
      <c r="J578" s="1121"/>
      <c r="K578" s="1121"/>
      <c r="L578" s="1121"/>
      <c r="M578" s="1121"/>
      <c r="N578" s="1121"/>
      <c r="O578" s="1121"/>
      <c r="P578" s="1121"/>
      <c r="Q578" s="1121"/>
      <c r="R578" s="1121"/>
      <c r="T578" s="39"/>
      <c r="U578" s="15" t="s">
        <v>661</v>
      </c>
      <c r="Z578" s="1141"/>
      <c r="AA578" s="1141"/>
      <c r="AB578" s="1141"/>
      <c r="AC578" s="1141"/>
      <c r="AD578" s="1141"/>
      <c r="AE578" s="1141"/>
      <c r="AF578" s="1141"/>
      <c r="AG578" s="1141"/>
      <c r="AH578" s="1141"/>
      <c r="AI578" s="1141"/>
      <c r="AJ578" s="1141"/>
      <c r="AK578" s="1141"/>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21"/>
      <c r="H579" s="1121"/>
      <c r="I579" s="1121"/>
      <c r="J579" s="1121"/>
      <c r="K579" s="1121"/>
      <c r="L579" s="1121"/>
      <c r="M579" s="1121"/>
      <c r="N579" s="1121"/>
      <c r="O579" s="1121"/>
      <c r="P579" s="1121"/>
      <c r="Q579" s="1121"/>
      <c r="R579" s="1121"/>
      <c r="T579" s="39"/>
      <c r="U579" s="15" t="s">
        <v>20</v>
      </c>
      <c r="Z579" s="1141"/>
      <c r="AA579" s="1141"/>
      <c r="AB579" s="1141"/>
      <c r="AC579" s="1141"/>
      <c r="AD579" s="1141"/>
      <c r="AE579" s="1141"/>
      <c r="AF579" s="1141"/>
      <c r="AG579" s="1141"/>
      <c r="AH579" s="1141"/>
      <c r="AI579" s="1141"/>
      <c r="AJ579" s="1141"/>
      <c r="AK579" s="1141"/>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2.75">
      <c r="A580" s="39"/>
      <c r="B580" s="15" t="s">
        <v>342</v>
      </c>
      <c r="G580" s="1125"/>
      <c r="H580" s="1125"/>
      <c r="I580" s="1125"/>
      <c r="J580" s="1125"/>
      <c r="K580" s="1125"/>
      <c r="L580" s="1125"/>
      <c r="O580" s="144" t="s">
        <v>224</v>
      </c>
      <c r="P580" s="1126"/>
      <c r="Q580" s="1126"/>
      <c r="R580" s="1126"/>
      <c r="T580" s="39"/>
      <c r="U580" s="15" t="s">
        <v>342</v>
      </c>
      <c r="Z580" s="1125"/>
      <c r="AA580" s="1125"/>
      <c r="AB580" s="1125"/>
      <c r="AC580" s="1125"/>
      <c r="AD580" s="1125"/>
      <c r="AE580" s="1125"/>
      <c r="AH580" s="144" t="s">
        <v>224</v>
      </c>
      <c r="AI580" s="1126"/>
      <c r="AJ580" s="1126"/>
      <c r="AK580" s="1126"/>
    </row>
    <row r="581" spans="1:112" ht="12.75">
      <c r="A581" s="39"/>
      <c r="B581" s="15" t="s">
        <v>21</v>
      </c>
      <c r="H581" s="1121"/>
      <c r="I581" s="1121"/>
      <c r="J581" s="1121"/>
      <c r="K581" s="1121"/>
      <c r="L581" s="1121"/>
      <c r="M581" s="1121"/>
      <c r="N581" s="1121"/>
      <c r="O581" s="1121"/>
      <c r="P581" s="1121"/>
      <c r="Q581" s="1121"/>
      <c r="R581" s="1121"/>
      <c r="T581" s="39"/>
      <c r="U581" s="15" t="s">
        <v>21</v>
      </c>
      <c r="AA581" s="1121"/>
      <c r="AB581" s="1121"/>
      <c r="AC581" s="1121"/>
      <c r="AD581" s="1121"/>
      <c r="AE581" s="1121"/>
      <c r="AF581" s="1121"/>
      <c r="AG581" s="1121"/>
      <c r="AH581" s="1121"/>
      <c r="AI581" s="1121"/>
      <c r="AJ581" s="1121"/>
      <c r="AK581" s="1121"/>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2.75">
      <c r="A582" s="39"/>
      <c r="B582" s="15" t="s">
        <v>23</v>
      </c>
      <c r="N582" s="1122" t="s">
        <v>755</v>
      </c>
      <c r="O582" s="1122"/>
      <c r="T582" s="39"/>
      <c r="U582" s="15" t="s">
        <v>23</v>
      </c>
      <c r="AG582" s="1122" t="s">
        <v>755</v>
      </c>
      <c r="AH582" s="112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2.75">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530</v>
      </c>
      <c r="B584" s="15" t="s">
        <v>539</v>
      </c>
      <c r="G584" s="1123">
        <f>C551</f>
        <v>0</v>
      </c>
      <c r="H584" s="1123"/>
      <c r="I584" s="1123"/>
      <c r="J584" s="1123"/>
      <c r="K584" s="1123"/>
      <c r="L584" s="1123"/>
      <c r="M584" s="1123"/>
      <c r="N584" s="1123"/>
      <c r="O584" s="1123"/>
      <c r="P584" s="1123"/>
      <c r="Q584" s="1123"/>
      <c r="R584" s="1123"/>
      <c r="T584" s="91" t="s">
        <v>531</v>
      </c>
      <c r="U584" s="15" t="s">
        <v>539</v>
      </c>
      <c r="Z584" s="1123">
        <f>C552</f>
        <v>0</v>
      </c>
      <c r="AA584" s="1123"/>
      <c r="AB584" s="1123"/>
      <c r="AC584" s="1123"/>
      <c r="AD584" s="1123"/>
      <c r="AE584" s="1123"/>
      <c r="AF584" s="1123"/>
      <c r="AG584" s="1123"/>
      <c r="AH584" s="1123"/>
      <c r="AI584" s="1123"/>
      <c r="AJ584" s="1123"/>
      <c r="AK584" s="1123"/>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2.75">
      <c r="A585" s="39"/>
      <c r="B585" s="15" t="s">
        <v>93</v>
      </c>
      <c r="G585" s="1121"/>
      <c r="H585" s="1121"/>
      <c r="I585" s="1121"/>
      <c r="J585" s="1121"/>
      <c r="K585" s="1121"/>
      <c r="L585" s="1121"/>
      <c r="M585" s="1121"/>
      <c r="N585" s="1121"/>
      <c r="O585" s="1121"/>
      <c r="P585" s="1121"/>
      <c r="Q585" s="1121"/>
      <c r="R585" s="1121"/>
      <c r="T585" s="39"/>
      <c r="U585" s="15" t="s">
        <v>93</v>
      </c>
      <c r="Z585" s="1121"/>
      <c r="AA585" s="1121"/>
      <c r="AB585" s="1121"/>
      <c r="AC585" s="1121"/>
      <c r="AD585" s="1121"/>
      <c r="AE585" s="1121"/>
      <c r="AF585" s="1121"/>
      <c r="AG585" s="1121"/>
      <c r="AH585" s="1121"/>
      <c r="AI585" s="1121"/>
      <c r="AJ585" s="1121"/>
      <c r="AK585" s="1121"/>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661</v>
      </c>
      <c r="C586" s="15"/>
      <c r="D586" s="15"/>
      <c r="E586" s="15"/>
      <c r="F586" s="15"/>
      <c r="G586" s="1121"/>
      <c r="H586" s="1121"/>
      <c r="I586" s="1121"/>
      <c r="J586" s="1121"/>
      <c r="K586" s="1121"/>
      <c r="L586" s="1121"/>
      <c r="M586" s="1121"/>
      <c r="N586" s="1121"/>
      <c r="O586" s="1121"/>
      <c r="P586" s="1121"/>
      <c r="Q586" s="1121"/>
      <c r="R586" s="1121"/>
      <c r="S586" s="15"/>
      <c r="T586" s="39"/>
      <c r="U586" s="15" t="s">
        <v>661</v>
      </c>
      <c r="V586" s="15"/>
      <c r="W586" s="15"/>
      <c r="X586" s="15"/>
      <c r="Y586" s="15"/>
      <c r="Z586" s="1141"/>
      <c r="AA586" s="1141"/>
      <c r="AB586" s="1141"/>
      <c r="AC586" s="1141"/>
      <c r="AD586" s="1141"/>
      <c r="AE586" s="1141"/>
      <c r="AF586" s="1141"/>
      <c r="AG586" s="1141"/>
      <c r="AH586" s="1141"/>
      <c r="AI586" s="1141"/>
      <c r="AJ586" s="1141"/>
      <c r="AK586" s="1141"/>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2.75">
      <c r="A587" s="39"/>
      <c r="B587" s="15" t="s">
        <v>20</v>
      </c>
      <c r="C587" s="15"/>
      <c r="D587" s="15"/>
      <c r="E587" s="15"/>
      <c r="F587" s="15"/>
      <c r="G587" s="1121"/>
      <c r="H587" s="1121"/>
      <c r="I587" s="1121"/>
      <c r="J587" s="1121"/>
      <c r="K587" s="1121"/>
      <c r="L587" s="1121"/>
      <c r="M587" s="1121"/>
      <c r="N587" s="1121"/>
      <c r="O587" s="1121"/>
      <c r="P587" s="1121"/>
      <c r="Q587" s="1121"/>
      <c r="R587" s="1121"/>
      <c r="S587" s="15"/>
      <c r="T587" s="39"/>
      <c r="U587" s="15" t="s">
        <v>20</v>
      </c>
      <c r="V587" s="15"/>
      <c r="W587" s="15"/>
      <c r="X587" s="15"/>
      <c r="Y587" s="15"/>
      <c r="Z587" s="1141"/>
      <c r="AA587" s="1141"/>
      <c r="AB587" s="1141"/>
      <c r="AC587" s="1141"/>
      <c r="AD587" s="1141"/>
      <c r="AE587" s="1141"/>
      <c r="AF587" s="1141"/>
      <c r="AG587" s="1141"/>
      <c r="AH587" s="1141"/>
      <c r="AI587" s="1141"/>
      <c r="AJ587" s="1141"/>
      <c r="AK587" s="1141"/>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2.75">
      <c r="A588" s="39"/>
      <c r="B588" s="15" t="s">
        <v>342</v>
      </c>
      <c r="C588" s="15"/>
      <c r="D588" s="15"/>
      <c r="E588" s="15"/>
      <c r="F588" s="15"/>
      <c r="G588" s="1125"/>
      <c r="H588" s="1125"/>
      <c r="I588" s="1125"/>
      <c r="J588" s="1125"/>
      <c r="K588" s="1125"/>
      <c r="L588" s="1125"/>
      <c r="M588" s="15"/>
      <c r="N588" s="15"/>
      <c r="O588" s="144" t="s">
        <v>224</v>
      </c>
      <c r="P588" s="1126"/>
      <c r="Q588" s="1126"/>
      <c r="R588" s="1126"/>
      <c r="S588" s="15"/>
      <c r="T588" s="39"/>
      <c r="U588" s="15" t="s">
        <v>342</v>
      </c>
      <c r="V588" s="15"/>
      <c r="W588" s="15"/>
      <c r="X588" s="15"/>
      <c r="Y588" s="15"/>
      <c r="Z588" s="1125"/>
      <c r="AA588" s="1125"/>
      <c r="AB588" s="1125"/>
      <c r="AC588" s="1125"/>
      <c r="AD588" s="1125"/>
      <c r="AE588" s="1125"/>
      <c r="AF588" s="15"/>
      <c r="AG588" s="15"/>
      <c r="AH588" s="144" t="s">
        <v>224</v>
      </c>
      <c r="AI588" s="1126"/>
      <c r="AJ588" s="1126"/>
      <c r="AK588" s="1126"/>
      <c r="AL588" s="15"/>
      <c r="AM588" s="8" t="s">
        <v>351</v>
      </c>
      <c r="AN588" s="62"/>
      <c r="AO588" s="62"/>
      <c r="AP588" s="62"/>
      <c r="AQ588" s="62"/>
      <c r="AR588" s="205" t="s">
        <v>550</v>
      </c>
      <c r="AS588" s="206"/>
      <c r="AT588" s="1149"/>
      <c r="AU588" s="1151"/>
      <c r="AV588" s="205" t="s">
        <v>551</v>
      </c>
      <c r="AW588" s="206"/>
      <c r="AX588" s="1149"/>
      <c r="AY588" s="1151"/>
      <c r="AZ588" s="62"/>
      <c r="BA588" s="1239" t="s">
        <v>716</v>
      </c>
      <c r="BB588" s="1240"/>
      <c r="BC588" s="1240"/>
      <c r="BD588" s="1240"/>
      <c r="BE588" s="1241"/>
      <c r="BF588" s="1217" t="s">
        <v>352</v>
      </c>
      <c r="BG588" s="1217"/>
      <c r="BH588" s="1217"/>
      <c r="BI588" s="1217"/>
      <c r="BJ588" s="1217"/>
      <c r="BK588" s="1217" t="s">
        <v>174</v>
      </c>
      <c r="BL588" s="1217"/>
      <c r="BM588" s="1217"/>
      <c r="BN588" s="1217"/>
      <c r="BO588" s="1217"/>
      <c r="BP588" s="1217" t="s">
        <v>175</v>
      </c>
      <c r="BQ588" s="1217"/>
      <c r="BR588" s="1217"/>
      <c r="BS588" s="1217"/>
      <c r="BT588" s="1217"/>
      <c r="BU588" s="1217" t="s">
        <v>536</v>
      </c>
      <c r="BV588" s="1217"/>
      <c r="BW588" s="1217"/>
      <c r="BX588" s="1217"/>
      <c r="BY588" s="1217"/>
      <c r="BZ588" s="1217" t="s">
        <v>34</v>
      </c>
      <c r="CA588" s="1217"/>
      <c r="CB588" s="1217"/>
      <c r="CC588" s="1217"/>
      <c r="CD588" s="1217"/>
      <c r="CE588" s="1217" t="s">
        <v>716</v>
      </c>
      <c r="CF588" s="1217"/>
      <c r="CG588" s="1217"/>
      <c r="CH588" s="1217"/>
      <c r="CI588" s="1217"/>
      <c r="CJ588" s="1217" t="s">
        <v>352</v>
      </c>
      <c r="CK588" s="1217"/>
      <c r="CL588" s="1217"/>
      <c r="CM588" s="1217"/>
      <c r="CN588" s="1217"/>
      <c r="CO588" s="1217" t="s">
        <v>174</v>
      </c>
      <c r="CP588" s="1217"/>
      <c r="CQ588" s="1217"/>
      <c r="CR588" s="1217"/>
      <c r="CS588" s="1217"/>
      <c r="CT588" s="1217" t="s">
        <v>175</v>
      </c>
      <c r="CU588" s="1217"/>
      <c r="CV588" s="1217"/>
      <c r="CW588" s="1217"/>
      <c r="CX588" s="1217"/>
      <c r="CY588" s="1217" t="s">
        <v>536</v>
      </c>
      <c r="CZ588" s="1217"/>
      <c r="DA588" s="1217"/>
      <c r="DB588" s="1217"/>
      <c r="DC588" s="1217"/>
      <c r="DD588" s="1217" t="s">
        <v>34</v>
      </c>
      <c r="DE588" s="1217"/>
      <c r="DF588" s="1217"/>
      <c r="DG588" s="1217"/>
      <c r="DH588" s="1217"/>
    </row>
    <row r="589" spans="1:112" s="8" customFormat="1" ht="12.75">
      <c r="A589" s="39"/>
      <c r="B589" s="15" t="s">
        <v>21</v>
      </c>
      <c r="C589" s="15"/>
      <c r="D589" s="15"/>
      <c r="E589" s="15"/>
      <c r="F589" s="15"/>
      <c r="G589" s="15"/>
      <c r="H589" s="1121"/>
      <c r="I589" s="1121"/>
      <c r="J589" s="1121"/>
      <c r="K589" s="1121"/>
      <c r="L589" s="1121"/>
      <c r="M589" s="1121"/>
      <c r="N589" s="1121"/>
      <c r="O589" s="1121"/>
      <c r="P589" s="1121"/>
      <c r="Q589" s="1121"/>
      <c r="R589" s="1121"/>
      <c r="S589" s="15"/>
      <c r="T589" s="39"/>
      <c r="U589" s="15" t="s">
        <v>21</v>
      </c>
      <c r="V589" s="15"/>
      <c r="W589" s="15"/>
      <c r="X589" s="15"/>
      <c r="Y589" s="15"/>
      <c r="Z589" s="15"/>
      <c r="AA589" s="1121"/>
      <c r="AB589" s="1121"/>
      <c r="AC589" s="1121"/>
      <c r="AD589" s="1121"/>
      <c r="AE589" s="1121"/>
      <c r="AF589" s="1121"/>
      <c r="AG589" s="1121"/>
      <c r="AH589" s="1121"/>
      <c r="AI589" s="1121"/>
      <c r="AJ589" s="1121"/>
      <c r="AK589" s="1121"/>
      <c r="AL589" s="15"/>
      <c r="AM589" s="8" t="s">
        <v>352</v>
      </c>
      <c r="AN589" s="62"/>
      <c r="AO589" s="62"/>
      <c r="AP589" s="62"/>
      <c r="AQ589" s="62"/>
      <c r="AR589" s="1525">
        <f t="shared" ref="AR589:AR613" si="0">IF(AND(AD709&lt;=0.5,AD709&gt;=0.36),1,0)</f>
        <v>0</v>
      </c>
      <c r="AS589" s="1526"/>
      <c r="AT589" s="1149">
        <f t="shared" ref="AT589:AT613" si="1">IF(AR589=1,G709,0)</f>
        <v>0</v>
      </c>
      <c r="AU589" s="1151"/>
      <c r="AV589" s="1525">
        <f t="shared" ref="AV589:AV613" si="2">IF(AND(AD709&lt;=0.35,AD709&gt;0),1,0)</f>
        <v>1</v>
      </c>
      <c r="AW589" s="1526"/>
      <c r="AX589" s="1149">
        <f t="shared" ref="AX589:AX613" si="3">IF(AV589=1,G709,0)</f>
        <v>4</v>
      </c>
      <c r="AY589" s="1151"/>
      <c r="AZ589" s="62"/>
      <c r="BA589" s="1149">
        <f t="shared" ref="BA589:BA613" si="4">IF(B709="SRO/Studio",G709,0)</f>
        <v>0</v>
      </c>
      <c r="BB589" s="1150"/>
      <c r="BC589" s="1150"/>
      <c r="BD589" s="1150"/>
      <c r="BE589" s="1151"/>
      <c r="BF589" s="1211">
        <f t="shared" ref="BF589:BF613" si="5">IF(B709="1 Bedroom",G709,0)</f>
        <v>0</v>
      </c>
      <c r="BG589" s="1211"/>
      <c r="BH589" s="1211"/>
      <c r="BI589" s="1211"/>
      <c r="BJ589" s="1211"/>
      <c r="BK589" s="1211">
        <f t="shared" ref="BK589:BK613" si="6">IF(B709="2 Bedrooms",G709,0)</f>
        <v>4</v>
      </c>
      <c r="BL589" s="1211"/>
      <c r="BM589" s="1211"/>
      <c r="BN589" s="1211"/>
      <c r="BO589" s="1211"/>
      <c r="BP589" s="1211">
        <f t="shared" ref="BP589:BP613" si="7">IF(B709="3 Bedrooms",G709,0)</f>
        <v>0</v>
      </c>
      <c r="BQ589" s="1211"/>
      <c r="BR589" s="1211"/>
      <c r="BS589" s="1211"/>
      <c r="BT589" s="1211"/>
      <c r="BU589" s="1211">
        <f t="shared" ref="BU589:BU613" si="8">IF(B709="4 Bedrooms",G709,0)</f>
        <v>0</v>
      </c>
      <c r="BV589" s="1211"/>
      <c r="BW589" s="1211"/>
      <c r="BX589" s="1211"/>
      <c r="BY589" s="1211"/>
      <c r="BZ589" s="1211">
        <f t="shared" ref="BZ589:BZ613" si="9">IF(B709="5 Bedrooms",G709,0)</f>
        <v>0</v>
      </c>
      <c r="CA589" s="1211"/>
      <c r="CB589" s="1211"/>
      <c r="CC589" s="1211"/>
      <c r="CD589" s="1211"/>
      <c r="CE589" s="1234">
        <f t="shared" ref="CE589:CE613" si="10">IF(AND(B709="SRO/Studio",AD709&lt;=0.3),G709,0)</f>
        <v>0</v>
      </c>
      <c r="CF589" s="1234"/>
      <c r="CG589" s="1234"/>
      <c r="CH589" s="1234"/>
      <c r="CI589" s="1234"/>
      <c r="CJ589" s="1234">
        <f t="shared" ref="CJ589:CJ613" si="11">IF(AND(B709="1 Bedroom",AD709&lt;=0.3),G709,0)</f>
        <v>0</v>
      </c>
      <c r="CK589" s="1234"/>
      <c r="CL589" s="1234"/>
      <c r="CM589" s="1234"/>
      <c r="CN589" s="1234"/>
      <c r="CO589" s="1234">
        <f t="shared" ref="CO589:CO613" si="12">IF(AND(B709="2 Bedrooms",AD709&lt;=0.3),G709,0)</f>
        <v>4</v>
      </c>
      <c r="CP589" s="1234"/>
      <c r="CQ589" s="1234"/>
      <c r="CR589" s="1234"/>
      <c r="CS589" s="1234"/>
      <c r="CT589" s="1234">
        <f t="shared" ref="CT589:CT613" si="13">IF(AND(B709="3 Bedrooms",AD709&lt;=0.3),G709,0)</f>
        <v>0</v>
      </c>
      <c r="CU589" s="1234"/>
      <c r="CV589" s="1234"/>
      <c r="CW589" s="1234"/>
      <c r="CX589" s="1234"/>
      <c r="CY589" s="1234">
        <f t="shared" ref="CY589:CY613" si="14">IF(AND(B709="4 Bedrooms",AD709&lt;=0.3),G709,0)</f>
        <v>0</v>
      </c>
      <c r="CZ589" s="1234"/>
      <c r="DA589" s="1234"/>
      <c r="DB589" s="1234"/>
      <c r="DC589" s="1234"/>
      <c r="DD589" s="1234">
        <f t="shared" ref="DD589:DD613" si="15">IF(AND(B709="5 Bedrooms",AD709&lt;=0.3),G709,0)</f>
        <v>0</v>
      </c>
      <c r="DE589" s="1234"/>
      <c r="DF589" s="1234"/>
      <c r="DG589" s="1234"/>
      <c r="DH589" s="1234"/>
    </row>
    <row r="590" spans="1:112" s="8" customFormat="1" ht="12.75">
      <c r="A590" s="39"/>
      <c r="B590" s="15" t="s">
        <v>23</v>
      </c>
      <c r="C590" s="15"/>
      <c r="D590" s="15"/>
      <c r="E590" s="15"/>
      <c r="F590" s="15"/>
      <c r="G590" s="15"/>
      <c r="H590" s="15"/>
      <c r="I590" s="15"/>
      <c r="J590" s="15"/>
      <c r="K590" s="15"/>
      <c r="L590" s="15"/>
      <c r="M590" s="15"/>
      <c r="N590" s="1122" t="s">
        <v>755</v>
      </c>
      <c r="O590" s="1122"/>
      <c r="P590" s="15"/>
      <c r="Q590" s="15"/>
      <c r="R590" s="15"/>
      <c r="S590" s="15"/>
      <c r="T590" s="39"/>
      <c r="U590" s="15" t="s">
        <v>23</v>
      </c>
      <c r="V590" s="15"/>
      <c r="W590" s="15"/>
      <c r="X590" s="15"/>
      <c r="Y590" s="15"/>
      <c r="Z590" s="15"/>
      <c r="AA590" s="15"/>
      <c r="AB590" s="15"/>
      <c r="AC590" s="15"/>
      <c r="AD590" s="15"/>
      <c r="AE590" s="15"/>
      <c r="AF590" s="15"/>
      <c r="AG590" s="1122" t="s">
        <v>755</v>
      </c>
      <c r="AH590" s="1122"/>
      <c r="AI590" s="15"/>
      <c r="AJ590" s="15"/>
      <c r="AK590" s="15"/>
      <c r="AL590" s="15"/>
      <c r="AM590" s="8" t="s">
        <v>174</v>
      </c>
      <c r="AN590" s="62"/>
      <c r="AO590" s="62"/>
      <c r="AP590" s="62"/>
      <c r="AQ590" s="62"/>
      <c r="AR590" s="1525">
        <f t="shared" si="0"/>
        <v>1</v>
      </c>
      <c r="AS590" s="1526"/>
      <c r="AT590" s="1149">
        <f t="shared" si="1"/>
        <v>4</v>
      </c>
      <c r="AU590" s="1151"/>
      <c r="AV590" s="1525">
        <f t="shared" si="2"/>
        <v>0</v>
      </c>
      <c r="AW590" s="1526"/>
      <c r="AX590" s="1149">
        <f t="shared" si="3"/>
        <v>0</v>
      </c>
      <c r="AY590" s="1151"/>
      <c r="AZ590" s="62"/>
      <c r="BA590" s="1149">
        <f t="shared" si="4"/>
        <v>0</v>
      </c>
      <c r="BB590" s="1150"/>
      <c r="BC590" s="1150"/>
      <c r="BD590" s="1150"/>
      <c r="BE590" s="1151"/>
      <c r="BF590" s="1211">
        <f t="shared" si="5"/>
        <v>0</v>
      </c>
      <c r="BG590" s="1211"/>
      <c r="BH590" s="1211"/>
      <c r="BI590" s="1211"/>
      <c r="BJ590" s="1211"/>
      <c r="BK590" s="1211">
        <f t="shared" si="6"/>
        <v>4</v>
      </c>
      <c r="BL590" s="1211"/>
      <c r="BM590" s="1211"/>
      <c r="BN590" s="1211"/>
      <c r="BO590" s="1211"/>
      <c r="BP590" s="1211">
        <f t="shared" si="7"/>
        <v>0</v>
      </c>
      <c r="BQ590" s="1211"/>
      <c r="BR590" s="1211"/>
      <c r="BS590" s="1211"/>
      <c r="BT590" s="1211"/>
      <c r="BU590" s="1211">
        <f t="shared" si="8"/>
        <v>0</v>
      </c>
      <c r="BV590" s="1211"/>
      <c r="BW590" s="1211"/>
      <c r="BX590" s="1211"/>
      <c r="BY590" s="1211"/>
      <c r="BZ590" s="1211">
        <f t="shared" si="9"/>
        <v>0</v>
      </c>
      <c r="CA590" s="1211"/>
      <c r="CB590" s="1211"/>
      <c r="CC590" s="1211"/>
      <c r="CD590" s="1211"/>
      <c r="CE590" s="1234">
        <f t="shared" si="10"/>
        <v>0</v>
      </c>
      <c r="CF590" s="1234"/>
      <c r="CG590" s="1234"/>
      <c r="CH590" s="1234"/>
      <c r="CI590" s="1234"/>
      <c r="CJ590" s="1234">
        <f t="shared" si="11"/>
        <v>0</v>
      </c>
      <c r="CK590" s="1234"/>
      <c r="CL590" s="1234"/>
      <c r="CM590" s="1234"/>
      <c r="CN590" s="1234"/>
      <c r="CO590" s="1234">
        <f t="shared" si="12"/>
        <v>0</v>
      </c>
      <c r="CP590" s="1234"/>
      <c r="CQ590" s="1234"/>
      <c r="CR590" s="1234"/>
      <c r="CS590" s="1234"/>
      <c r="CT590" s="1234">
        <f t="shared" si="13"/>
        <v>0</v>
      </c>
      <c r="CU590" s="1234"/>
      <c r="CV590" s="1234"/>
      <c r="CW590" s="1234"/>
      <c r="CX590" s="1234"/>
      <c r="CY590" s="1234">
        <f t="shared" si="14"/>
        <v>0</v>
      </c>
      <c r="CZ590" s="1234"/>
      <c r="DA590" s="1234"/>
      <c r="DB590" s="1234"/>
      <c r="DC590" s="1234"/>
      <c r="DD590" s="1234">
        <f t="shared" si="15"/>
        <v>0</v>
      </c>
      <c r="DE590" s="1234"/>
      <c r="DF590" s="1234"/>
      <c r="DG590" s="1234"/>
      <c r="DH590" s="1234"/>
    </row>
    <row r="591" spans="1:112" ht="12.75">
      <c r="A591" s="39"/>
      <c r="T591" s="39"/>
      <c r="AM591" s="8" t="s">
        <v>175</v>
      </c>
      <c r="AN591" s="62"/>
      <c r="AO591" s="62"/>
      <c r="AP591" s="62"/>
      <c r="AQ591" s="62"/>
      <c r="AR591" s="1525">
        <f t="shared" si="0"/>
        <v>0</v>
      </c>
      <c r="AS591" s="1526"/>
      <c r="AT591" s="1149">
        <f t="shared" si="1"/>
        <v>0</v>
      </c>
      <c r="AU591" s="1151"/>
      <c r="AV591" s="1525">
        <f t="shared" si="2"/>
        <v>1</v>
      </c>
      <c r="AW591" s="1526"/>
      <c r="AX591" s="1149">
        <f t="shared" si="3"/>
        <v>10</v>
      </c>
      <c r="AY591" s="1151"/>
      <c r="AZ591" s="62"/>
      <c r="BA591" s="1149">
        <f t="shared" si="4"/>
        <v>0</v>
      </c>
      <c r="BB591" s="1150"/>
      <c r="BC591" s="1150"/>
      <c r="BD591" s="1150"/>
      <c r="BE591" s="1151"/>
      <c r="BF591" s="1211">
        <f t="shared" si="5"/>
        <v>0</v>
      </c>
      <c r="BG591" s="1211"/>
      <c r="BH591" s="1211"/>
      <c r="BI591" s="1211"/>
      <c r="BJ591" s="1211"/>
      <c r="BK591" s="1211">
        <f t="shared" si="6"/>
        <v>0</v>
      </c>
      <c r="BL591" s="1211"/>
      <c r="BM591" s="1211"/>
      <c r="BN591" s="1211"/>
      <c r="BO591" s="1211"/>
      <c r="BP591" s="1211">
        <f t="shared" si="7"/>
        <v>10</v>
      </c>
      <c r="BQ591" s="1211"/>
      <c r="BR591" s="1211"/>
      <c r="BS591" s="1211"/>
      <c r="BT591" s="1211"/>
      <c r="BU591" s="1211">
        <f t="shared" si="8"/>
        <v>0</v>
      </c>
      <c r="BV591" s="1211"/>
      <c r="BW591" s="1211"/>
      <c r="BX591" s="1211"/>
      <c r="BY591" s="1211"/>
      <c r="BZ591" s="1211">
        <f t="shared" si="9"/>
        <v>0</v>
      </c>
      <c r="CA591" s="1211"/>
      <c r="CB591" s="1211"/>
      <c r="CC591" s="1211"/>
      <c r="CD591" s="1211"/>
      <c r="CE591" s="1234">
        <f t="shared" si="10"/>
        <v>0</v>
      </c>
      <c r="CF591" s="1234"/>
      <c r="CG591" s="1234"/>
      <c r="CH591" s="1234"/>
      <c r="CI591" s="1234"/>
      <c r="CJ591" s="1234">
        <f t="shared" si="11"/>
        <v>0</v>
      </c>
      <c r="CK591" s="1234"/>
      <c r="CL591" s="1234"/>
      <c r="CM591" s="1234"/>
      <c r="CN591" s="1234"/>
      <c r="CO591" s="1234">
        <f t="shared" si="12"/>
        <v>0</v>
      </c>
      <c r="CP591" s="1234"/>
      <c r="CQ591" s="1234"/>
      <c r="CR591" s="1234"/>
      <c r="CS591" s="1234"/>
      <c r="CT591" s="1234">
        <f t="shared" si="13"/>
        <v>10</v>
      </c>
      <c r="CU591" s="1234"/>
      <c r="CV591" s="1234"/>
      <c r="CW591" s="1234"/>
      <c r="CX591" s="1234"/>
      <c r="CY591" s="1234">
        <f t="shared" si="14"/>
        <v>0</v>
      </c>
      <c r="CZ591" s="1234"/>
      <c r="DA591" s="1234"/>
      <c r="DB591" s="1234"/>
      <c r="DC591" s="1234"/>
      <c r="DD591" s="1234">
        <f t="shared" si="15"/>
        <v>0</v>
      </c>
      <c r="DE591" s="1234"/>
      <c r="DF591" s="1234"/>
      <c r="DG591" s="1234"/>
      <c r="DH591" s="1234"/>
    </row>
    <row r="592" spans="1:112" ht="12.75">
      <c r="A592" s="91" t="s">
        <v>537</v>
      </c>
      <c r="B592" s="15" t="s">
        <v>539</v>
      </c>
      <c r="G592" s="1123">
        <f>C553</f>
        <v>0</v>
      </c>
      <c r="H592" s="1123"/>
      <c r="I592" s="1123"/>
      <c r="J592" s="1123"/>
      <c r="K592" s="1123"/>
      <c r="L592" s="1123"/>
      <c r="M592" s="1123"/>
      <c r="N592" s="1123"/>
      <c r="O592" s="1123"/>
      <c r="P592" s="1123"/>
      <c r="Q592" s="1123"/>
      <c r="R592" s="1123"/>
      <c r="T592" s="91" t="s">
        <v>729</v>
      </c>
      <c r="U592" s="15" t="s">
        <v>539</v>
      </c>
      <c r="Z592" s="1123">
        <f>C554</f>
        <v>0</v>
      </c>
      <c r="AA592" s="1123"/>
      <c r="AB592" s="1123"/>
      <c r="AC592" s="1123"/>
      <c r="AD592" s="1123"/>
      <c r="AE592" s="1123"/>
      <c r="AF592" s="1123"/>
      <c r="AG592" s="1123"/>
      <c r="AH592" s="1123"/>
      <c r="AI592" s="1123"/>
      <c r="AJ592" s="1123"/>
      <c r="AK592" s="1123"/>
      <c r="AM592" s="8" t="s">
        <v>176</v>
      </c>
      <c r="AN592" s="62"/>
      <c r="AO592" s="62"/>
      <c r="AP592" s="62"/>
      <c r="AQ592" s="62"/>
      <c r="AR592" s="1525">
        <f t="shared" si="0"/>
        <v>1</v>
      </c>
      <c r="AS592" s="1526"/>
      <c r="AT592" s="1149">
        <f t="shared" si="1"/>
        <v>32</v>
      </c>
      <c r="AU592" s="1151"/>
      <c r="AV592" s="1525">
        <f t="shared" si="2"/>
        <v>0</v>
      </c>
      <c r="AW592" s="1526"/>
      <c r="AX592" s="1149">
        <f t="shared" si="3"/>
        <v>0</v>
      </c>
      <c r="AY592" s="1151"/>
      <c r="AZ592" s="62"/>
      <c r="BA592" s="1149">
        <f t="shared" si="4"/>
        <v>0</v>
      </c>
      <c r="BB592" s="1150"/>
      <c r="BC592" s="1150"/>
      <c r="BD592" s="1150"/>
      <c r="BE592" s="1151"/>
      <c r="BF592" s="1211">
        <f t="shared" si="5"/>
        <v>0</v>
      </c>
      <c r="BG592" s="1211"/>
      <c r="BH592" s="1211"/>
      <c r="BI592" s="1211"/>
      <c r="BJ592" s="1211"/>
      <c r="BK592" s="1211">
        <f t="shared" si="6"/>
        <v>0</v>
      </c>
      <c r="BL592" s="1211"/>
      <c r="BM592" s="1211"/>
      <c r="BN592" s="1211"/>
      <c r="BO592" s="1211"/>
      <c r="BP592" s="1211">
        <f t="shared" si="7"/>
        <v>32</v>
      </c>
      <c r="BQ592" s="1211"/>
      <c r="BR592" s="1211"/>
      <c r="BS592" s="1211"/>
      <c r="BT592" s="1211"/>
      <c r="BU592" s="1211">
        <f t="shared" si="8"/>
        <v>0</v>
      </c>
      <c r="BV592" s="1211"/>
      <c r="BW592" s="1211"/>
      <c r="BX592" s="1211"/>
      <c r="BY592" s="1211"/>
      <c r="BZ592" s="1211">
        <f t="shared" si="9"/>
        <v>0</v>
      </c>
      <c r="CA592" s="1211"/>
      <c r="CB592" s="1211"/>
      <c r="CC592" s="1211"/>
      <c r="CD592" s="1211"/>
      <c r="CE592" s="1234">
        <f t="shared" si="10"/>
        <v>0</v>
      </c>
      <c r="CF592" s="1234"/>
      <c r="CG592" s="1234"/>
      <c r="CH592" s="1234"/>
      <c r="CI592" s="1234"/>
      <c r="CJ592" s="1234">
        <f t="shared" si="11"/>
        <v>0</v>
      </c>
      <c r="CK592" s="1234"/>
      <c r="CL592" s="1234"/>
      <c r="CM592" s="1234"/>
      <c r="CN592" s="1234"/>
      <c r="CO592" s="1234">
        <f t="shared" si="12"/>
        <v>0</v>
      </c>
      <c r="CP592" s="1234"/>
      <c r="CQ592" s="1234"/>
      <c r="CR592" s="1234"/>
      <c r="CS592" s="1234"/>
      <c r="CT592" s="1234">
        <f t="shared" si="13"/>
        <v>0</v>
      </c>
      <c r="CU592" s="1234"/>
      <c r="CV592" s="1234"/>
      <c r="CW592" s="1234"/>
      <c r="CX592" s="1234"/>
      <c r="CY592" s="1234">
        <f t="shared" si="14"/>
        <v>0</v>
      </c>
      <c r="CZ592" s="1234"/>
      <c r="DA592" s="1234"/>
      <c r="DB592" s="1234"/>
      <c r="DC592" s="1234"/>
      <c r="DD592" s="1234">
        <f t="shared" si="15"/>
        <v>0</v>
      </c>
      <c r="DE592" s="1234"/>
      <c r="DF592" s="1234"/>
      <c r="DG592" s="1234"/>
      <c r="DH592" s="1234"/>
    </row>
    <row r="593" spans="1:112" ht="12.75">
      <c r="A593" s="39"/>
      <c r="B593" s="15" t="s">
        <v>93</v>
      </c>
      <c r="G593" s="1121"/>
      <c r="H593" s="1121"/>
      <c r="I593" s="1121"/>
      <c r="J593" s="1121"/>
      <c r="K593" s="1121"/>
      <c r="L593" s="1121"/>
      <c r="M593" s="1121"/>
      <c r="N593" s="1121"/>
      <c r="O593" s="1121"/>
      <c r="P593" s="1121"/>
      <c r="Q593" s="1121"/>
      <c r="R593" s="1121"/>
      <c r="T593" s="39"/>
      <c r="U593" s="15" t="s">
        <v>93</v>
      </c>
      <c r="Z593" s="1121"/>
      <c r="AA593" s="1121"/>
      <c r="AB593" s="1121"/>
      <c r="AC593" s="1121"/>
      <c r="AD593" s="1121"/>
      <c r="AE593" s="1121"/>
      <c r="AF593" s="1121"/>
      <c r="AG593" s="1121"/>
      <c r="AH593" s="1121"/>
      <c r="AI593" s="1121"/>
      <c r="AJ593" s="1121"/>
      <c r="AK593" s="1121"/>
      <c r="AM593" s="8" t="s">
        <v>34</v>
      </c>
      <c r="AN593" s="62"/>
      <c r="AO593" s="62"/>
      <c r="AP593" s="62"/>
      <c r="AQ593" s="62"/>
      <c r="AR593" s="1525">
        <f t="shared" si="0"/>
        <v>1</v>
      </c>
      <c r="AS593" s="1526"/>
      <c r="AT593" s="1149">
        <f t="shared" si="1"/>
        <v>14</v>
      </c>
      <c r="AU593" s="1151"/>
      <c r="AV593" s="1525">
        <f t="shared" si="2"/>
        <v>0</v>
      </c>
      <c r="AW593" s="1526"/>
      <c r="AX593" s="1149">
        <f t="shared" si="3"/>
        <v>0</v>
      </c>
      <c r="AY593" s="1151"/>
      <c r="AZ593" s="62"/>
      <c r="BA593" s="1149">
        <f t="shared" si="4"/>
        <v>0</v>
      </c>
      <c r="BB593" s="1150"/>
      <c r="BC593" s="1150"/>
      <c r="BD593" s="1150"/>
      <c r="BE593" s="1151"/>
      <c r="BF593" s="1211">
        <f t="shared" si="5"/>
        <v>0</v>
      </c>
      <c r="BG593" s="1211"/>
      <c r="BH593" s="1211"/>
      <c r="BI593" s="1211"/>
      <c r="BJ593" s="1211"/>
      <c r="BK593" s="1211">
        <f t="shared" si="6"/>
        <v>0</v>
      </c>
      <c r="BL593" s="1211"/>
      <c r="BM593" s="1211"/>
      <c r="BN593" s="1211"/>
      <c r="BO593" s="1211"/>
      <c r="BP593" s="1211">
        <f t="shared" si="7"/>
        <v>14</v>
      </c>
      <c r="BQ593" s="1211"/>
      <c r="BR593" s="1211"/>
      <c r="BS593" s="1211"/>
      <c r="BT593" s="1211"/>
      <c r="BU593" s="1211">
        <f t="shared" si="8"/>
        <v>0</v>
      </c>
      <c r="BV593" s="1211"/>
      <c r="BW593" s="1211"/>
      <c r="BX593" s="1211"/>
      <c r="BY593" s="1211"/>
      <c r="BZ593" s="1211">
        <f t="shared" si="9"/>
        <v>0</v>
      </c>
      <c r="CA593" s="1211"/>
      <c r="CB593" s="1211"/>
      <c r="CC593" s="1211"/>
      <c r="CD593" s="1211"/>
      <c r="CE593" s="1234">
        <f t="shared" si="10"/>
        <v>0</v>
      </c>
      <c r="CF593" s="1234"/>
      <c r="CG593" s="1234"/>
      <c r="CH593" s="1234"/>
      <c r="CI593" s="1234"/>
      <c r="CJ593" s="1234">
        <f t="shared" si="11"/>
        <v>0</v>
      </c>
      <c r="CK593" s="1234"/>
      <c r="CL593" s="1234"/>
      <c r="CM593" s="1234"/>
      <c r="CN593" s="1234"/>
      <c r="CO593" s="1234">
        <f t="shared" si="12"/>
        <v>0</v>
      </c>
      <c r="CP593" s="1234"/>
      <c r="CQ593" s="1234"/>
      <c r="CR593" s="1234"/>
      <c r="CS593" s="1234"/>
      <c r="CT593" s="1234">
        <f t="shared" si="13"/>
        <v>0</v>
      </c>
      <c r="CU593" s="1234"/>
      <c r="CV593" s="1234"/>
      <c r="CW593" s="1234"/>
      <c r="CX593" s="1234"/>
      <c r="CY593" s="1234">
        <f t="shared" si="14"/>
        <v>0</v>
      </c>
      <c r="CZ593" s="1234"/>
      <c r="DA593" s="1234"/>
      <c r="DB593" s="1234"/>
      <c r="DC593" s="1234"/>
      <c r="DD593" s="1234">
        <f t="shared" si="15"/>
        <v>0</v>
      </c>
      <c r="DE593" s="1234"/>
      <c r="DF593" s="1234"/>
      <c r="DG593" s="1234"/>
      <c r="DH593" s="1234"/>
    </row>
    <row r="594" spans="1:112" ht="12.75">
      <c r="A594" s="39"/>
      <c r="B594" s="15" t="s">
        <v>661</v>
      </c>
      <c r="G594" s="1121"/>
      <c r="H594" s="1121"/>
      <c r="I594" s="1121"/>
      <c r="J594" s="1121"/>
      <c r="K594" s="1121"/>
      <c r="L594" s="1121"/>
      <c r="M594" s="1121"/>
      <c r="N594" s="1121"/>
      <c r="O594" s="1121"/>
      <c r="P594" s="1121"/>
      <c r="Q594" s="1121"/>
      <c r="R594" s="1121"/>
      <c r="T594" s="39"/>
      <c r="U594" s="15" t="s">
        <v>661</v>
      </c>
      <c r="Z594" s="1141"/>
      <c r="AA594" s="1141"/>
      <c r="AB594" s="1141"/>
      <c r="AC594" s="1141"/>
      <c r="AD594" s="1141"/>
      <c r="AE594" s="1141"/>
      <c r="AF594" s="1141"/>
      <c r="AG594" s="1141"/>
      <c r="AH594" s="1141"/>
      <c r="AI594" s="1141"/>
      <c r="AJ594" s="1141"/>
      <c r="AK594" s="1141"/>
      <c r="AM594" s="62"/>
      <c r="AN594" s="62"/>
      <c r="AO594" s="62"/>
      <c r="AP594" s="62"/>
      <c r="AQ594" s="62"/>
      <c r="AR594" s="1525">
        <f t="shared" si="0"/>
        <v>0</v>
      </c>
      <c r="AS594" s="1526"/>
      <c r="AT594" s="1149">
        <f t="shared" si="1"/>
        <v>0</v>
      </c>
      <c r="AU594" s="1151"/>
      <c r="AV594" s="1525">
        <f t="shared" si="2"/>
        <v>1</v>
      </c>
      <c r="AW594" s="1526"/>
      <c r="AX594" s="1149">
        <f t="shared" si="3"/>
        <v>6</v>
      </c>
      <c r="AY594" s="1151"/>
      <c r="AZ594" s="62"/>
      <c r="BA594" s="1149">
        <f t="shared" si="4"/>
        <v>0</v>
      </c>
      <c r="BB594" s="1150"/>
      <c r="BC594" s="1150"/>
      <c r="BD594" s="1150"/>
      <c r="BE594" s="1151"/>
      <c r="BF594" s="1211">
        <f t="shared" si="5"/>
        <v>0</v>
      </c>
      <c r="BG594" s="1211"/>
      <c r="BH594" s="1211"/>
      <c r="BI594" s="1211"/>
      <c r="BJ594" s="1211"/>
      <c r="BK594" s="1211">
        <f t="shared" si="6"/>
        <v>0</v>
      </c>
      <c r="BL594" s="1211"/>
      <c r="BM594" s="1211"/>
      <c r="BN594" s="1211"/>
      <c r="BO594" s="1211"/>
      <c r="BP594" s="1211">
        <f t="shared" si="7"/>
        <v>0</v>
      </c>
      <c r="BQ594" s="1211"/>
      <c r="BR594" s="1211"/>
      <c r="BS594" s="1211"/>
      <c r="BT594" s="1211"/>
      <c r="BU594" s="1211">
        <f t="shared" si="8"/>
        <v>6</v>
      </c>
      <c r="BV594" s="1211"/>
      <c r="BW594" s="1211"/>
      <c r="BX594" s="1211"/>
      <c r="BY594" s="1211"/>
      <c r="BZ594" s="1211">
        <f t="shared" si="9"/>
        <v>0</v>
      </c>
      <c r="CA594" s="1211"/>
      <c r="CB594" s="1211"/>
      <c r="CC594" s="1211"/>
      <c r="CD594" s="1211"/>
      <c r="CE594" s="1234">
        <f t="shared" si="10"/>
        <v>0</v>
      </c>
      <c r="CF594" s="1234"/>
      <c r="CG594" s="1234"/>
      <c r="CH594" s="1234"/>
      <c r="CI594" s="1234"/>
      <c r="CJ594" s="1234">
        <f t="shared" si="11"/>
        <v>0</v>
      </c>
      <c r="CK594" s="1234"/>
      <c r="CL594" s="1234"/>
      <c r="CM594" s="1234"/>
      <c r="CN594" s="1234"/>
      <c r="CO594" s="1234">
        <f t="shared" si="12"/>
        <v>0</v>
      </c>
      <c r="CP594" s="1234"/>
      <c r="CQ594" s="1234"/>
      <c r="CR594" s="1234"/>
      <c r="CS594" s="1234"/>
      <c r="CT594" s="1234">
        <f t="shared" si="13"/>
        <v>0</v>
      </c>
      <c r="CU594" s="1234"/>
      <c r="CV594" s="1234"/>
      <c r="CW594" s="1234"/>
      <c r="CX594" s="1234"/>
      <c r="CY594" s="1234">
        <f t="shared" si="14"/>
        <v>6</v>
      </c>
      <c r="CZ594" s="1234"/>
      <c r="DA594" s="1234"/>
      <c r="DB594" s="1234"/>
      <c r="DC594" s="1234"/>
      <c r="DD594" s="1234">
        <f t="shared" si="15"/>
        <v>0</v>
      </c>
      <c r="DE594" s="1234"/>
      <c r="DF594" s="1234"/>
      <c r="DG594" s="1234"/>
      <c r="DH594" s="1234"/>
    </row>
    <row r="595" spans="1:112" ht="12.75">
      <c r="A595" s="39"/>
      <c r="B595" s="15" t="s">
        <v>20</v>
      </c>
      <c r="G595" s="1121"/>
      <c r="H595" s="1121"/>
      <c r="I595" s="1121"/>
      <c r="J595" s="1121"/>
      <c r="K595" s="1121"/>
      <c r="L595" s="1121"/>
      <c r="M595" s="1121"/>
      <c r="N595" s="1121"/>
      <c r="O595" s="1121"/>
      <c r="P595" s="1121"/>
      <c r="Q595" s="1121"/>
      <c r="R595" s="1121"/>
      <c r="T595" s="39"/>
      <c r="U595" s="15" t="s">
        <v>20</v>
      </c>
      <c r="Z595" s="1141"/>
      <c r="AA595" s="1141"/>
      <c r="AB595" s="1141"/>
      <c r="AC595" s="1141"/>
      <c r="AD595" s="1141"/>
      <c r="AE595" s="1141"/>
      <c r="AF595" s="1141"/>
      <c r="AG595" s="1141"/>
      <c r="AH595" s="1141"/>
      <c r="AI595" s="1141"/>
      <c r="AJ595" s="1141"/>
      <c r="AK595" s="1141"/>
      <c r="AM595" s="62"/>
      <c r="AN595" s="62"/>
      <c r="AO595" s="62"/>
      <c r="AP595" s="62"/>
      <c r="AQ595" s="62"/>
      <c r="AR595" s="1525">
        <f t="shared" si="0"/>
        <v>1</v>
      </c>
      <c r="AS595" s="1526"/>
      <c r="AT595" s="1149">
        <f t="shared" si="1"/>
        <v>5</v>
      </c>
      <c r="AU595" s="1151"/>
      <c r="AV595" s="1525">
        <f t="shared" si="2"/>
        <v>0</v>
      </c>
      <c r="AW595" s="1526"/>
      <c r="AX595" s="1149">
        <f t="shared" si="3"/>
        <v>0</v>
      </c>
      <c r="AY595" s="1151"/>
      <c r="AZ595" s="62"/>
      <c r="BA595" s="1149">
        <f t="shared" si="4"/>
        <v>0</v>
      </c>
      <c r="BB595" s="1150"/>
      <c r="BC595" s="1150"/>
      <c r="BD595" s="1150"/>
      <c r="BE595" s="1151"/>
      <c r="BF595" s="1211">
        <f t="shared" si="5"/>
        <v>0</v>
      </c>
      <c r="BG595" s="1211"/>
      <c r="BH595" s="1211"/>
      <c r="BI595" s="1211"/>
      <c r="BJ595" s="1211"/>
      <c r="BK595" s="1211">
        <f t="shared" si="6"/>
        <v>0</v>
      </c>
      <c r="BL595" s="1211"/>
      <c r="BM595" s="1211"/>
      <c r="BN595" s="1211"/>
      <c r="BO595" s="1211"/>
      <c r="BP595" s="1211">
        <f t="shared" si="7"/>
        <v>0</v>
      </c>
      <c r="BQ595" s="1211"/>
      <c r="BR595" s="1211"/>
      <c r="BS595" s="1211"/>
      <c r="BT595" s="1211"/>
      <c r="BU595" s="1211">
        <f t="shared" si="8"/>
        <v>5</v>
      </c>
      <c r="BV595" s="1211"/>
      <c r="BW595" s="1211"/>
      <c r="BX595" s="1211"/>
      <c r="BY595" s="1211"/>
      <c r="BZ595" s="1211">
        <f t="shared" si="9"/>
        <v>0</v>
      </c>
      <c r="CA595" s="1211"/>
      <c r="CB595" s="1211"/>
      <c r="CC595" s="1211"/>
      <c r="CD595" s="1211"/>
      <c r="CE595" s="1234">
        <f t="shared" si="10"/>
        <v>0</v>
      </c>
      <c r="CF595" s="1234"/>
      <c r="CG595" s="1234"/>
      <c r="CH595" s="1234"/>
      <c r="CI595" s="1234"/>
      <c r="CJ595" s="1234">
        <f t="shared" si="11"/>
        <v>0</v>
      </c>
      <c r="CK595" s="1234"/>
      <c r="CL595" s="1234"/>
      <c r="CM595" s="1234"/>
      <c r="CN595" s="1234"/>
      <c r="CO595" s="1234">
        <f t="shared" si="12"/>
        <v>0</v>
      </c>
      <c r="CP595" s="1234"/>
      <c r="CQ595" s="1234"/>
      <c r="CR595" s="1234"/>
      <c r="CS595" s="1234"/>
      <c r="CT595" s="1234">
        <f t="shared" si="13"/>
        <v>0</v>
      </c>
      <c r="CU595" s="1234"/>
      <c r="CV595" s="1234"/>
      <c r="CW595" s="1234"/>
      <c r="CX595" s="1234"/>
      <c r="CY595" s="1234">
        <f t="shared" si="14"/>
        <v>0</v>
      </c>
      <c r="CZ595" s="1234"/>
      <c r="DA595" s="1234"/>
      <c r="DB595" s="1234"/>
      <c r="DC595" s="1234"/>
      <c r="DD595" s="1234">
        <f t="shared" si="15"/>
        <v>0</v>
      </c>
      <c r="DE595" s="1234"/>
      <c r="DF595" s="1234"/>
      <c r="DG595" s="1234"/>
      <c r="DH595" s="1234"/>
    </row>
    <row r="596" spans="1:112" ht="12.75">
      <c r="A596" s="39"/>
      <c r="B596" s="15" t="s">
        <v>342</v>
      </c>
      <c r="G596" s="1125"/>
      <c r="H596" s="1125"/>
      <c r="I596" s="1125"/>
      <c r="J596" s="1125"/>
      <c r="K596" s="1125"/>
      <c r="L596" s="1125"/>
      <c r="O596" s="144" t="s">
        <v>224</v>
      </c>
      <c r="P596" s="1126"/>
      <c r="Q596" s="1126"/>
      <c r="R596" s="1126"/>
      <c r="T596" s="39"/>
      <c r="U596" s="15" t="s">
        <v>342</v>
      </c>
      <c r="Z596" s="1125"/>
      <c r="AA596" s="1125"/>
      <c r="AB596" s="1125"/>
      <c r="AC596" s="1125"/>
      <c r="AD596" s="1125"/>
      <c r="AE596" s="1125"/>
      <c r="AH596" s="144" t="s">
        <v>224</v>
      </c>
      <c r="AI596" s="1126"/>
      <c r="AJ596" s="1126"/>
      <c r="AK596" s="1126"/>
      <c r="AM596" s="62"/>
      <c r="AN596" s="62"/>
      <c r="AO596" s="62"/>
      <c r="AP596" s="62"/>
      <c r="AQ596" s="62"/>
      <c r="AR596" s="1525">
        <f t="shared" si="0"/>
        <v>1</v>
      </c>
      <c r="AS596" s="1526"/>
      <c r="AT596" s="1149">
        <f t="shared" si="1"/>
        <v>5</v>
      </c>
      <c r="AU596" s="1151"/>
      <c r="AV596" s="1525">
        <f t="shared" si="2"/>
        <v>0</v>
      </c>
      <c r="AW596" s="1526"/>
      <c r="AX596" s="1149">
        <f t="shared" si="3"/>
        <v>0</v>
      </c>
      <c r="AY596" s="1151"/>
      <c r="AZ596" s="62"/>
      <c r="BA596" s="1149">
        <f t="shared" si="4"/>
        <v>0</v>
      </c>
      <c r="BB596" s="1150"/>
      <c r="BC596" s="1150"/>
      <c r="BD596" s="1150"/>
      <c r="BE596" s="1151"/>
      <c r="BF596" s="1211">
        <f t="shared" si="5"/>
        <v>0</v>
      </c>
      <c r="BG596" s="1211"/>
      <c r="BH596" s="1211"/>
      <c r="BI596" s="1211"/>
      <c r="BJ596" s="1211"/>
      <c r="BK596" s="1211">
        <f t="shared" si="6"/>
        <v>0</v>
      </c>
      <c r="BL596" s="1211"/>
      <c r="BM596" s="1211"/>
      <c r="BN596" s="1211"/>
      <c r="BO596" s="1211"/>
      <c r="BP596" s="1211">
        <f t="shared" si="7"/>
        <v>0</v>
      </c>
      <c r="BQ596" s="1211"/>
      <c r="BR596" s="1211"/>
      <c r="BS596" s="1211"/>
      <c r="BT596" s="1211"/>
      <c r="BU596" s="1211">
        <f t="shared" si="8"/>
        <v>5</v>
      </c>
      <c r="BV596" s="1211"/>
      <c r="BW596" s="1211"/>
      <c r="BX596" s="1211"/>
      <c r="BY596" s="1211"/>
      <c r="BZ596" s="1211">
        <f t="shared" si="9"/>
        <v>0</v>
      </c>
      <c r="CA596" s="1211"/>
      <c r="CB596" s="1211"/>
      <c r="CC596" s="1211"/>
      <c r="CD596" s="1211"/>
      <c r="CE596" s="1234">
        <f t="shared" si="10"/>
        <v>0</v>
      </c>
      <c r="CF596" s="1234"/>
      <c r="CG596" s="1234"/>
      <c r="CH596" s="1234"/>
      <c r="CI596" s="1234"/>
      <c r="CJ596" s="1234">
        <f t="shared" si="11"/>
        <v>0</v>
      </c>
      <c r="CK596" s="1234"/>
      <c r="CL596" s="1234"/>
      <c r="CM596" s="1234"/>
      <c r="CN596" s="1234"/>
      <c r="CO596" s="1234">
        <f t="shared" si="12"/>
        <v>0</v>
      </c>
      <c r="CP596" s="1234"/>
      <c r="CQ596" s="1234"/>
      <c r="CR596" s="1234"/>
      <c r="CS596" s="1234"/>
      <c r="CT596" s="1234">
        <f t="shared" si="13"/>
        <v>0</v>
      </c>
      <c r="CU596" s="1234"/>
      <c r="CV596" s="1234"/>
      <c r="CW596" s="1234"/>
      <c r="CX596" s="1234"/>
      <c r="CY596" s="1234">
        <f t="shared" si="14"/>
        <v>0</v>
      </c>
      <c r="CZ596" s="1234"/>
      <c r="DA596" s="1234"/>
      <c r="DB596" s="1234"/>
      <c r="DC596" s="1234"/>
      <c r="DD596" s="1234">
        <f t="shared" si="15"/>
        <v>0</v>
      </c>
      <c r="DE596" s="1234"/>
      <c r="DF596" s="1234"/>
      <c r="DG596" s="1234"/>
      <c r="DH596" s="1234"/>
    </row>
    <row r="597" spans="1:112" s="8" customFormat="1" ht="12.75">
      <c r="A597" s="39"/>
      <c r="B597" s="15" t="s">
        <v>21</v>
      </c>
      <c r="C597" s="15"/>
      <c r="D597" s="15"/>
      <c r="E597" s="15"/>
      <c r="F597" s="15"/>
      <c r="G597" s="15"/>
      <c r="H597" s="1121"/>
      <c r="I597" s="1121"/>
      <c r="J597" s="1121"/>
      <c r="K597" s="1121"/>
      <c r="L597" s="1121"/>
      <c r="M597" s="1121"/>
      <c r="N597" s="1121"/>
      <c r="O597" s="1121"/>
      <c r="P597" s="1121"/>
      <c r="Q597" s="1121"/>
      <c r="R597" s="1121"/>
      <c r="S597" s="15"/>
      <c r="T597" s="39"/>
      <c r="U597" s="15" t="s">
        <v>21</v>
      </c>
      <c r="V597" s="15"/>
      <c r="W597" s="15"/>
      <c r="X597" s="15"/>
      <c r="Y597" s="15"/>
      <c r="Z597" s="15"/>
      <c r="AA597" s="1121"/>
      <c r="AB597" s="1121"/>
      <c r="AC597" s="1121"/>
      <c r="AD597" s="1121"/>
      <c r="AE597" s="1121"/>
      <c r="AF597" s="1121"/>
      <c r="AG597" s="1121"/>
      <c r="AH597" s="1121"/>
      <c r="AI597" s="1121"/>
      <c r="AJ597" s="1121"/>
      <c r="AK597" s="1121"/>
      <c r="AL597" s="15"/>
      <c r="AM597" s="62"/>
      <c r="AN597" s="62"/>
      <c r="AO597" s="62"/>
      <c r="AP597" s="62"/>
      <c r="AQ597" s="62"/>
      <c r="AR597" s="1525">
        <f t="shared" si="0"/>
        <v>0</v>
      </c>
      <c r="AS597" s="1526"/>
      <c r="AT597" s="1149">
        <f t="shared" si="1"/>
        <v>0</v>
      </c>
      <c r="AU597" s="1151"/>
      <c r="AV597" s="1525">
        <f t="shared" si="2"/>
        <v>0</v>
      </c>
      <c r="AW597" s="1526"/>
      <c r="AX597" s="1149">
        <f t="shared" si="3"/>
        <v>0</v>
      </c>
      <c r="AY597" s="1151"/>
      <c r="AZ597" s="62"/>
      <c r="BA597" s="1149">
        <f t="shared" si="4"/>
        <v>0</v>
      </c>
      <c r="BB597" s="1150"/>
      <c r="BC597" s="1150"/>
      <c r="BD597" s="1150"/>
      <c r="BE597" s="1151"/>
      <c r="BF597" s="1211">
        <f t="shared" si="5"/>
        <v>0</v>
      </c>
      <c r="BG597" s="1211"/>
      <c r="BH597" s="1211"/>
      <c r="BI597" s="1211"/>
      <c r="BJ597" s="1211"/>
      <c r="BK597" s="1211">
        <f t="shared" si="6"/>
        <v>0</v>
      </c>
      <c r="BL597" s="1211"/>
      <c r="BM597" s="1211"/>
      <c r="BN597" s="1211"/>
      <c r="BO597" s="1211"/>
      <c r="BP597" s="1211">
        <f t="shared" si="7"/>
        <v>0</v>
      </c>
      <c r="BQ597" s="1211"/>
      <c r="BR597" s="1211"/>
      <c r="BS597" s="1211"/>
      <c r="BT597" s="1211"/>
      <c r="BU597" s="1211">
        <f t="shared" si="8"/>
        <v>0</v>
      </c>
      <c r="BV597" s="1211"/>
      <c r="BW597" s="1211"/>
      <c r="BX597" s="1211"/>
      <c r="BY597" s="1211"/>
      <c r="BZ597" s="1211">
        <f t="shared" si="9"/>
        <v>0</v>
      </c>
      <c r="CA597" s="1211"/>
      <c r="CB597" s="1211"/>
      <c r="CC597" s="1211"/>
      <c r="CD597" s="1211"/>
      <c r="CE597" s="1234">
        <f t="shared" si="10"/>
        <v>0</v>
      </c>
      <c r="CF597" s="1234"/>
      <c r="CG597" s="1234"/>
      <c r="CH597" s="1234"/>
      <c r="CI597" s="1234"/>
      <c r="CJ597" s="1234">
        <f t="shared" si="11"/>
        <v>0</v>
      </c>
      <c r="CK597" s="1234"/>
      <c r="CL597" s="1234"/>
      <c r="CM597" s="1234"/>
      <c r="CN597" s="1234"/>
      <c r="CO597" s="1234">
        <f t="shared" si="12"/>
        <v>0</v>
      </c>
      <c r="CP597" s="1234"/>
      <c r="CQ597" s="1234"/>
      <c r="CR597" s="1234"/>
      <c r="CS597" s="1234"/>
      <c r="CT597" s="1234">
        <f t="shared" si="13"/>
        <v>0</v>
      </c>
      <c r="CU597" s="1234"/>
      <c r="CV597" s="1234"/>
      <c r="CW597" s="1234"/>
      <c r="CX597" s="1234"/>
      <c r="CY597" s="1234">
        <f t="shared" si="14"/>
        <v>0</v>
      </c>
      <c r="CZ597" s="1234"/>
      <c r="DA597" s="1234"/>
      <c r="DB597" s="1234"/>
      <c r="DC597" s="1234"/>
      <c r="DD597" s="1234">
        <f t="shared" si="15"/>
        <v>0</v>
      </c>
      <c r="DE597" s="1234"/>
      <c r="DF597" s="1234"/>
      <c r="DG597" s="1234"/>
      <c r="DH597" s="1234"/>
    </row>
    <row r="598" spans="1:112" s="8" customFormat="1" ht="12.75">
      <c r="A598" s="39"/>
      <c r="B598" s="15" t="s">
        <v>23</v>
      </c>
      <c r="C598" s="15"/>
      <c r="D598" s="15"/>
      <c r="E598" s="15"/>
      <c r="F598" s="15"/>
      <c r="G598" s="15"/>
      <c r="H598" s="15"/>
      <c r="I598" s="15"/>
      <c r="J598" s="15"/>
      <c r="K598" s="15"/>
      <c r="L598" s="15"/>
      <c r="M598" s="15"/>
      <c r="N598" s="1122" t="s">
        <v>755</v>
      </c>
      <c r="O598" s="1122"/>
      <c r="P598" s="15"/>
      <c r="Q598" s="15"/>
      <c r="R598" s="15"/>
      <c r="S598" s="15"/>
      <c r="T598" s="39"/>
      <c r="U598" s="15" t="s">
        <v>23</v>
      </c>
      <c r="V598" s="15"/>
      <c r="W598" s="15"/>
      <c r="X598" s="15"/>
      <c r="Y598" s="15"/>
      <c r="Z598" s="15"/>
      <c r="AA598" s="15"/>
      <c r="AB598" s="15"/>
      <c r="AC598" s="15"/>
      <c r="AD598" s="15"/>
      <c r="AE598" s="15"/>
      <c r="AF598" s="15"/>
      <c r="AG598" s="1122" t="s">
        <v>755</v>
      </c>
      <c r="AH598" s="1122"/>
      <c r="AI598" s="15"/>
      <c r="AJ598" s="15"/>
      <c r="AK598" s="15"/>
      <c r="AL598" s="15"/>
      <c r="AM598" s="62"/>
      <c r="AN598" s="62"/>
      <c r="AO598" s="62"/>
      <c r="AP598" s="62"/>
      <c r="AQ598" s="62"/>
      <c r="AR598" s="1525">
        <f t="shared" si="0"/>
        <v>0</v>
      </c>
      <c r="AS598" s="1526"/>
      <c r="AT598" s="1149">
        <f t="shared" si="1"/>
        <v>0</v>
      </c>
      <c r="AU598" s="1151"/>
      <c r="AV598" s="1525">
        <f t="shared" si="2"/>
        <v>0</v>
      </c>
      <c r="AW598" s="1526"/>
      <c r="AX598" s="1149">
        <f t="shared" si="3"/>
        <v>0</v>
      </c>
      <c r="AY598" s="1151"/>
      <c r="AZ598" s="62"/>
      <c r="BA598" s="1149">
        <f t="shared" si="4"/>
        <v>0</v>
      </c>
      <c r="BB598" s="1150"/>
      <c r="BC598" s="1150"/>
      <c r="BD598" s="1150"/>
      <c r="BE598" s="1151"/>
      <c r="BF598" s="1211">
        <f t="shared" si="5"/>
        <v>0</v>
      </c>
      <c r="BG598" s="1211"/>
      <c r="BH598" s="1211"/>
      <c r="BI598" s="1211"/>
      <c r="BJ598" s="1211"/>
      <c r="BK598" s="1211">
        <f t="shared" si="6"/>
        <v>0</v>
      </c>
      <c r="BL598" s="1211"/>
      <c r="BM598" s="1211"/>
      <c r="BN598" s="1211"/>
      <c r="BO598" s="1211"/>
      <c r="BP598" s="1211">
        <f t="shared" si="7"/>
        <v>0</v>
      </c>
      <c r="BQ598" s="1211"/>
      <c r="BR598" s="1211"/>
      <c r="BS598" s="1211"/>
      <c r="BT598" s="1211"/>
      <c r="BU598" s="1211">
        <f t="shared" si="8"/>
        <v>0</v>
      </c>
      <c r="BV598" s="1211"/>
      <c r="BW598" s="1211"/>
      <c r="BX598" s="1211"/>
      <c r="BY598" s="1211"/>
      <c r="BZ598" s="1211">
        <f t="shared" si="9"/>
        <v>0</v>
      </c>
      <c r="CA598" s="1211"/>
      <c r="CB598" s="1211"/>
      <c r="CC598" s="1211"/>
      <c r="CD598" s="1211"/>
      <c r="CE598" s="1234">
        <f t="shared" si="10"/>
        <v>0</v>
      </c>
      <c r="CF598" s="1234"/>
      <c r="CG598" s="1234"/>
      <c r="CH598" s="1234"/>
      <c r="CI598" s="1234"/>
      <c r="CJ598" s="1234">
        <f t="shared" si="11"/>
        <v>0</v>
      </c>
      <c r="CK598" s="1234"/>
      <c r="CL598" s="1234"/>
      <c r="CM598" s="1234"/>
      <c r="CN598" s="1234"/>
      <c r="CO598" s="1234">
        <f t="shared" si="12"/>
        <v>0</v>
      </c>
      <c r="CP598" s="1234"/>
      <c r="CQ598" s="1234"/>
      <c r="CR598" s="1234"/>
      <c r="CS598" s="1234"/>
      <c r="CT598" s="1234">
        <f t="shared" si="13"/>
        <v>0</v>
      </c>
      <c r="CU598" s="1234"/>
      <c r="CV598" s="1234"/>
      <c r="CW598" s="1234"/>
      <c r="CX598" s="1234"/>
      <c r="CY598" s="1234">
        <f t="shared" si="14"/>
        <v>0</v>
      </c>
      <c r="CZ598" s="1234"/>
      <c r="DA598" s="1234"/>
      <c r="DB598" s="1234"/>
      <c r="DC598" s="1234"/>
      <c r="DD598" s="1234">
        <f t="shared" si="15"/>
        <v>0</v>
      </c>
      <c r="DE598" s="1234"/>
      <c r="DF598" s="1234"/>
      <c r="DG598" s="1234"/>
      <c r="DH598" s="1234"/>
    </row>
    <row r="599" spans="1:112" s="8" customFormat="1" ht="12.75">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525">
        <f t="shared" si="0"/>
        <v>0</v>
      </c>
      <c r="AS599" s="1526"/>
      <c r="AT599" s="1149">
        <f t="shared" si="1"/>
        <v>0</v>
      </c>
      <c r="AU599" s="1151"/>
      <c r="AV599" s="1525">
        <f t="shared" si="2"/>
        <v>0</v>
      </c>
      <c r="AW599" s="1526"/>
      <c r="AX599" s="1149">
        <f t="shared" si="3"/>
        <v>0</v>
      </c>
      <c r="AY599" s="1151"/>
      <c r="AZ599" s="62"/>
      <c r="BA599" s="1149">
        <f t="shared" si="4"/>
        <v>0</v>
      </c>
      <c r="BB599" s="1150"/>
      <c r="BC599" s="1150"/>
      <c r="BD599" s="1150"/>
      <c r="BE599" s="1151"/>
      <c r="BF599" s="1211">
        <f t="shared" si="5"/>
        <v>0</v>
      </c>
      <c r="BG599" s="1211"/>
      <c r="BH599" s="1211"/>
      <c r="BI599" s="1211"/>
      <c r="BJ599" s="1211"/>
      <c r="BK599" s="1211">
        <f t="shared" si="6"/>
        <v>0</v>
      </c>
      <c r="BL599" s="1211"/>
      <c r="BM599" s="1211"/>
      <c r="BN599" s="1211"/>
      <c r="BO599" s="1211"/>
      <c r="BP599" s="1211">
        <f t="shared" si="7"/>
        <v>0</v>
      </c>
      <c r="BQ599" s="1211"/>
      <c r="BR599" s="1211"/>
      <c r="BS599" s="1211"/>
      <c r="BT599" s="1211"/>
      <c r="BU599" s="1211">
        <f t="shared" si="8"/>
        <v>0</v>
      </c>
      <c r="BV599" s="1211"/>
      <c r="BW599" s="1211"/>
      <c r="BX599" s="1211"/>
      <c r="BY599" s="1211"/>
      <c r="BZ599" s="1211">
        <f t="shared" si="9"/>
        <v>0</v>
      </c>
      <c r="CA599" s="1211"/>
      <c r="CB599" s="1211"/>
      <c r="CC599" s="1211"/>
      <c r="CD599" s="1211"/>
      <c r="CE599" s="1234">
        <f t="shared" si="10"/>
        <v>0</v>
      </c>
      <c r="CF599" s="1234"/>
      <c r="CG599" s="1234"/>
      <c r="CH599" s="1234"/>
      <c r="CI599" s="1234"/>
      <c r="CJ599" s="1234">
        <f t="shared" si="11"/>
        <v>0</v>
      </c>
      <c r="CK599" s="1234"/>
      <c r="CL599" s="1234"/>
      <c r="CM599" s="1234"/>
      <c r="CN599" s="1234"/>
      <c r="CO599" s="1234">
        <f t="shared" si="12"/>
        <v>0</v>
      </c>
      <c r="CP599" s="1234"/>
      <c r="CQ599" s="1234"/>
      <c r="CR599" s="1234"/>
      <c r="CS599" s="1234"/>
      <c r="CT599" s="1234">
        <f t="shared" si="13"/>
        <v>0</v>
      </c>
      <c r="CU599" s="1234"/>
      <c r="CV599" s="1234"/>
      <c r="CW599" s="1234"/>
      <c r="CX599" s="1234"/>
      <c r="CY599" s="1234">
        <f t="shared" si="14"/>
        <v>0</v>
      </c>
      <c r="CZ599" s="1234"/>
      <c r="DA599" s="1234"/>
      <c r="DB599" s="1234"/>
      <c r="DC599" s="1234"/>
      <c r="DD599" s="1234">
        <f t="shared" si="15"/>
        <v>0</v>
      </c>
      <c r="DE599" s="1234"/>
      <c r="DF599" s="1234"/>
      <c r="DG599" s="1234"/>
      <c r="DH599" s="1234"/>
    </row>
    <row r="600" spans="1:112" ht="12.75">
      <c r="A600" s="91" t="s">
        <v>399</v>
      </c>
      <c r="B600" s="15" t="s">
        <v>539</v>
      </c>
      <c r="G600" s="1123">
        <f>C555</f>
        <v>0</v>
      </c>
      <c r="H600" s="1123"/>
      <c r="I600" s="1123"/>
      <c r="J600" s="1123"/>
      <c r="K600" s="1123"/>
      <c r="L600" s="1123"/>
      <c r="M600" s="1123"/>
      <c r="N600" s="1123"/>
      <c r="O600" s="1123"/>
      <c r="P600" s="1123"/>
      <c r="Q600" s="1123"/>
      <c r="R600" s="1123"/>
      <c r="T600" s="91" t="s">
        <v>400</v>
      </c>
      <c r="U600" s="15" t="s">
        <v>539</v>
      </c>
      <c r="Z600" s="1123">
        <f>C556</f>
        <v>0</v>
      </c>
      <c r="AA600" s="1123"/>
      <c r="AB600" s="1123"/>
      <c r="AC600" s="1123"/>
      <c r="AD600" s="1123"/>
      <c r="AE600" s="1123"/>
      <c r="AF600" s="1123"/>
      <c r="AG600" s="1123"/>
      <c r="AH600" s="1123"/>
      <c r="AI600" s="1123"/>
      <c r="AJ600" s="1123"/>
      <c r="AK600" s="1123"/>
      <c r="AM600" s="62"/>
      <c r="AN600" s="62"/>
      <c r="AO600" s="62"/>
      <c r="AP600" s="62"/>
      <c r="AQ600" s="62"/>
      <c r="AR600" s="1525">
        <f t="shared" si="0"/>
        <v>0</v>
      </c>
      <c r="AS600" s="1526"/>
      <c r="AT600" s="1149">
        <f t="shared" si="1"/>
        <v>0</v>
      </c>
      <c r="AU600" s="1151"/>
      <c r="AV600" s="1525">
        <f t="shared" si="2"/>
        <v>0</v>
      </c>
      <c r="AW600" s="1526"/>
      <c r="AX600" s="1149">
        <f t="shared" si="3"/>
        <v>0</v>
      </c>
      <c r="AY600" s="1151"/>
      <c r="AZ600" s="62"/>
      <c r="BA600" s="1149">
        <f t="shared" si="4"/>
        <v>0</v>
      </c>
      <c r="BB600" s="1150"/>
      <c r="BC600" s="1150"/>
      <c r="BD600" s="1150"/>
      <c r="BE600" s="1151"/>
      <c r="BF600" s="1211">
        <f t="shared" si="5"/>
        <v>0</v>
      </c>
      <c r="BG600" s="1211"/>
      <c r="BH600" s="1211"/>
      <c r="BI600" s="1211"/>
      <c r="BJ600" s="1211"/>
      <c r="BK600" s="1211">
        <f t="shared" si="6"/>
        <v>0</v>
      </c>
      <c r="BL600" s="1211"/>
      <c r="BM600" s="1211"/>
      <c r="BN600" s="1211"/>
      <c r="BO600" s="1211"/>
      <c r="BP600" s="1211">
        <f t="shared" si="7"/>
        <v>0</v>
      </c>
      <c r="BQ600" s="1211"/>
      <c r="BR600" s="1211"/>
      <c r="BS600" s="1211"/>
      <c r="BT600" s="1211"/>
      <c r="BU600" s="1211">
        <f t="shared" si="8"/>
        <v>0</v>
      </c>
      <c r="BV600" s="1211"/>
      <c r="BW600" s="1211"/>
      <c r="BX600" s="1211"/>
      <c r="BY600" s="1211"/>
      <c r="BZ600" s="1211">
        <f t="shared" si="9"/>
        <v>0</v>
      </c>
      <c r="CA600" s="1211"/>
      <c r="CB600" s="1211"/>
      <c r="CC600" s="1211"/>
      <c r="CD600" s="1211"/>
      <c r="CE600" s="1234">
        <f t="shared" si="10"/>
        <v>0</v>
      </c>
      <c r="CF600" s="1234"/>
      <c r="CG600" s="1234"/>
      <c r="CH600" s="1234"/>
      <c r="CI600" s="1234"/>
      <c r="CJ600" s="1234">
        <f t="shared" si="11"/>
        <v>0</v>
      </c>
      <c r="CK600" s="1234"/>
      <c r="CL600" s="1234"/>
      <c r="CM600" s="1234"/>
      <c r="CN600" s="1234"/>
      <c r="CO600" s="1234">
        <f t="shared" si="12"/>
        <v>0</v>
      </c>
      <c r="CP600" s="1234"/>
      <c r="CQ600" s="1234"/>
      <c r="CR600" s="1234"/>
      <c r="CS600" s="1234"/>
      <c r="CT600" s="1234">
        <f t="shared" si="13"/>
        <v>0</v>
      </c>
      <c r="CU600" s="1234"/>
      <c r="CV600" s="1234"/>
      <c r="CW600" s="1234"/>
      <c r="CX600" s="1234"/>
      <c r="CY600" s="1234">
        <f t="shared" si="14"/>
        <v>0</v>
      </c>
      <c r="CZ600" s="1234"/>
      <c r="DA600" s="1234"/>
      <c r="DB600" s="1234"/>
      <c r="DC600" s="1234"/>
      <c r="DD600" s="1234">
        <f t="shared" si="15"/>
        <v>0</v>
      </c>
      <c r="DE600" s="1234"/>
      <c r="DF600" s="1234"/>
      <c r="DG600" s="1234"/>
      <c r="DH600" s="1234"/>
    </row>
    <row r="601" spans="1:112" ht="12.75">
      <c r="B601" s="15" t="s">
        <v>93</v>
      </c>
      <c r="G601" s="1121"/>
      <c r="H601" s="1121"/>
      <c r="I601" s="1121"/>
      <c r="J601" s="1121"/>
      <c r="K601" s="1121"/>
      <c r="L601" s="1121"/>
      <c r="M601" s="1121"/>
      <c r="N601" s="1121"/>
      <c r="O601" s="1121"/>
      <c r="P601" s="1121"/>
      <c r="Q601" s="1121"/>
      <c r="R601" s="1121"/>
      <c r="U601" s="15" t="s">
        <v>93</v>
      </c>
      <c r="Z601" s="1121"/>
      <c r="AA601" s="1121"/>
      <c r="AB601" s="1121"/>
      <c r="AC601" s="1121"/>
      <c r="AD601" s="1121"/>
      <c r="AE601" s="1121"/>
      <c r="AF601" s="1121"/>
      <c r="AG601" s="1121"/>
      <c r="AH601" s="1121"/>
      <c r="AI601" s="1121"/>
      <c r="AJ601" s="1121"/>
      <c r="AK601" s="1121"/>
      <c r="AM601" s="62"/>
      <c r="AN601" s="62"/>
      <c r="AO601" s="62"/>
      <c r="AP601" s="62"/>
      <c r="AQ601" s="62"/>
      <c r="AR601" s="1525">
        <f t="shared" si="0"/>
        <v>0</v>
      </c>
      <c r="AS601" s="1526"/>
      <c r="AT601" s="1149">
        <f t="shared" si="1"/>
        <v>0</v>
      </c>
      <c r="AU601" s="1151"/>
      <c r="AV601" s="1525">
        <f t="shared" si="2"/>
        <v>0</v>
      </c>
      <c r="AW601" s="1526"/>
      <c r="AX601" s="1149">
        <f t="shared" si="3"/>
        <v>0</v>
      </c>
      <c r="AY601" s="1151"/>
      <c r="AZ601" s="62"/>
      <c r="BA601" s="1149">
        <f t="shared" si="4"/>
        <v>0</v>
      </c>
      <c r="BB601" s="1150"/>
      <c r="BC601" s="1150"/>
      <c r="BD601" s="1150"/>
      <c r="BE601" s="1151"/>
      <c r="BF601" s="1211">
        <f t="shared" si="5"/>
        <v>0</v>
      </c>
      <c r="BG601" s="1211"/>
      <c r="BH601" s="1211"/>
      <c r="BI601" s="1211"/>
      <c r="BJ601" s="1211"/>
      <c r="BK601" s="1211">
        <f t="shared" si="6"/>
        <v>0</v>
      </c>
      <c r="BL601" s="1211"/>
      <c r="BM601" s="1211"/>
      <c r="BN601" s="1211"/>
      <c r="BO601" s="1211"/>
      <c r="BP601" s="1211">
        <f t="shared" si="7"/>
        <v>0</v>
      </c>
      <c r="BQ601" s="1211"/>
      <c r="BR601" s="1211"/>
      <c r="BS601" s="1211"/>
      <c r="BT601" s="1211"/>
      <c r="BU601" s="1211">
        <f t="shared" si="8"/>
        <v>0</v>
      </c>
      <c r="BV601" s="1211"/>
      <c r="BW601" s="1211"/>
      <c r="BX601" s="1211"/>
      <c r="BY601" s="1211"/>
      <c r="BZ601" s="1211">
        <f t="shared" si="9"/>
        <v>0</v>
      </c>
      <c r="CA601" s="1211"/>
      <c r="CB601" s="1211"/>
      <c r="CC601" s="1211"/>
      <c r="CD601" s="1211"/>
      <c r="CE601" s="1234">
        <f t="shared" si="10"/>
        <v>0</v>
      </c>
      <c r="CF601" s="1234"/>
      <c r="CG601" s="1234"/>
      <c r="CH601" s="1234"/>
      <c r="CI601" s="1234"/>
      <c r="CJ601" s="1234">
        <f t="shared" si="11"/>
        <v>0</v>
      </c>
      <c r="CK601" s="1234"/>
      <c r="CL601" s="1234"/>
      <c r="CM601" s="1234"/>
      <c r="CN601" s="1234"/>
      <c r="CO601" s="1234">
        <f t="shared" si="12"/>
        <v>0</v>
      </c>
      <c r="CP601" s="1234"/>
      <c r="CQ601" s="1234"/>
      <c r="CR601" s="1234"/>
      <c r="CS601" s="1234"/>
      <c r="CT601" s="1234">
        <f t="shared" si="13"/>
        <v>0</v>
      </c>
      <c r="CU601" s="1234"/>
      <c r="CV601" s="1234"/>
      <c r="CW601" s="1234"/>
      <c r="CX601" s="1234"/>
      <c r="CY601" s="1234">
        <f t="shared" si="14"/>
        <v>0</v>
      </c>
      <c r="CZ601" s="1234"/>
      <c r="DA601" s="1234"/>
      <c r="DB601" s="1234"/>
      <c r="DC601" s="1234"/>
      <c r="DD601" s="1234">
        <f t="shared" si="15"/>
        <v>0</v>
      </c>
      <c r="DE601" s="1234"/>
      <c r="DF601" s="1234"/>
      <c r="DG601" s="1234"/>
      <c r="DH601" s="1234"/>
    </row>
    <row r="602" spans="1:112" ht="12.75">
      <c r="B602" s="15" t="s">
        <v>661</v>
      </c>
      <c r="G602" s="1121"/>
      <c r="H602" s="1121"/>
      <c r="I602" s="1121"/>
      <c r="J602" s="1121"/>
      <c r="K602" s="1121"/>
      <c r="L602" s="1121"/>
      <c r="M602" s="1121"/>
      <c r="N602" s="1121"/>
      <c r="O602" s="1121"/>
      <c r="P602" s="1121"/>
      <c r="Q602" s="1121"/>
      <c r="R602" s="1121"/>
      <c r="U602" s="15" t="s">
        <v>661</v>
      </c>
      <c r="Z602" s="1141"/>
      <c r="AA602" s="1141"/>
      <c r="AB602" s="1141"/>
      <c r="AC602" s="1141"/>
      <c r="AD602" s="1141"/>
      <c r="AE602" s="1141"/>
      <c r="AF602" s="1141"/>
      <c r="AG602" s="1141"/>
      <c r="AH602" s="1141"/>
      <c r="AI602" s="1141"/>
      <c r="AJ602" s="1141"/>
      <c r="AK602" s="1141"/>
      <c r="AM602" s="62"/>
      <c r="AN602" s="62"/>
      <c r="AO602" s="62"/>
      <c r="AP602" s="62"/>
      <c r="AQ602" s="62"/>
      <c r="AR602" s="1525">
        <f t="shared" si="0"/>
        <v>0</v>
      </c>
      <c r="AS602" s="1526"/>
      <c r="AT602" s="1149">
        <f t="shared" si="1"/>
        <v>0</v>
      </c>
      <c r="AU602" s="1151"/>
      <c r="AV602" s="1525">
        <f t="shared" si="2"/>
        <v>0</v>
      </c>
      <c r="AW602" s="1526"/>
      <c r="AX602" s="1149">
        <f t="shared" si="3"/>
        <v>0</v>
      </c>
      <c r="AY602" s="1151"/>
      <c r="AZ602" s="62"/>
      <c r="BA602" s="1149">
        <f t="shared" si="4"/>
        <v>0</v>
      </c>
      <c r="BB602" s="1150"/>
      <c r="BC602" s="1150"/>
      <c r="BD602" s="1150"/>
      <c r="BE602" s="1151"/>
      <c r="BF602" s="1211">
        <f t="shared" si="5"/>
        <v>0</v>
      </c>
      <c r="BG602" s="1211"/>
      <c r="BH602" s="1211"/>
      <c r="BI602" s="1211"/>
      <c r="BJ602" s="1211"/>
      <c r="BK602" s="1211">
        <f t="shared" si="6"/>
        <v>0</v>
      </c>
      <c r="BL602" s="1211"/>
      <c r="BM602" s="1211"/>
      <c r="BN602" s="1211"/>
      <c r="BO602" s="1211"/>
      <c r="BP602" s="1211">
        <f t="shared" si="7"/>
        <v>0</v>
      </c>
      <c r="BQ602" s="1211"/>
      <c r="BR602" s="1211"/>
      <c r="BS602" s="1211"/>
      <c r="BT602" s="1211"/>
      <c r="BU602" s="1211">
        <f t="shared" si="8"/>
        <v>0</v>
      </c>
      <c r="BV602" s="1211"/>
      <c r="BW602" s="1211"/>
      <c r="BX602" s="1211"/>
      <c r="BY602" s="1211"/>
      <c r="BZ602" s="1211">
        <f t="shared" si="9"/>
        <v>0</v>
      </c>
      <c r="CA602" s="1211"/>
      <c r="CB602" s="1211"/>
      <c r="CC602" s="1211"/>
      <c r="CD602" s="1211"/>
      <c r="CE602" s="1234">
        <f t="shared" si="10"/>
        <v>0</v>
      </c>
      <c r="CF602" s="1234"/>
      <c r="CG602" s="1234"/>
      <c r="CH602" s="1234"/>
      <c r="CI602" s="1234"/>
      <c r="CJ602" s="1234">
        <f t="shared" si="11"/>
        <v>0</v>
      </c>
      <c r="CK602" s="1234"/>
      <c r="CL602" s="1234"/>
      <c r="CM602" s="1234"/>
      <c r="CN602" s="1234"/>
      <c r="CO602" s="1234">
        <f t="shared" si="12"/>
        <v>0</v>
      </c>
      <c r="CP602" s="1234"/>
      <c r="CQ602" s="1234"/>
      <c r="CR602" s="1234"/>
      <c r="CS602" s="1234"/>
      <c r="CT602" s="1234">
        <f t="shared" si="13"/>
        <v>0</v>
      </c>
      <c r="CU602" s="1234"/>
      <c r="CV602" s="1234"/>
      <c r="CW602" s="1234"/>
      <c r="CX602" s="1234"/>
      <c r="CY602" s="1234">
        <f t="shared" si="14"/>
        <v>0</v>
      </c>
      <c r="CZ602" s="1234"/>
      <c r="DA602" s="1234"/>
      <c r="DB602" s="1234"/>
      <c r="DC602" s="1234"/>
      <c r="DD602" s="1234">
        <f t="shared" si="15"/>
        <v>0</v>
      </c>
      <c r="DE602" s="1234"/>
      <c r="DF602" s="1234"/>
      <c r="DG602" s="1234"/>
      <c r="DH602" s="1234"/>
    </row>
    <row r="603" spans="1:112" ht="12.75">
      <c r="B603" s="15" t="s">
        <v>20</v>
      </c>
      <c r="G603" s="1121"/>
      <c r="H603" s="1121"/>
      <c r="I603" s="1121"/>
      <c r="J603" s="1121"/>
      <c r="K603" s="1121"/>
      <c r="L603" s="1121"/>
      <c r="M603" s="1121"/>
      <c r="N603" s="1121"/>
      <c r="O603" s="1121"/>
      <c r="P603" s="1121"/>
      <c r="Q603" s="1121"/>
      <c r="R603" s="1121"/>
      <c r="U603" s="15" t="s">
        <v>20</v>
      </c>
      <c r="Z603" s="1141"/>
      <c r="AA603" s="1141"/>
      <c r="AB603" s="1141"/>
      <c r="AC603" s="1141"/>
      <c r="AD603" s="1141"/>
      <c r="AE603" s="1141"/>
      <c r="AF603" s="1141"/>
      <c r="AG603" s="1141"/>
      <c r="AH603" s="1141"/>
      <c r="AI603" s="1141"/>
      <c r="AJ603" s="1141"/>
      <c r="AK603" s="1141"/>
      <c r="AM603" s="62"/>
      <c r="AN603" s="62"/>
      <c r="AO603" s="62"/>
      <c r="AP603" s="62"/>
      <c r="AQ603" s="62"/>
      <c r="AR603" s="1525">
        <f t="shared" si="0"/>
        <v>0</v>
      </c>
      <c r="AS603" s="1526"/>
      <c r="AT603" s="1149">
        <f t="shared" si="1"/>
        <v>0</v>
      </c>
      <c r="AU603" s="1151"/>
      <c r="AV603" s="1525">
        <f t="shared" si="2"/>
        <v>0</v>
      </c>
      <c r="AW603" s="1526"/>
      <c r="AX603" s="1149">
        <f t="shared" si="3"/>
        <v>0</v>
      </c>
      <c r="AY603" s="1151"/>
      <c r="AZ603" s="62"/>
      <c r="BA603" s="1149">
        <f t="shared" si="4"/>
        <v>0</v>
      </c>
      <c r="BB603" s="1150"/>
      <c r="BC603" s="1150"/>
      <c r="BD603" s="1150"/>
      <c r="BE603" s="1151"/>
      <c r="BF603" s="1211">
        <f t="shared" si="5"/>
        <v>0</v>
      </c>
      <c r="BG603" s="1211"/>
      <c r="BH603" s="1211"/>
      <c r="BI603" s="1211"/>
      <c r="BJ603" s="1211"/>
      <c r="BK603" s="1211">
        <f t="shared" si="6"/>
        <v>0</v>
      </c>
      <c r="BL603" s="1211"/>
      <c r="BM603" s="1211"/>
      <c r="BN603" s="1211"/>
      <c r="BO603" s="1211"/>
      <c r="BP603" s="1211">
        <f t="shared" si="7"/>
        <v>0</v>
      </c>
      <c r="BQ603" s="1211"/>
      <c r="BR603" s="1211"/>
      <c r="BS603" s="1211"/>
      <c r="BT603" s="1211"/>
      <c r="BU603" s="1211">
        <f t="shared" si="8"/>
        <v>0</v>
      </c>
      <c r="BV603" s="1211"/>
      <c r="BW603" s="1211"/>
      <c r="BX603" s="1211"/>
      <c r="BY603" s="1211"/>
      <c r="BZ603" s="1211">
        <f t="shared" si="9"/>
        <v>0</v>
      </c>
      <c r="CA603" s="1211"/>
      <c r="CB603" s="1211"/>
      <c r="CC603" s="1211"/>
      <c r="CD603" s="1211"/>
      <c r="CE603" s="1234">
        <f t="shared" si="10"/>
        <v>0</v>
      </c>
      <c r="CF603" s="1234"/>
      <c r="CG603" s="1234"/>
      <c r="CH603" s="1234"/>
      <c r="CI603" s="1234"/>
      <c r="CJ603" s="1234">
        <f t="shared" si="11"/>
        <v>0</v>
      </c>
      <c r="CK603" s="1234"/>
      <c r="CL603" s="1234"/>
      <c r="CM603" s="1234"/>
      <c r="CN603" s="1234"/>
      <c r="CO603" s="1234">
        <f t="shared" si="12"/>
        <v>0</v>
      </c>
      <c r="CP603" s="1234"/>
      <c r="CQ603" s="1234"/>
      <c r="CR603" s="1234"/>
      <c r="CS603" s="1234"/>
      <c r="CT603" s="1234">
        <f t="shared" si="13"/>
        <v>0</v>
      </c>
      <c r="CU603" s="1234"/>
      <c r="CV603" s="1234"/>
      <c r="CW603" s="1234"/>
      <c r="CX603" s="1234"/>
      <c r="CY603" s="1234">
        <f t="shared" si="14"/>
        <v>0</v>
      </c>
      <c r="CZ603" s="1234"/>
      <c r="DA603" s="1234"/>
      <c r="DB603" s="1234"/>
      <c r="DC603" s="1234"/>
      <c r="DD603" s="1234">
        <f t="shared" si="15"/>
        <v>0</v>
      </c>
      <c r="DE603" s="1234"/>
      <c r="DF603" s="1234"/>
      <c r="DG603" s="1234"/>
      <c r="DH603" s="1234"/>
    </row>
    <row r="604" spans="1:112" ht="12.75">
      <c r="B604" s="15" t="s">
        <v>342</v>
      </c>
      <c r="G604" s="1125"/>
      <c r="H604" s="1125"/>
      <c r="I604" s="1125"/>
      <c r="J604" s="1125"/>
      <c r="K604" s="1125"/>
      <c r="L604" s="1125"/>
      <c r="O604" s="144" t="s">
        <v>224</v>
      </c>
      <c r="P604" s="1126"/>
      <c r="Q604" s="1126"/>
      <c r="R604" s="1126"/>
      <c r="U604" s="15" t="s">
        <v>342</v>
      </c>
      <c r="Z604" s="1125"/>
      <c r="AA604" s="1125"/>
      <c r="AB604" s="1125"/>
      <c r="AC604" s="1125"/>
      <c r="AD604" s="1125"/>
      <c r="AE604" s="1125"/>
      <c r="AH604" s="144" t="s">
        <v>224</v>
      </c>
      <c r="AI604" s="1126"/>
      <c r="AJ604" s="1126"/>
      <c r="AK604" s="1126"/>
      <c r="AM604" s="62"/>
      <c r="AN604" s="62"/>
      <c r="AO604" s="62"/>
      <c r="AP604" s="62"/>
      <c r="AQ604" s="62"/>
      <c r="AR604" s="1525">
        <f t="shared" si="0"/>
        <v>0</v>
      </c>
      <c r="AS604" s="1526"/>
      <c r="AT604" s="1149">
        <f t="shared" si="1"/>
        <v>0</v>
      </c>
      <c r="AU604" s="1151"/>
      <c r="AV604" s="1525">
        <f t="shared" si="2"/>
        <v>0</v>
      </c>
      <c r="AW604" s="1526"/>
      <c r="AX604" s="1149">
        <f t="shared" si="3"/>
        <v>0</v>
      </c>
      <c r="AY604" s="1151"/>
      <c r="AZ604" s="62"/>
      <c r="BA604" s="1149">
        <f t="shared" si="4"/>
        <v>0</v>
      </c>
      <c r="BB604" s="1150"/>
      <c r="BC604" s="1150"/>
      <c r="BD604" s="1150"/>
      <c r="BE604" s="1151"/>
      <c r="BF604" s="1211">
        <f t="shared" si="5"/>
        <v>0</v>
      </c>
      <c r="BG604" s="1211"/>
      <c r="BH604" s="1211"/>
      <c r="BI604" s="1211"/>
      <c r="BJ604" s="1211"/>
      <c r="BK604" s="1211">
        <f t="shared" si="6"/>
        <v>0</v>
      </c>
      <c r="BL604" s="1211"/>
      <c r="BM604" s="1211"/>
      <c r="BN604" s="1211"/>
      <c r="BO604" s="1211"/>
      <c r="BP604" s="1211">
        <f t="shared" si="7"/>
        <v>0</v>
      </c>
      <c r="BQ604" s="1211"/>
      <c r="BR604" s="1211"/>
      <c r="BS604" s="1211"/>
      <c r="BT604" s="1211"/>
      <c r="BU604" s="1211">
        <f t="shared" si="8"/>
        <v>0</v>
      </c>
      <c r="BV604" s="1211"/>
      <c r="BW604" s="1211"/>
      <c r="BX604" s="1211"/>
      <c r="BY604" s="1211"/>
      <c r="BZ604" s="1211">
        <f t="shared" si="9"/>
        <v>0</v>
      </c>
      <c r="CA604" s="1211"/>
      <c r="CB604" s="1211"/>
      <c r="CC604" s="1211"/>
      <c r="CD604" s="1211"/>
      <c r="CE604" s="1234">
        <f t="shared" si="10"/>
        <v>0</v>
      </c>
      <c r="CF604" s="1234"/>
      <c r="CG604" s="1234"/>
      <c r="CH604" s="1234"/>
      <c r="CI604" s="1234"/>
      <c r="CJ604" s="1234">
        <f t="shared" si="11"/>
        <v>0</v>
      </c>
      <c r="CK604" s="1234"/>
      <c r="CL604" s="1234"/>
      <c r="CM604" s="1234"/>
      <c r="CN604" s="1234"/>
      <c r="CO604" s="1234">
        <f t="shared" si="12"/>
        <v>0</v>
      </c>
      <c r="CP604" s="1234"/>
      <c r="CQ604" s="1234"/>
      <c r="CR604" s="1234"/>
      <c r="CS604" s="1234"/>
      <c r="CT604" s="1234">
        <f t="shared" si="13"/>
        <v>0</v>
      </c>
      <c r="CU604" s="1234"/>
      <c r="CV604" s="1234"/>
      <c r="CW604" s="1234"/>
      <c r="CX604" s="1234"/>
      <c r="CY604" s="1234">
        <f t="shared" si="14"/>
        <v>0</v>
      </c>
      <c r="CZ604" s="1234"/>
      <c r="DA604" s="1234"/>
      <c r="DB604" s="1234"/>
      <c r="DC604" s="1234"/>
      <c r="DD604" s="1234">
        <f t="shared" si="15"/>
        <v>0</v>
      </c>
      <c r="DE604" s="1234"/>
      <c r="DF604" s="1234"/>
      <c r="DG604" s="1234"/>
      <c r="DH604" s="1234"/>
    </row>
    <row r="605" spans="1:112" ht="12.75">
      <c r="B605" s="15" t="s">
        <v>21</v>
      </c>
      <c r="H605" s="1121"/>
      <c r="I605" s="1121"/>
      <c r="J605" s="1121"/>
      <c r="K605" s="1121"/>
      <c r="L605" s="1121"/>
      <c r="M605" s="1121"/>
      <c r="N605" s="1121"/>
      <c r="O605" s="1121"/>
      <c r="P605" s="1121"/>
      <c r="Q605" s="1121"/>
      <c r="R605" s="1121"/>
      <c r="U605" s="15" t="s">
        <v>21</v>
      </c>
      <c r="AA605" s="1121"/>
      <c r="AB605" s="1121"/>
      <c r="AC605" s="1121"/>
      <c r="AD605" s="1121"/>
      <c r="AE605" s="1121"/>
      <c r="AF605" s="1121"/>
      <c r="AG605" s="1121"/>
      <c r="AH605" s="1121"/>
      <c r="AI605" s="1121"/>
      <c r="AJ605" s="1121"/>
      <c r="AK605" s="1121"/>
      <c r="AM605" s="62"/>
      <c r="AN605" s="62"/>
      <c r="AO605" s="62"/>
      <c r="AP605" s="62"/>
      <c r="AQ605" s="62"/>
      <c r="AR605" s="1525">
        <f t="shared" si="0"/>
        <v>0</v>
      </c>
      <c r="AS605" s="1526"/>
      <c r="AT605" s="1149">
        <f t="shared" si="1"/>
        <v>0</v>
      </c>
      <c r="AU605" s="1151"/>
      <c r="AV605" s="1525">
        <f t="shared" si="2"/>
        <v>0</v>
      </c>
      <c r="AW605" s="1526"/>
      <c r="AX605" s="1149">
        <f t="shared" si="3"/>
        <v>0</v>
      </c>
      <c r="AY605" s="1151"/>
      <c r="AZ605" s="62"/>
      <c r="BA605" s="1149">
        <f t="shared" si="4"/>
        <v>0</v>
      </c>
      <c r="BB605" s="1150"/>
      <c r="BC605" s="1150"/>
      <c r="BD605" s="1150"/>
      <c r="BE605" s="1151"/>
      <c r="BF605" s="1211">
        <f t="shared" si="5"/>
        <v>0</v>
      </c>
      <c r="BG605" s="1211"/>
      <c r="BH605" s="1211"/>
      <c r="BI605" s="1211"/>
      <c r="BJ605" s="1211"/>
      <c r="BK605" s="1211">
        <f t="shared" si="6"/>
        <v>0</v>
      </c>
      <c r="BL605" s="1211"/>
      <c r="BM605" s="1211"/>
      <c r="BN605" s="1211"/>
      <c r="BO605" s="1211"/>
      <c r="BP605" s="1211">
        <f t="shared" si="7"/>
        <v>0</v>
      </c>
      <c r="BQ605" s="1211"/>
      <c r="BR605" s="1211"/>
      <c r="BS605" s="1211"/>
      <c r="BT605" s="1211"/>
      <c r="BU605" s="1211">
        <f t="shared" si="8"/>
        <v>0</v>
      </c>
      <c r="BV605" s="1211"/>
      <c r="BW605" s="1211"/>
      <c r="BX605" s="1211"/>
      <c r="BY605" s="1211"/>
      <c r="BZ605" s="1211">
        <f t="shared" si="9"/>
        <v>0</v>
      </c>
      <c r="CA605" s="1211"/>
      <c r="CB605" s="1211"/>
      <c r="CC605" s="1211"/>
      <c r="CD605" s="1211"/>
      <c r="CE605" s="1234">
        <f t="shared" si="10"/>
        <v>0</v>
      </c>
      <c r="CF605" s="1234"/>
      <c r="CG605" s="1234"/>
      <c r="CH605" s="1234"/>
      <c r="CI605" s="1234"/>
      <c r="CJ605" s="1234">
        <f t="shared" si="11"/>
        <v>0</v>
      </c>
      <c r="CK605" s="1234"/>
      <c r="CL605" s="1234"/>
      <c r="CM605" s="1234"/>
      <c r="CN605" s="1234"/>
      <c r="CO605" s="1234">
        <f t="shared" si="12"/>
        <v>0</v>
      </c>
      <c r="CP605" s="1234"/>
      <c r="CQ605" s="1234"/>
      <c r="CR605" s="1234"/>
      <c r="CS605" s="1234"/>
      <c r="CT605" s="1234">
        <f t="shared" si="13"/>
        <v>0</v>
      </c>
      <c r="CU605" s="1234"/>
      <c r="CV605" s="1234"/>
      <c r="CW605" s="1234"/>
      <c r="CX605" s="1234"/>
      <c r="CY605" s="1234">
        <f t="shared" si="14"/>
        <v>0</v>
      </c>
      <c r="CZ605" s="1234"/>
      <c r="DA605" s="1234"/>
      <c r="DB605" s="1234"/>
      <c r="DC605" s="1234"/>
      <c r="DD605" s="1234">
        <f t="shared" si="15"/>
        <v>0</v>
      </c>
      <c r="DE605" s="1234"/>
      <c r="DF605" s="1234"/>
      <c r="DG605" s="1234"/>
      <c r="DH605" s="1234"/>
    </row>
    <row r="606" spans="1:112" ht="12.75">
      <c r="B606" s="15" t="s">
        <v>23</v>
      </c>
      <c r="N606" s="1122" t="s">
        <v>755</v>
      </c>
      <c r="O606" s="1122"/>
      <c r="U606" s="15" t="s">
        <v>23</v>
      </c>
      <c r="AG606" s="1122" t="s">
        <v>755</v>
      </c>
      <c r="AH606" s="1122"/>
      <c r="AM606" s="62"/>
      <c r="AN606" s="62"/>
      <c r="AO606" s="62"/>
      <c r="AP606" s="62"/>
      <c r="AQ606" s="62"/>
      <c r="AR606" s="1525">
        <f t="shared" si="0"/>
        <v>0</v>
      </c>
      <c r="AS606" s="1526"/>
      <c r="AT606" s="1149">
        <f t="shared" si="1"/>
        <v>0</v>
      </c>
      <c r="AU606" s="1151"/>
      <c r="AV606" s="1525">
        <f t="shared" si="2"/>
        <v>0</v>
      </c>
      <c r="AW606" s="1526"/>
      <c r="AX606" s="1149">
        <f t="shared" si="3"/>
        <v>0</v>
      </c>
      <c r="AY606" s="1151"/>
      <c r="AZ606" s="62"/>
      <c r="BA606" s="1149">
        <f t="shared" si="4"/>
        <v>0</v>
      </c>
      <c r="BB606" s="1150"/>
      <c r="BC606" s="1150"/>
      <c r="BD606" s="1150"/>
      <c r="BE606" s="1151"/>
      <c r="BF606" s="1211">
        <f t="shared" si="5"/>
        <v>0</v>
      </c>
      <c r="BG606" s="1211"/>
      <c r="BH606" s="1211"/>
      <c r="BI606" s="1211"/>
      <c r="BJ606" s="1211"/>
      <c r="BK606" s="1211">
        <f t="shared" si="6"/>
        <v>0</v>
      </c>
      <c r="BL606" s="1211"/>
      <c r="BM606" s="1211"/>
      <c r="BN606" s="1211"/>
      <c r="BO606" s="1211"/>
      <c r="BP606" s="1211">
        <f t="shared" si="7"/>
        <v>0</v>
      </c>
      <c r="BQ606" s="1211"/>
      <c r="BR606" s="1211"/>
      <c r="BS606" s="1211"/>
      <c r="BT606" s="1211"/>
      <c r="BU606" s="1211">
        <f t="shared" si="8"/>
        <v>0</v>
      </c>
      <c r="BV606" s="1211"/>
      <c r="BW606" s="1211"/>
      <c r="BX606" s="1211"/>
      <c r="BY606" s="1211"/>
      <c r="BZ606" s="1211">
        <f t="shared" si="9"/>
        <v>0</v>
      </c>
      <c r="CA606" s="1211"/>
      <c r="CB606" s="1211"/>
      <c r="CC606" s="1211"/>
      <c r="CD606" s="1211"/>
      <c r="CE606" s="1234">
        <f t="shared" si="10"/>
        <v>0</v>
      </c>
      <c r="CF606" s="1234"/>
      <c r="CG606" s="1234"/>
      <c r="CH606" s="1234"/>
      <c r="CI606" s="1234"/>
      <c r="CJ606" s="1234">
        <f t="shared" si="11"/>
        <v>0</v>
      </c>
      <c r="CK606" s="1234"/>
      <c r="CL606" s="1234"/>
      <c r="CM606" s="1234"/>
      <c r="CN606" s="1234"/>
      <c r="CO606" s="1234">
        <f t="shared" si="12"/>
        <v>0</v>
      </c>
      <c r="CP606" s="1234"/>
      <c r="CQ606" s="1234"/>
      <c r="CR606" s="1234"/>
      <c r="CS606" s="1234"/>
      <c r="CT606" s="1234">
        <f t="shared" si="13"/>
        <v>0</v>
      </c>
      <c r="CU606" s="1234"/>
      <c r="CV606" s="1234"/>
      <c r="CW606" s="1234"/>
      <c r="CX606" s="1234"/>
      <c r="CY606" s="1234">
        <f t="shared" si="14"/>
        <v>0</v>
      </c>
      <c r="CZ606" s="1234"/>
      <c r="DA606" s="1234"/>
      <c r="DB606" s="1234"/>
      <c r="DC606" s="1234"/>
      <c r="DD606" s="1234">
        <f t="shared" si="15"/>
        <v>0</v>
      </c>
      <c r="DE606" s="1234"/>
      <c r="DF606" s="1234"/>
      <c r="DG606" s="1234"/>
      <c r="DH606" s="1234"/>
    </row>
    <row r="607" spans="1:112" ht="12.75">
      <c r="AM607" s="62"/>
      <c r="AN607" s="62"/>
      <c r="AO607" s="62"/>
      <c r="AP607" s="62"/>
      <c r="AQ607" s="62"/>
      <c r="AR607" s="1525">
        <f t="shared" si="0"/>
        <v>0</v>
      </c>
      <c r="AS607" s="1526"/>
      <c r="AT607" s="1149">
        <f t="shared" si="1"/>
        <v>0</v>
      </c>
      <c r="AU607" s="1151"/>
      <c r="AV607" s="1525">
        <f t="shared" si="2"/>
        <v>0</v>
      </c>
      <c r="AW607" s="1526"/>
      <c r="AX607" s="1149">
        <f t="shared" si="3"/>
        <v>0</v>
      </c>
      <c r="AY607" s="1151"/>
      <c r="AZ607" s="62"/>
      <c r="BA607" s="1149">
        <f t="shared" si="4"/>
        <v>0</v>
      </c>
      <c r="BB607" s="1150"/>
      <c r="BC607" s="1150"/>
      <c r="BD607" s="1150"/>
      <c r="BE607" s="1151"/>
      <c r="BF607" s="1211">
        <f t="shared" si="5"/>
        <v>0</v>
      </c>
      <c r="BG607" s="1211"/>
      <c r="BH607" s="1211"/>
      <c r="BI607" s="1211"/>
      <c r="BJ607" s="1211"/>
      <c r="BK607" s="1211">
        <f t="shared" si="6"/>
        <v>0</v>
      </c>
      <c r="BL607" s="1211"/>
      <c r="BM607" s="1211"/>
      <c r="BN607" s="1211"/>
      <c r="BO607" s="1211"/>
      <c r="BP607" s="1211">
        <f t="shared" si="7"/>
        <v>0</v>
      </c>
      <c r="BQ607" s="1211"/>
      <c r="BR607" s="1211"/>
      <c r="BS607" s="1211"/>
      <c r="BT607" s="1211"/>
      <c r="BU607" s="1211">
        <f t="shared" si="8"/>
        <v>0</v>
      </c>
      <c r="BV607" s="1211"/>
      <c r="BW607" s="1211"/>
      <c r="BX607" s="1211"/>
      <c r="BY607" s="1211"/>
      <c r="BZ607" s="1211">
        <f t="shared" si="9"/>
        <v>0</v>
      </c>
      <c r="CA607" s="1211"/>
      <c r="CB607" s="1211"/>
      <c r="CC607" s="1211"/>
      <c r="CD607" s="1211"/>
      <c r="CE607" s="1234">
        <f t="shared" si="10"/>
        <v>0</v>
      </c>
      <c r="CF607" s="1234"/>
      <c r="CG607" s="1234"/>
      <c r="CH607" s="1234"/>
      <c r="CI607" s="1234"/>
      <c r="CJ607" s="1234">
        <f t="shared" si="11"/>
        <v>0</v>
      </c>
      <c r="CK607" s="1234"/>
      <c r="CL607" s="1234"/>
      <c r="CM607" s="1234"/>
      <c r="CN607" s="1234"/>
      <c r="CO607" s="1234">
        <f t="shared" si="12"/>
        <v>0</v>
      </c>
      <c r="CP607" s="1234"/>
      <c r="CQ607" s="1234"/>
      <c r="CR607" s="1234"/>
      <c r="CS607" s="1234"/>
      <c r="CT607" s="1234">
        <f t="shared" si="13"/>
        <v>0</v>
      </c>
      <c r="CU607" s="1234"/>
      <c r="CV607" s="1234"/>
      <c r="CW607" s="1234"/>
      <c r="CX607" s="1234"/>
      <c r="CY607" s="1234">
        <f t="shared" si="14"/>
        <v>0</v>
      </c>
      <c r="CZ607" s="1234"/>
      <c r="DA607" s="1234"/>
      <c r="DB607" s="1234"/>
      <c r="DC607" s="1234"/>
      <c r="DD607" s="1234">
        <f t="shared" si="15"/>
        <v>0</v>
      </c>
      <c r="DE607" s="1234"/>
      <c r="DF607" s="1234"/>
      <c r="DG607" s="1234"/>
      <c r="DH607" s="1234"/>
    </row>
    <row r="608" spans="1:112" ht="12.75">
      <c r="A608" s="1136" t="s">
        <v>621</v>
      </c>
      <c r="B608" s="1136"/>
      <c r="C608" s="1136"/>
      <c r="D608" s="1136"/>
      <c r="E608" s="1136"/>
      <c r="F608" s="1136"/>
      <c r="G608" s="1136"/>
      <c r="H608" s="1136"/>
      <c r="I608" s="1136"/>
      <c r="J608" s="1136"/>
      <c r="K608" s="1136"/>
      <c r="L608" s="1136"/>
      <c r="M608" s="1136"/>
      <c r="N608" s="1136"/>
      <c r="O608" s="1136"/>
      <c r="P608" s="1136"/>
      <c r="Q608" s="1136"/>
      <c r="R608" s="1136"/>
      <c r="S608" s="1136"/>
      <c r="T608" s="1136"/>
      <c r="U608" s="1136"/>
      <c r="V608" s="1136"/>
      <c r="W608" s="1136"/>
      <c r="X608" s="1136"/>
      <c r="Y608" s="1136"/>
      <c r="Z608" s="1136"/>
      <c r="AA608" s="1136"/>
      <c r="AB608" s="1136"/>
      <c r="AC608" s="1136"/>
      <c r="AD608" s="1136"/>
      <c r="AE608" s="1136"/>
      <c r="AF608" s="1136"/>
      <c r="AG608" s="1136"/>
      <c r="AH608" s="1136"/>
      <c r="AI608" s="1136"/>
      <c r="AJ608" s="1136"/>
      <c r="AK608" s="1136"/>
      <c r="AL608" s="1136"/>
      <c r="AM608" s="62"/>
      <c r="AN608" s="62"/>
      <c r="AO608" s="62"/>
      <c r="AP608" s="62"/>
      <c r="AQ608" s="62"/>
      <c r="AR608" s="1525">
        <f t="shared" si="0"/>
        <v>0</v>
      </c>
      <c r="AS608" s="1526"/>
      <c r="AT608" s="1149">
        <f t="shared" si="1"/>
        <v>0</v>
      </c>
      <c r="AU608" s="1151"/>
      <c r="AV608" s="1525">
        <f t="shared" si="2"/>
        <v>0</v>
      </c>
      <c r="AW608" s="1526"/>
      <c r="AX608" s="1149">
        <f t="shared" si="3"/>
        <v>0</v>
      </c>
      <c r="AY608" s="1151"/>
      <c r="AZ608" s="62"/>
      <c r="BA608" s="1149">
        <f t="shared" si="4"/>
        <v>0</v>
      </c>
      <c r="BB608" s="1150"/>
      <c r="BC608" s="1150"/>
      <c r="BD608" s="1150"/>
      <c r="BE608" s="1151"/>
      <c r="BF608" s="1211">
        <f t="shared" si="5"/>
        <v>0</v>
      </c>
      <c r="BG608" s="1211"/>
      <c r="BH608" s="1211"/>
      <c r="BI608" s="1211"/>
      <c r="BJ608" s="1211"/>
      <c r="BK608" s="1211">
        <f t="shared" si="6"/>
        <v>0</v>
      </c>
      <c r="BL608" s="1211"/>
      <c r="BM608" s="1211"/>
      <c r="BN608" s="1211"/>
      <c r="BO608" s="1211"/>
      <c r="BP608" s="1211">
        <f t="shared" si="7"/>
        <v>0</v>
      </c>
      <c r="BQ608" s="1211"/>
      <c r="BR608" s="1211"/>
      <c r="BS608" s="1211"/>
      <c r="BT608" s="1211"/>
      <c r="BU608" s="1211">
        <f t="shared" si="8"/>
        <v>0</v>
      </c>
      <c r="BV608" s="1211"/>
      <c r="BW608" s="1211"/>
      <c r="BX608" s="1211"/>
      <c r="BY608" s="1211"/>
      <c r="BZ608" s="1211">
        <f t="shared" si="9"/>
        <v>0</v>
      </c>
      <c r="CA608" s="1211"/>
      <c r="CB608" s="1211"/>
      <c r="CC608" s="1211"/>
      <c r="CD608" s="1211"/>
      <c r="CE608" s="1234">
        <f t="shared" si="10"/>
        <v>0</v>
      </c>
      <c r="CF608" s="1234"/>
      <c r="CG608" s="1234"/>
      <c r="CH608" s="1234"/>
      <c r="CI608" s="1234"/>
      <c r="CJ608" s="1234">
        <f t="shared" si="11"/>
        <v>0</v>
      </c>
      <c r="CK608" s="1234"/>
      <c r="CL608" s="1234"/>
      <c r="CM608" s="1234"/>
      <c r="CN608" s="1234"/>
      <c r="CO608" s="1234">
        <f t="shared" si="12"/>
        <v>0</v>
      </c>
      <c r="CP608" s="1234"/>
      <c r="CQ608" s="1234"/>
      <c r="CR608" s="1234"/>
      <c r="CS608" s="1234"/>
      <c r="CT608" s="1234">
        <f t="shared" si="13"/>
        <v>0</v>
      </c>
      <c r="CU608" s="1234"/>
      <c r="CV608" s="1234"/>
      <c r="CW608" s="1234"/>
      <c r="CX608" s="1234"/>
      <c r="CY608" s="1234">
        <f t="shared" si="14"/>
        <v>0</v>
      </c>
      <c r="CZ608" s="1234"/>
      <c r="DA608" s="1234"/>
      <c r="DB608" s="1234"/>
      <c r="DC608" s="1234"/>
      <c r="DD608" s="1234">
        <f t="shared" si="15"/>
        <v>0</v>
      </c>
      <c r="DE608" s="1234"/>
      <c r="DF608" s="1234"/>
      <c r="DG608" s="1234"/>
      <c r="DH608" s="1234"/>
    </row>
    <row r="609" spans="1:112" ht="13.5"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62"/>
      <c r="AN609" s="62"/>
      <c r="AO609" s="62"/>
      <c r="AP609" s="62"/>
      <c r="AQ609" s="62"/>
      <c r="AR609" s="1525">
        <f t="shared" si="0"/>
        <v>0</v>
      </c>
      <c r="AS609" s="1526"/>
      <c r="AT609" s="1149">
        <f t="shared" si="1"/>
        <v>0</v>
      </c>
      <c r="AU609" s="1151"/>
      <c r="AV609" s="1525">
        <f t="shared" si="2"/>
        <v>0</v>
      </c>
      <c r="AW609" s="1526"/>
      <c r="AX609" s="1149">
        <f t="shared" si="3"/>
        <v>0</v>
      </c>
      <c r="AY609" s="1151"/>
      <c r="AZ609" s="62"/>
      <c r="BA609" s="1149">
        <f t="shared" si="4"/>
        <v>0</v>
      </c>
      <c r="BB609" s="1150"/>
      <c r="BC609" s="1150"/>
      <c r="BD609" s="1150"/>
      <c r="BE609" s="1151"/>
      <c r="BF609" s="1211">
        <f t="shared" si="5"/>
        <v>0</v>
      </c>
      <c r="BG609" s="1211"/>
      <c r="BH609" s="1211"/>
      <c r="BI609" s="1211"/>
      <c r="BJ609" s="1211"/>
      <c r="BK609" s="1211">
        <f t="shared" si="6"/>
        <v>0</v>
      </c>
      <c r="BL609" s="1211"/>
      <c r="BM609" s="1211"/>
      <c r="BN609" s="1211"/>
      <c r="BO609" s="1211"/>
      <c r="BP609" s="1211">
        <f t="shared" si="7"/>
        <v>0</v>
      </c>
      <c r="BQ609" s="1211"/>
      <c r="BR609" s="1211"/>
      <c r="BS609" s="1211"/>
      <c r="BT609" s="1211"/>
      <c r="BU609" s="1211">
        <f t="shared" si="8"/>
        <v>0</v>
      </c>
      <c r="BV609" s="1211"/>
      <c r="BW609" s="1211"/>
      <c r="BX609" s="1211"/>
      <c r="BY609" s="1211"/>
      <c r="BZ609" s="1211">
        <f t="shared" si="9"/>
        <v>0</v>
      </c>
      <c r="CA609" s="1211"/>
      <c r="CB609" s="1211"/>
      <c r="CC609" s="1211"/>
      <c r="CD609" s="1211"/>
      <c r="CE609" s="1234">
        <f t="shared" si="10"/>
        <v>0</v>
      </c>
      <c r="CF609" s="1234"/>
      <c r="CG609" s="1234"/>
      <c r="CH609" s="1234"/>
      <c r="CI609" s="1234"/>
      <c r="CJ609" s="1234">
        <f t="shared" si="11"/>
        <v>0</v>
      </c>
      <c r="CK609" s="1234"/>
      <c r="CL609" s="1234"/>
      <c r="CM609" s="1234"/>
      <c r="CN609" s="1234"/>
      <c r="CO609" s="1234">
        <f t="shared" si="12"/>
        <v>0</v>
      </c>
      <c r="CP609" s="1234"/>
      <c r="CQ609" s="1234"/>
      <c r="CR609" s="1234"/>
      <c r="CS609" s="1234"/>
      <c r="CT609" s="1234">
        <f t="shared" si="13"/>
        <v>0</v>
      </c>
      <c r="CU609" s="1234"/>
      <c r="CV609" s="1234"/>
      <c r="CW609" s="1234"/>
      <c r="CX609" s="1234"/>
      <c r="CY609" s="1234">
        <f t="shared" si="14"/>
        <v>0</v>
      </c>
      <c r="CZ609" s="1234"/>
      <c r="DA609" s="1234"/>
      <c r="DB609" s="1234"/>
      <c r="DC609" s="1234"/>
      <c r="DD609" s="1234">
        <f t="shared" si="15"/>
        <v>0</v>
      </c>
      <c r="DE609" s="1234"/>
      <c r="DF609" s="1234"/>
      <c r="DG609" s="1234"/>
      <c r="DH609" s="1234"/>
    </row>
    <row r="610" spans="1:112" ht="13.5" thickTop="1">
      <c r="A610" s="29"/>
      <c r="B610" s="29"/>
      <c r="C610" s="29"/>
      <c r="D610" s="29"/>
      <c r="E610" s="29"/>
      <c r="F610" s="29"/>
      <c r="G610" s="3"/>
      <c r="H610" s="29"/>
      <c r="AM610" s="62"/>
      <c r="AN610" s="62"/>
      <c r="AO610" s="62"/>
      <c r="AP610" s="62"/>
      <c r="AQ610" s="62"/>
      <c r="AR610" s="1525">
        <f t="shared" si="0"/>
        <v>0</v>
      </c>
      <c r="AS610" s="1526"/>
      <c r="AT610" s="1149">
        <f t="shared" si="1"/>
        <v>0</v>
      </c>
      <c r="AU610" s="1151"/>
      <c r="AV610" s="1525">
        <f t="shared" si="2"/>
        <v>0</v>
      </c>
      <c r="AW610" s="1526"/>
      <c r="AX610" s="1149">
        <f t="shared" si="3"/>
        <v>0</v>
      </c>
      <c r="AY610" s="1151"/>
      <c r="AZ610" s="62"/>
      <c r="BA610" s="1149">
        <f t="shared" si="4"/>
        <v>0</v>
      </c>
      <c r="BB610" s="1150"/>
      <c r="BC610" s="1150"/>
      <c r="BD610" s="1150"/>
      <c r="BE610" s="1151"/>
      <c r="BF610" s="1211">
        <f t="shared" si="5"/>
        <v>0</v>
      </c>
      <c r="BG610" s="1211"/>
      <c r="BH610" s="1211"/>
      <c r="BI610" s="1211"/>
      <c r="BJ610" s="1211"/>
      <c r="BK610" s="1211">
        <f t="shared" si="6"/>
        <v>0</v>
      </c>
      <c r="BL610" s="1211"/>
      <c r="BM610" s="1211"/>
      <c r="BN610" s="1211"/>
      <c r="BO610" s="1211"/>
      <c r="BP610" s="1211">
        <f t="shared" si="7"/>
        <v>0</v>
      </c>
      <c r="BQ610" s="1211"/>
      <c r="BR610" s="1211"/>
      <c r="BS610" s="1211"/>
      <c r="BT610" s="1211"/>
      <c r="BU610" s="1211">
        <f t="shared" si="8"/>
        <v>0</v>
      </c>
      <c r="BV610" s="1211"/>
      <c r="BW610" s="1211"/>
      <c r="BX610" s="1211"/>
      <c r="BY610" s="1211"/>
      <c r="BZ610" s="1211">
        <f t="shared" si="9"/>
        <v>0</v>
      </c>
      <c r="CA610" s="1211"/>
      <c r="CB610" s="1211"/>
      <c r="CC610" s="1211"/>
      <c r="CD610" s="1211"/>
      <c r="CE610" s="1234">
        <f t="shared" si="10"/>
        <v>0</v>
      </c>
      <c r="CF610" s="1234"/>
      <c r="CG610" s="1234"/>
      <c r="CH610" s="1234"/>
      <c r="CI610" s="1234"/>
      <c r="CJ610" s="1234">
        <f t="shared" si="11"/>
        <v>0</v>
      </c>
      <c r="CK610" s="1234"/>
      <c r="CL610" s="1234"/>
      <c r="CM610" s="1234"/>
      <c r="CN610" s="1234"/>
      <c r="CO610" s="1234">
        <f t="shared" si="12"/>
        <v>0</v>
      </c>
      <c r="CP610" s="1234"/>
      <c r="CQ610" s="1234"/>
      <c r="CR610" s="1234"/>
      <c r="CS610" s="1234"/>
      <c r="CT610" s="1234">
        <f t="shared" si="13"/>
        <v>0</v>
      </c>
      <c r="CU610" s="1234"/>
      <c r="CV610" s="1234"/>
      <c r="CW610" s="1234"/>
      <c r="CX610" s="1234"/>
      <c r="CY610" s="1234">
        <f t="shared" si="14"/>
        <v>0</v>
      </c>
      <c r="CZ610" s="1234"/>
      <c r="DA610" s="1234"/>
      <c r="DB610" s="1234"/>
      <c r="DC610" s="1234"/>
      <c r="DD610" s="1234">
        <f t="shared" si="15"/>
        <v>0</v>
      </c>
      <c r="DE610" s="1234"/>
      <c r="DF610" s="1234"/>
      <c r="DG610" s="1234"/>
      <c r="DH610" s="1234"/>
    </row>
    <row r="611" spans="1:112" ht="12.75">
      <c r="A611" s="54" t="s">
        <v>345</v>
      </c>
      <c r="B611" s="54"/>
      <c r="C611" s="54" t="s">
        <v>24</v>
      </c>
      <c r="AM611" s="62"/>
      <c r="AN611" s="62"/>
      <c r="AO611" s="62"/>
      <c r="AP611" s="62"/>
      <c r="AQ611" s="62"/>
      <c r="AR611" s="1525">
        <f t="shared" si="0"/>
        <v>0</v>
      </c>
      <c r="AS611" s="1526"/>
      <c r="AT611" s="1149">
        <f t="shared" si="1"/>
        <v>0</v>
      </c>
      <c r="AU611" s="1151"/>
      <c r="AV611" s="1525">
        <f t="shared" si="2"/>
        <v>0</v>
      </c>
      <c r="AW611" s="1526"/>
      <c r="AX611" s="1149">
        <f t="shared" si="3"/>
        <v>0</v>
      </c>
      <c r="AY611" s="1151"/>
      <c r="AZ611" s="62"/>
      <c r="BA611" s="1149">
        <f t="shared" si="4"/>
        <v>0</v>
      </c>
      <c r="BB611" s="1150"/>
      <c r="BC611" s="1150"/>
      <c r="BD611" s="1150"/>
      <c r="BE611" s="1151"/>
      <c r="BF611" s="1211">
        <f t="shared" si="5"/>
        <v>0</v>
      </c>
      <c r="BG611" s="1211"/>
      <c r="BH611" s="1211"/>
      <c r="BI611" s="1211"/>
      <c r="BJ611" s="1211"/>
      <c r="BK611" s="1211">
        <f t="shared" si="6"/>
        <v>0</v>
      </c>
      <c r="BL611" s="1211"/>
      <c r="BM611" s="1211"/>
      <c r="BN611" s="1211"/>
      <c r="BO611" s="1211"/>
      <c r="BP611" s="1211">
        <f t="shared" si="7"/>
        <v>0</v>
      </c>
      <c r="BQ611" s="1211"/>
      <c r="BR611" s="1211"/>
      <c r="BS611" s="1211"/>
      <c r="BT611" s="1211"/>
      <c r="BU611" s="1211">
        <f t="shared" si="8"/>
        <v>0</v>
      </c>
      <c r="BV611" s="1211"/>
      <c r="BW611" s="1211"/>
      <c r="BX611" s="1211"/>
      <c r="BY611" s="1211"/>
      <c r="BZ611" s="1211">
        <f t="shared" si="9"/>
        <v>0</v>
      </c>
      <c r="CA611" s="1211"/>
      <c r="CB611" s="1211"/>
      <c r="CC611" s="1211"/>
      <c r="CD611" s="1211"/>
      <c r="CE611" s="1234">
        <f t="shared" si="10"/>
        <v>0</v>
      </c>
      <c r="CF611" s="1234"/>
      <c r="CG611" s="1234"/>
      <c r="CH611" s="1234"/>
      <c r="CI611" s="1234"/>
      <c r="CJ611" s="1234">
        <f t="shared" si="11"/>
        <v>0</v>
      </c>
      <c r="CK611" s="1234"/>
      <c r="CL611" s="1234"/>
      <c r="CM611" s="1234"/>
      <c r="CN611" s="1234"/>
      <c r="CO611" s="1234">
        <f t="shared" si="12"/>
        <v>0</v>
      </c>
      <c r="CP611" s="1234"/>
      <c r="CQ611" s="1234"/>
      <c r="CR611" s="1234"/>
      <c r="CS611" s="1234"/>
      <c r="CT611" s="1234">
        <f t="shared" si="13"/>
        <v>0</v>
      </c>
      <c r="CU611" s="1234"/>
      <c r="CV611" s="1234"/>
      <c r="CW611" s="1234"/>
      <c r="CX611" s="1234"/>
      <c r="CY611" s="1234">
        <f t="shared" si="14"/>
        <v>0</v>
      </c>
      <c r="CZ611" s="1234"/>
      <c r="DA611" s="1234"/>
      <c r="DB611" s="1234"/>
      <c r="DC611" s="1234"/>
      <c r="DD611" s="1234">
        <f t="shared" si="15"/>
        <v>0</v>
      </c>
      <c r="DE611" s="1234"/>
      <c r="DF611" s="1234"/>
      <c r="DG611" s="1234"/>
      <c r="DH611" s="1234"/>
    </row>
    <row r="612" spans="1:112" ht="12.75">
      <c r="A612" s="54"/>
      <c r="B612" s="54"/>
      <c r="C612" s="54"/>
      <c r="AM612" s="62"/>
      <c r="AN612" s="62"/>
      <c r="AO612" s="62"/>
      <c r="AP612" s="62"/>
      <c r="AQ612" s="62"/>
      <c r="AR612" s="1525">
        <f t="shared" si="0"/>
        <v>0</v>
      </c>
      <c r="AS612" s="1526"/>
      <c r="AT612" s="1149">
        <f t="shared" si="1"/>
        <v>0</v>
      </c>
      <c r="AU612" s="1151"/>
      <c r="AV612" s="1525">
        <f t="shared" si="2"/>
        <v>0</v>
      </c>
      <c r="AW612" s="1526"/>
      <c r="AX612" s="1149">
        <f t="shared" si="3"/>
        <v>0</v>
      </c>
      <c r="AY612" s="1151"/>
      <c r="AZ612" s="62"/>
      <c r="BA612" s="1149">
        <f t="shared" si="4"/>
        <v>0</v>
      </c>
      <c r="BB612" s="1150"/>
      <c r="BC612" s="1150"/>
      <c r="BD612" s="1150"/>
      <c r="BE612" s="1151"/>
      <c r="BF612" s="1211">
        <f t="shared" si="5"/>
        <v>0</v>
      </c>
      <c r="BG612" s="1211"/>
      <c r="BH612" s="1211"/>
      <c r="BI612" s="1211"/>
      <c r="BJ612" s="1211"/>
      <c r="BK612" s="1211">
        <f t="shared" si="6"/>
        <v>0</v>
      </c>
      <c r="BL612" s="1211"/>
      <c r="BM612" s="1211"/>
      <c r="BN612" s="1211"/>
      <c r="BO612" s="1211"/>
      <c r="BP612" s="1211">
        <f t="shared" si="7"/>
        <v>0</v>
      </c>
      <c r="BQ612" s="1211"/>
      <c r="BR612" s="1211"/>
      <c r="BS612" s="1211"/>
      <c r="BT612" s="1211"/>
      <c r="BU612" s="1211">
        <f t="shared" si="8"/>
        <v>0</v>
      </c>
      <c r="BV612" s="1211"/>
      <c r="BW612" s="1211"/>
      <c r="BX612" s="1211"/>
      <c r="BY612" s="1211"/>
      <c r="BZ612" s="1211">
        <f t="shared" si="9"/>
        <v>0</v>
      </c>
      <c r="CA612" s="1211"/>
      <c r="CB612" s="1211"/>
      <c r="CC612" s="1211"/>
      <c r="CD612" s="1211"/>
      <c r="CE612" s="1234">
        <f t="shared" si="10"/>
        <v>0</v>
      </c>
      <c r="CF612" s="1234"/>
      <c r="CG612" s="1234"/>
      <c r="CH612" s="1234"/>
      <c r="CI612" s="1234"/>
      <c r="CJ612" s="1234">
        <f t="shared" si="11"/>
        <v>0</v>
      </c>
      <c r="CK612" s="1234"/>
      <c r="CL612" s="1234"/>
      <c r="CM612" s="1234"/>
      <c r="CN612" s="1234"/>
      <c r="CO612" s="1234">
        <f t="shared" si="12"/>
        <v>0</v>
      </c>
      <c r="CP612" s="1234"/>
      <c r="CQ612" s="1234"/>
      <c r="CR612" s="1234"/>
      <c r="CS612" s="1234"/>
      <c r="CT612" s="1234">
        <f t="shared" si="13"/>
        <v>0</v>
      </c>
      <c r="CU612" s="1234"/>
      <c r="CV612" s="1234"/>
      <c r="CW612" s="1234"/>
      <c r="CX612" s="1234"/>
      <c r="CY612" s="1234">
        <f t="shared" si="14"/>
        <v>0</v>
      </c>
      <c r="CZ612" s="1234"/>
      <c r="DA612" s="1234"/>
      <c r="DB612" s="1234"/>
      <c r="DC612" s="1234"/>
      <c r="DD612" s="1234">
        <f t="shared" si="15"/>
        <v>0</v>
      </c>
      <c r="DE612" s="1234"/>
      <c r="DF612" s="1234"/>
      <c r="DG612" s="1234"/>
      <c r="DH612" s="1234"/>
    </row>
    <row r="613" spans="1:112" ht="12.75">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525">
        <f t="shared" si="0"/>
        <v>0</v>
      </c>
      <c r="AS613" s="1526"/>
      <c r="AT613" s="1149">
        <f t="shared" si="1"/>
        <v>0</v>
      </c>
      <c r="AU613" s="1151"/>
      <c r="AV613" s="1525">
        <f t="shared" si="2"/>
        <v>0</v>
      </c>
      <c r="AW613" s="1526"/>
      <c r="AX613" s="1149">
        <f t="shared" si="3"/>
        <v>0</v>
      </c>
      <c r="AY613" s="1151"/>
      <c r="AZ613" s="62"/>
      <c r="BA613" s="1149">
        <f t="shared" si="4"/>
        <v>0</v>
      </c>
      <c r="BB613" s="1150"/>
      <c r="BC613" s="1150"/>
      <c r="BD613" s="1150"/>
      <c r="BE613" s="1151"/>
      <c r="BF613" s="1211">
        <f t="shared" si="5"/>
        <v>0</v>
      </c>
      <c r="BG613" s="1211"/>
      <c r="BH613" s="1211"/>
      <c r="BI613" s="1211"/>
      <c r="BJ613" s="1211"/>
      <c r="BK613" s="1211">
        <f t="shared" si="6"/>
        <v>0</v>
      </c>
      <c r="BL613" s="1211"/>
      <c r="BM613" s="1211"/>
      <c r="BN613" s="1211"/>
      <c r="BO613" s="1211"/>
      <c r="BP613" s="1211">
        <f t="shared" si="7"/>
        <v>0</v>
      </c>
      <c r="BQ613" s="1211"/>
      <c r="BR613" s="1211"/>
      <c r="BS613" s="1211"/>
      <c r="BT613" s="1211"/>
      <c r="BU613" s="1211">
        <f t="shared" si="8"/>
        <v>0</v>
      </c>
      <c r="BV613" s="1211"/>
      <c r="BW613" s="1211"/>
      <c r="BX613" s="1211"/>
      <c r="BY613" s="1211"/>
      <c r="BZ613" s="1211">
        <f t="shared" si="9"/>
        <v>0</v>
      </c>
      <c r="CA613" s="1211"/>
      <c r="CB613" s="1211"/>
      <c r="CC613" s="1211"/>
      <c r="CD613" s="1211"/>
      <c r="CE613" s="1234">
        <f t="shared" si="10"/>
        <v>0</v>
      </c>
      <c r="CF613" s="1234"/>
      <c r="CG613" s="1234"/>
      <c r="CH613" s="1234"/>
      <c r="CI613" s="1234"/>
      <c r="CJ613" s="1234">
        <f t="shared" si="11"/>
        <v>0</v>
      </c>
      <c r="CK613" s="1234"/>
      <c r="CL613" s="1234"/>
      <c r="CM613" s="1234"/>
      <c r="CN613" s="1234"/>
      <c r="CO613" s="1234">
        <f t="shared" si="12"/>
        <v>0</v>
      </c>
      <c r="CP613" s="1234"/>
      <c r="CQ613" s="1234"/>
      <c r="CR613" s="1234"/>
      <c r="CS613" s="1234"/>
      <c r="CT613" s="1234">
        <f t="shared" si="13"/>
        <v>0</v>
      </c>
      <c r="CU613" s="1234"/>
      <c r="CV613" s="1234"/>
      <c r="CW613" s="1234"/>
      <c r="CX613" s="1234"/>
      <c r="CY613" s="1234">
        <f t="shared" si="14"/>
        <v>0</v>
      </c>
      <c r="CZ613" s="1234"/>
      <c r="DA613" s="1234"/>
      <c r="DB613" s="1234"/>
      <c r="DC613" s="1234"/>
      <c r="DD613" s="1234">
        <f t="shared" si="15"/>
        <v>0</v>
      </c>
      <c r="DE613" s="1234"/>
      <c r="DF613" s="1234"/>
      <c r="DG613" s="1234"/>
      <c r="DH613" s="1234"/>
    </row>
    <row r="614" spans="1:112" ht="12.75">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525">
        <f>SUM(AT589:AU613)</f>
        <v>60</v>
      </c>
      <c r="AU614" s="1526"/>
      <c r="AV614" s="62"/>
      <c r="AW614" s="62"/>
      <c r="AX614" s="1525">
        <f>SUM(AX589:AY613)</f>
        <v>20</v>
      </c>
      <c r="AY614" s="1526"/>
      <c r="AZ614" s="62"/>
      <c r="BA614" s="1525">
        <f>SUM(BA589:BE613)</f>
        <v>0</v>
      </c>
      <c r="BB614" s="1528"/>
      <c r="BC614" s="1528"/>
      <c r="BD614" s="1528"/>
      <c r="BE614" s="1526"/>
      <c r="BF614" s="1235">
        <f>SUM(BF589:BJ613)</f>
        <v>0</v>
      </c>
      <c r="BG614" s="1235"/>
      <c r="BH614" s="1235"/>
      <c r="BI614" s="1235"/>
      <c r="BJ614" s="1235"/>
      <c r="BK614" s="1235">
        <f>SUM(BK589:BO613)</f>
        <v>8</v>
      </c>
      <c r="BL614" s="1235"/>
      <c r="BM614" s="1235"/>
      <c r="BN614" s="1235"/>
      <c r="BO614" s="1235"/>
      <c r="BP614" s="1235">
        <f>SUM(BP589:BT613)</f>
        <v>56</v>
      </c>
      <c r="BQ614" s="1235"/>
      <c r="BR614" s="1235"/>
      <c r="BS614" s="1235"/>
      <c r="BT614" s="1235"/>
      <c r="BU614" s="1235">
        <f>SUM(BU589:BY613)</f>
        <v>16</v>
      </c>
      <c r="BV614" s="1235"/>
      <c r="BW614" s="1235"/>
      <c r="BX614" s="1235"/>
      <c r="BY614" s="1235"/>
      <c r="BZ614" s="1235">
        <f>SUM(BZ589:CD613)</f>
        <v>0</v>
      </c>
      <c r="CA614" s="1235"/>
      <c r="CB614" s="1235"/>
      <c r="CC614" s="1235"/>
      <c r="CD614" s="1235"/>
      <c r="CE614" s="1235">
        <f>SUM(CE589:CI613)</f>
        <v>0</v>
      </c>
      <c r="CF614" s="1235"/>
      <c r="CG614" s="1235"/>
      <c r="CH614" s="1235"/>
      <c r="CI614" s="1235"/>
      <c r="CJ614" s="1235">
        <f>SUM(CJ589:CN613)</f>
        <v>0</v>
      </c>
      <c r="CK614" s="1235"/>
      <c r="CL614" s="1235"/>
      <c r="CM614" s="1235"/>
      <c r="CN614" s="1235"/>
      <c r="CO614" s="1235">
        <f>SUM(CO589:CS613)</f>
        <v>4</v>
      </c>
      <c r="CP614" s="1235"/>
      <c r="CQ614" s="1235"/>
      <c r="CR614" s="1235"/>
      <c r="CS614" s="1235"/>
      <c r="CT614" s="1235">
        <f>SUM(CT589:CX613)</f>
        <v>10</v>
      </c>
      <c r="CU614" s="1235"/>
      <c r="CV614" s="1235"/>
      <c r="CW614" s="1235"/>
      <c r="CX614" s="1235"/>
      <c r="CY614" s="1235">
        <f>SUM(CY589:DC613)</f>
        <v>6</v>
      </c>
      <c r="CZ614" s="1235"/>
      <c r="DA614" s="1235"/>
      <c r="DB614" s="1235"/>
      <c r="DC614" s="1235"/>
      <c r="DD614" s="1235">
        <f>SUM(DD589:DH613)</f>
        <v>0</v>
      </c>
      <c r="DE614" s="1235"/>
      <c r="DF614" s="1235"/>
      <c r="DG614" s="1235"/>
      <c r="DH614" s="1235"/>
    </row>
    <row r="615" spans="1:112" ht="12.75">
      <c r="B615" s="1498" t="s">
        <v>527</v>
      </c>
      <c r="C615" s="1499"/>
      <c r="D615" s="1499"/>
      <c r="E615" s="1499"/>
      <c r="F615" s="1499"/>
      <c r="G615" s="1499"/>
      <c r="H615" s="1499"/>
      <c r="I615" s="1499"/>
      <c r="J615" s="1499"/>
      <c r="K615" s="1499"/>
      <c r="L615" s="1499"/>
      <c r="M615" s="1499"/>
      <c r="N615" s="1499"/>
      <c r="O615" s="1500"/>
      <c r="P615" s="1507" t="s">
        <v>350</v>
      </c>
      <c r="Q615" s="1508"/>
      <c r="R615" s="1509"/>
      <c r="S615" s="1516" t="s">
        <v>528</v>
      </c>
      <c r="T615" s="1517"/>
      <c r="U615" s="1518"/>
      <c r="V615" s="1497" t="s">
        <v>19</v>
      </c>
      <c r="W615" s="1497"/>
      <c r="X615" s="1497"/>
      <c r="Y615" s="1497"/>
      <c r="Z615" s="1497"/>
      <c r="AA615" s="1497"/>
      <c r="AB615" s="1497" t="s">
        <v>18</v>
      </c>
      <c r="AC615" s="1497"/>
      <c r="AD615" s="1497"/>
      <c r="AE615" s="1497"/>
      <c r="AF615" s="1497"/>
      <c r="AG615" s="1497" t="s">
        <v>529</v>
      </c>
      <c r="AH615" s="1497"/>
      <c r="AI615" s="1497"/>
      <c r="AJ615" s="1497"/>
      <c r="AK615" s="1497"/>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2.75">
      <c r="B616" s="1501"/>
      <c r="C616" s="1502"/>
      <c r="D616" s="1502"/>
      <c r="E616" s="1502"/>
      <c r="F616" s="1502"/>
      <c r="G616" s="1502"/>
      <c r="H616" s="1502"/>
      <c r="I616" s="1502"/>
      <c r="J616" s="1502"/>
      <c r="K616" s="1502"/>
      <c r="L616" s="1502"/>
      <c r="M616" s="1502"/>
      <c r="N616" s="1502"/>
      <c r="O616" s="1503"/>
      <c r="P616" s="1510"/>
      <c r="Q616" s="1511"/>
      <c r="R616" s="1512"/>
      <c r="S616" s="1519"/>
      <c r="T616" s="1520"/>
      <c r="U616" s="1521"/>
      <c r="V616" s="1497"/>
      <c r="W616" s="1497"/>
      <c r="X616" s="1497"/>
      <c r="Y616" s="1497"/>
      <c r="Z616" s="1497"/>
      <c r="AA616" s="1497"/>
      <c r="AB616" s="1497"/>
      <c r="AC616" s="1497"/>
      <c r="AD616" s="1497"/>
      <c r="AE616" s="1497"/>
      <c r="AF616" s="1497"/>
      <c r="AG616" s="1497"/>
      <c r="AH616" s="1497"/>
      <c r="AI616" s="1497"/>
      <c r="AJ616" s="1497"/>
      <c r="AK616" s="1497"/>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504"/>
      <c r="C617" s="1505"/>
      <c r="D617" s="1505"/>
      <c r="E617" s="1505"/>
      <c r="F617" s="1505"/>
      <c r="G617" s="1505"/>
      <c r="H617" s="1505"/>
      <c r="I617" s="1505"/>
      <c r="J617" s="1505"/>
      <c r="K617" s="1505"/>
      <c r="L617" s="1505"/>
      <c r="M617" s="1505"/>
      <c r="N617" s="1505"/>
      <c r="O617" s="1506"/>
      <c r="P617" s="1513"/>
      <c r="Q617" s="1514"/>
      <c r="R617" s="1515"/>
      <c r="S617" s="1522"/>
      <c r="T617" s="1523"/>
      <c r="U617" s="1524"/>
      <c r="V617" s="1497"/>
      <c r="W617" s="1497"/>
      <c r="X617" s="1497"/>
      <c r="Y617" s="1497"/>
      <c r="Z617" s="1497"/>
      <c r="AA617" s="1497"/>
      <c r="AB617" s="1497"/>
      <c r="AC617" s="1497"/>
      <c r="AD617" s="1497"/>
      <c r="AE617" s="1497"/>
      <c r="AF617" s="1497"/>
      <c r="AG617" s="1497"/>
      <c r="AH617" s="1497"/>
      <c r="AI617" s="1497"/>
      <c r="AJ617" s="1497"/>
      <c r="AK617" s="1497"/>
      <c r="AL617" s="62"/>
      <c r="AM617" s="65"/>
      <c r="AN617" s="65"/>
      <c r="AO617" s="65"/>
      <c r="AP617" s="65"/>
      <c r="AQ617" s="65"/>
      <c r="AR617" s="65"/>
      <c r="AS617" s="65"/>
      <c r="AT617" s="65"/>
      <c r="AU617" s="65"/>
      <c r="AV617" s="65"/>
      <c r="AW617" s="65"/>
      <c r="AX617" s="65"/>
      <c r="AY617" s="65"/>
      <c r="AZ617" s="65"/>
      <c r="BA617" s="1149">
        <f>IF(J754="SRO/Studio",O754,0)</f>
        <v>0</v>
      </c>
      <c r="BB617" s="1150"/>
      <c r="BC617" s="1150"/>
      <c r="BD617" s="1150"/>
      <c r="BE617" s="1151"/>
      <c r="BF617" s="1211">
        <f>IF(J754="1 Bedroom",O754,0)</f>
        <v>0</v>
      </c>
      <c r="BG617" s="1211"/>
      <c r="BH617" s="1211"/>
      <c r="BI617" s="1211"/>
      <c r="BJ617" s="1211"/>
      <c r="BK617" s="1211">
        <f>IF(J754="2 Bedrooms",O754,0)</f>
        <v>1</v>
      </c>
      <c r="BL617" s="1211"/>
      <c r="BM617" s="1211"/>
      <c r="BN617" s="1211"/>
      <c r="BO617" s="1211"/>
      <c r="BP617" s="1211">
        <f>IF(J754="3 Bedrooms",O754,0)</f>
        <v>0</v>
      </c>
      <c r="BQ617" s="1211"/>
      <c r="BR617" s="1211"/>
      <c r="BS617" s="1211"/>
      <c r="BT617" s="1211"/>
      <c r="BU617" s="1211">
        <f>IF(J754="4 Bedrooms",O754,0)</f>
        <v>0</v>
      </c>
      <c r="BV617" s="1211"/>
      <c r="BW617" s="1211"/>
      <c r="BX617" s="1211"/>
      <c r="BY617" s="1211"/>
      <c r="BZ617" s="1211">
        <f>IF(J754="5 Bedrooms",O754,0)</f>
        <v>0</v>
      </c>
      <c r="CA617" s="1211"/>
      <c r="CB617" s="1211"/>
      <c r="CC617" s="1211"/>
      <c r="CD617" s="1211"/>
      <c r="CE617" s="62"/>
      <c r="CF617" s="62"/>
      <c r="CG617" s="62"/>
      <c r="CH617" s="62"/>
      <c r="CI617" s="62"/>
      <c r="CJ617" s="62"/>
      <c r="CK617" s="62"/>
      <c r="CL617" s="62"/>
      <c r="CM617" s="62"/>
      <c r="CN617" s="62"/>
      <c r="CO617" s="62"/>
      <c r="CP617" s="62"/>
      <c r="CQ617" s="62"/>
      <c r="CR617" s="62"/>
    </row>
    <row r="618" spans="1:112" ht="12.75" customHeight="1">
      <c r="B618" s="87" t="s">
        <v>120</v>
      </c>
      <c r="C618" s="1284" t="s">
        <v>1712</v>
      </c>
      <c r="D618" s="1438"/>
      <c r="E618" s="1438"/>
      <c r="F618" s="1438"/>
      <c r="G618" s="1438"/>
      <c r="H618" s="1438"/>
      <c r="I618" s="1438"/>
      <c r="J618" s="1438"/>
      <c r="K618" s="1438"/>
      <c r="L618" s="1438"/>
      <c r="M618" s="1438"/>
      <c r="N618" s="1438"/>
      <c r="O618" s="1439"/>
      <c r="P618" s="1261">
        <f>35*12</f>
        <v>420</v>
      </c>
      <c r="Q618" s="1262"/>
      <c r="R618" s="1263"/>
      <c r="S618" s="1246">
        <v>3.6900000000000002E-2</v>
      </c>
      <c r="T618" s="1247"/>
      <c r="U618" s="1248"/>
      <c r="V618" s="1261"/>
      <c r="W618" s="1262"/>
      <c r="X618" s="1262"/>
      <c r="Y618" s="1262"/>
      <c r="Z618" s="1262"/>
      <c r="AA618" s="1263"/>
      <c r="AB618" s="1245">
        <f>PMT(S618/12,P618,-AG618)*12</f>
        <v>464434.96393146616</v>
      </c>
      <c r="AC618" s="1245"/>
      <c r="AD618" s="1245"/>
      <c r="AE618" s="1245"/>
      <c r="AF618" s="1245"/>
      <c r="AG618" s="1245">
        <v>9120000</v>
      </c>
      <c r="AH618" s="1245"/>
      <c r="AI618" s="1245"/>
      <c r="AJ618" s="1245"/>
      <c r="AK618" s="1245"/>
      <c r="AL618" s="62"/>
      <c r="AM618" s="65"/>
      <c r="AN618" s="65"/>
      <c r="AO618" s="65"/>
      <c r="AP618" s="65"/>
      <c r="AQ618" s="65"/>
      <c r="AR618" s="65"/>
      <c r="AS618" s="65"/>
      <c r="AT618" s="65"/>
      <c r="AU618" s="65"/>
      <c r="AV618" s="65"/>
      <c r="AW618" s="65"/>
      <c r="AX618" s="65"/>
      <c r="AY618" s="65"/>
      <c r="AZ618" s="65"/>
      <c r="BA618" s="1149">
        <f>IF(J755="SRO/Studio",O755,0)</f>
        <v>0</v>
      </c>
      <c r="BB618" s="1150"/>
      <c r="BC618" s="1150"/>
      <c r="BD618" s="1150"/>
      <c r="BE618" s="1151"/>
      <c r="BF618" s="1211">
        <f>IF(J755="1 Bedroom",O755,0)</f>
        <v>0</v>
      </c>
      <c r="BG618" s="1211"/>
      <c r="BH618" s="1211"/>
      <c r="BI618" s="1211"/>
      <c r="BJ618" s="1211"/>
      <c r="BK618" s="1211">
        <f>IF(J755="2 Bedrooms",O755,0)</f>
        <v>0</v>
      </c>
      <c r="BL618" s="1211"/>
      <c r="BM618" s="1211"/>
      <c r="BN618" s="1211"/>
      <c r="BO618" s="1211"/>
      <c r="BP618" s="1211">
        <f>IF(J755="3 Bedrooms",O755,0)</f>
        <v>0</v>
      </c>
      <c r="BQ618" s="1211"/>
      <c r="BR618" s="1211"/>
      <c r="BS618" s="1211"/>
      <c r="BT618" s="1211"/>
      <c r="BU618" s="1211">
        <f>IF(J755="4 Bedrooms",O755,0)</f>
        <v>0</v>
      </c>
      <c r="BV618" s="1211"/>
      <c r="BW618" s="1211"/>
      <c r="BX618" s="1211"/>
      <c r="BY618" s="1211"/>
      <c r="BZ618" s="1211">
        <f>IF(J755="5 Bedrooms",O755,0)</f>
        <v>0</v>
      </c>
      <c r="CA618" s="1211"/>
      <c r="CB618" s="1211"/>
      <c r="CC618" s="1211"/>
      <c r="CD618" s="1211"/>
      <c r="CE618" s="62"/>
      <c r="CF618" s="62"/>
      <c r="CG618" s="62"/>
      <c r="CH618" s="62"/>
      <c r="CI618" s="62"/>
      <c r="CJ618" s="62"/>
      <c r="CK618" s="62"/>
      <c r="CL618" s="62"/>
      <c r="CM618" s="62"/>
      <c r="CN618" s="62"/>
      <c r="CO618" s="62"/>
      <c r="CP618" s="62"/>
      <c r="CQ618" s="62"/>
      <c r="CR618" s="62"/>
    </row>
    <row r="619" spans="1:112" ht="12.75">
      <c r="B619" s="88" t="s">
        <v>121</v>
      </c>
      <c r="C619" s="1284" t="s">
        <v>1717</v>
      </c>
      <c r="D619" s="1126"/>
      <c r="E619" s="1126"/>
      <c r="F619" s="1126"/>
      <c r="G619" s="1126"/>
      <c r="H619" s="1126"/>
      <c r="I619" s="1126"/>
      <c r="J619" s="1126"/>
      <c r="K619" s="1126"/>
      <c r="L619" s="1126"/>
      <c r="M619" s="1126"/>
      <c r="N619" s="1126"/>
      <c r="O619" s="1437"/>
      <c r="P619" s="1261"/>
      <c r="Q619" s="1262"/>
      <c r="R619" s="1263"/>
      <c r="S619" s="1246"/>
      <c r="T619" s="1247"/>
      <c r="U619" s="1248"/>
      <c r="V619" s="1261"/>
      <c r="W619" s="1262"/>
      <c r="X619" s="1262"/>
      <c r="Y619" s="1262"/>
      <c r="Z619" s="1262"/>
      <c r="AA619" s="1263"/>
      <c r="AB619" s="1245"/>
      <c r="AC619" s="1245"/>
      <c r="AD619" s="1245"/>
      <c r="AE619" s="1245"/>
      <c r="AF619" s="1245"/>
      <c r="AG619" s="1245">
        <f>248785</f>
        <v>248785</v>
      </c>
      <c r="AH619" s="1245"/>
      <c r="AI619" s="1245"/>
      <c r="AJ619" s="1245"/>
      <c r="AK619" s="1245"/>
      <c r="AL619" s="62"/>
      <c r="AM619" s="65"/>
      <c r="AN619" s="65"/>
      <c r="AO619" s="65"/>
      <c r="AP619" s="65"/>
      <c r="AQ619" s="65"/>
      <c r="AR619" s="65"/>
      <c r="AS619" s="65"/>
      <c r="AT619" s="65"/>
      <c r="AU619" s="65"/>
      <c r="AV619" s="65"/>
      <c r="AW619" s="65"/>
      <c r="AX619" s="65"/>
      <c r="AY619" s="65"/>
      <c r="AZ619" s="65"/>
      <c r="BA619" s="1149">
        <f>IF(J756="SRO/Studio",O756,0)</f>
        <v>0</v>
      </c>
      <c r="BB619" s="1150"/>
      <c r="BC619" s="1150"/>
      <c r="BD619" s="1150"/>
      <c r="BE619" s="1151"/>
      <c r="BF619" s="1211">
        <f>IF(J756="1 Bedroom",O756,0)</f>
        <v>0</v>
      </c>
      <c r="BG619" s="1211"/>
      <c r="BH619" s="1211"/>
      <c r="BI619" s="1211"/>
      <c r="BJ619" s="1211"/>
      <c r="BK619" s="1211">
        <f>IF(J756="2 Bedrooms",O756,0)</f>
        <v>0</v>
      </c>
      <c r="BL619" s="1211"/>
      <c r="BM619" s="1211"/>
      <c r="BN619" s="1211"/>
      <c r="BO619" s="1211"/>
      <c r="BP619" s="1211">
        <f>IF(J756="3 Bedrooms",O756,0)</f>
        <v>0</v>
      </c>
      <c r="BQ619" s="1211"/>
      <c r="BR619" s="1211"/>
      <c r="BS619" s="1211"/>
      <c r="BT619" s="1211"/>
      <c r="BU619" s="1211">
        <f>IF(J756="4 Bedrooms",O756,0)</f>
        <v>0</v>
      </c>
      <c r="BV619" s="1211"/>
      <c r="BW619" s="1211"/>
      <c r="BX619" s="1211"/>
      <c r="BY619" s="1211"/>
      <c r="BZ619" s="1211">
        <f>IF(J756="5 Bedrooms",O756,0)</f>
        <v>0</v>
      </c>
      <c r="CA619" s="1211"/>
      <c r="CB619" s="1211"/>
      <c r="CC619" s="1211"/>
      <c r="CD619" s="1211"/>
      <c r="CE619" s="62"/>
      <c r="CF619" s="62"/>
      <c r="CG619" s="62"/>
      <c r="CH619" s="62"/>
      <c r="CI619" s="62"/>
      <c r="CJ619" s="62"/>
      <c r="CK619" s="62"/>
      <c r="CL619" s="62"/>
      <c r="CM619" s="62"/>
      <c r="CN619" s="62"/>
      <c r="CO619" s="62"/>
      <c r="CP619" s="62"/>
      <c r="CQ619" s="62"/>
      <c r="CR619" s="62"/>
    </row>
    <row r="620" spans="1:112" ht="12.75">
      <c r="B620" s="88" t="s">
        <v>127</v>
      </c>
      <c r="C620" s="1284" t="s">
        <v>1665</v>
      </c>
      <c r="D620" s="1126"/>
      <c r="E620" s="1126"/>
      <c r="F620" s="1126"/>
      <c r="G620" s="1126"/>
      <c r="H620" s="1126"/>
      <c r="I620" s="1126"/>
      <c r="J620" s="1126"/>
      <c r="K620" s="1126"/>
      <c r="L620" s="1126"/>
      <c r="M620" s="1126"/>
      <c r="N620" s="1126"/>
      <c r="O620" s="1437"/>
      <c r="P620" s="1261"/>
      <c r="Q620" s="1262"/>
      <c r="R620" s="1263"/>
      <c r="S620" s="1246"/>
      <c r="T620" s="1247"/>
      <c r="U620" s="1248"/>
      <c r="V620" s="1261" t="s">
        <v>533</v>
      </c>
      <c r="W620" s="1262"/>
      <c r="X620" s="1262"/>
      <c r="Y620" s="1262"/>
      <c r="Z620" s="1262"/>
      <c r="AA620" s="1263"/>
      <c r="AB620" s="1245"/>
      <c r="AC620" s="1245"/>
      <c r="AD620" s="1245"/>
      <c r="AE620" s="1245"/>
      <c r="AF620" s="1245"/>
      <c r="AG620" s="1245">
        <f>'Sources and Uses Budget'!C98</f>
        <v>1845775</v>
      </c>
      <c r="AH620" s="1245"/>
      <c r="AI620" s="1245"/>
      <c r="AJ620" s="1245"/>
      <c r="AK620" s="1245"/>
      <c r="AL620" s="62"/>
      <c r="AM620" s="65"/>
      <c r="AN620" s="65"/>
      <c r="AO620" s="65"/>
      <c r="AP620" s="65"/>
      <c r="AQ620" s="65"/>
      <c r="AR620" s="65"/>
      <c r="AS620" s="65"/>
      <c r="AT620" s="65"/>
      <c r="AU620" s="65"/>
      <c r="AV620" s="65"/>
      <c r="AW620" s="65"/>
      <c r="AX620" s="65"/>
      <c r="AY620" s="65"/>
      <c r="AZ620" s="65"/>
      <c r="BA620" s="1149">
        <f>IF(J757="SRO/Studio",O757,0)</f>
        <v>0</v>
      </c>
      <c r="BB620" s="1150"/>
      <c r="BC620" s="1150"/>
      <c r="BD620" s="1150"/>
      <c r="BE620" s="1151"/>
      <c r="BF620" s="1211">
        <f>IF(J757="1 Bedroom",O757,0)</f>
        <v>0</v>
      </c>
      <c r="BG620" s="1211"/>
      <c r="BH620" s="1211"/>
      <c r="BI620" s="1211"/>
      <c r="BJ620" s="1211"/>
      <c r="BK620" s="1211">
        <f>IF(J757="2 Bedrooms",O757,0)</f>
        <v>0</v>
      </c>
      <c r="BL620" s="1211"/>
      <c r="BM620" s="1211"/>
      <c r="BN620" s="1211"/>
      <c r="BO620" s="1211"/>
      <c r="BP620" s="1211">
        <f>IF(J757="3 Bedrooms",O757,0)</f>
        <v>0</v>
      </c>
      <c r="BQ620" s="1211"/>
      <c r="BR620" s="1211"/>
      <c r="BS620" s="1211"/>
      <c r="BT620" s="1211"/>
      <c r="BU620" s="1211">
        <f>IF(J757="4 Bedrooms",O757,0)</f>
        <v>0</v>
      </c>
      <c r="BV620" s="1211"/>
      <c r="BW620" s="1211"/>
      <c r="BX620" s="1211"/>
      <c r="BY620" s="1211"/>
      <c r="BZ620" s="1211">
        <f>IF(J757="5 Bedrooms",O757,0)</f>
        <v>0</v>
      </c>
      <c r="CA620" s="1211"/>
      <c r="CB620" s="1211"/>
      <c r="CC620" s="1211"/>
      <c r="CD620" s="1211"/>
      <c r="CE620" s="62"/>
      <c r="CF620" s="62"/>
      <c r="CG620" s="62"/>
      <c r="CH620" s="62"/>
      <c r="CI620" s="62"/>
      <c r="CJ620" s="62"/>
      <c r="CK620" s="62"/>
      <c r="CL620" s="62"/>
      <c r="CM620" s="62"/>
      <c r="CN620" s="62"/>
      <c r="CO620" s="62"/>
      <c r="CP620" s="62"/>
      <c r="CQ620" s="62"/>
      <c r="CR620" s="62"/>
    </row>
    <row r="621" spans="1:112" ht="12.75">
      <c r="B621" s="88" t="s">
        <v>662</v>
      </c>
      <c r="C621" s="1284"/>
      <c r="D621" s="1126"/>
      <c r="E621" s="1126"/>
      <c r="F621" s="1126"/>
      <c r="G621" s="1126"/>
      <c r="H621" s="1126"/>
      <c r="I621" s="1126"/>
      <c r="J621" s="1126"/>
      <c r="K621" s="1126"/>
      <c r="L621" s="1126"/>
      <c r="M621" s="1126"/>
      <c r="N621" s="1126"/>
      <c r="O621" s="1437"/>
      <c r="P621" s="1261"/>
      <c r="Q621" s="1262"/>
      <c r="R621" s="1263"/>
      <c r="S621" s="1246"/>
      <c r="T621" s="1247"/>
      <c r="U621" s="1248"/>
      <c r="V621" s="1261"/>
      <c r="W621" s="1262"/>
      <c r="X621" s="1262"/>
      <c r="Y621" s="1262"/>
      <c r="Z621" s="1262"/>
      <c r="AA621" s="1263"/>
      <c r="AB621" s="1245"/>
      <c r="AC621" s="1245"/>
      <c r="AD621" s="1245"/>
      <c r="AE621" s="1245"/>
      <c r="AF621" s="1245"/>
      <c r="AG621" s="1245"/>
      <c r="AH621" s="1245"/>
      <c r="AI621" s="1245"/>
      <c r="AJ621" s="1245"/>
      <c r="AK621" s="1245"/>
      <c r="AL621" s="62"/>
      <c r="AM621" s="65"/>
      <c r="AN621" s="65"/>
      <c r="AO621" s="65"/>
      <c r="AP621" s="65"/>
      <c r="AQ621" s="65"/>
      <c r="AR621" s="65"/>
      <c r="AS621" s="65"/>
      <c r="AT621" s="65"/>
      <c r="AU621" s="65"/>
      <c r="AV621" s="65"/>
      <c r="AW621" s="65"/>
      <c r="AX621" s="65"/>
      <c r="AY621" s="65"/>
      <c r="AZ621" s="65"/>
      <c r="BA621" s="1152">
        <f>SUM(BA617:BE620)</f>
        <v>0</v>
      </c>
      <c r="BB621" s="1153"/>
      <c r="BC621" s="1153"/>
      <c r="BD621" s="1153"/>
      <c r="BE621" s="1154"/>
      <c r="BF621" s="1152">
        <f>SUM(BF617:BJ620)</f>
        <v>0</v>
      </c>
      <c r="BG621" s="1153"/>
      <c r="BH621" s="1153"/>
      <c r="BI621" s="1153"/>
      <c r="BJ621" s="1154"/>
      <c r="BK621" s="1152">
        <f>SUM(BK617:BO620)</f>
        <v>1</v>
      </c>
      <c r="BL621" s="1153"/>
      <c r="BM621" s="1153"/>
      <c r="BN621" s="1153"/>
      <c r="BO621" s="1154"/>
      <c r="BP621" s="1152">
        <f>SUM(BP617:BT620)</f>
        <v>0</v>
      </c>
      <c r="BQ621" s="1153"/>
      <c r="BR621" s="1153"/>
      <c r="BS621" s="1153"/>
      <c r="BT621" s="1154"/>
      <c r="BU621" s="1152">
        <f>SUM(BU617:BY620)</f>
        <v>0</v>
      </c>
      <c r="BV621" s="1153"/>
      <c r="BW621" s="1153"/>
      <c r="BX621" s="1153"/>
      <c r="BY621" s="1154"/>
      <c r="BZ621" s="1152">
        <f>SUM(BZ617:CD620)</f>
        <v>0</v>
      </c>
      <c r="CA621" s="1153"/>
      <c r="CB621" s="1153"/>
      <c r="CC621" s="1153"/>
      <c r="CD621" s="1154"/>
      <c r="CE621" s="62"/>
      <c r="CF621" s="62"/>
      <c r="CG621" s="62"/>
      <c r="CH621" s="62"/>
      <c r="CI621" s="62"/>
      <c r="CJ621" s="62"/>
      <c r="CK621" s="62"/>
      <c r="CL621" s="62"/>
      <c r="CM621" s="62"/>
      <c r="CN621" s="62"/>
      <c r="CO621" s="62"/>
      <c r="CP621" s="62"/>
      <c r="CQ621" s="62"/>
      <c r="CR621" s="62"/>
    </row>
    <row r="622" spans="1:112" ht="12.75">
      <c r="B622" s="88" t="s">
        <v>874</v>
      </c>
      <c r="C622" s="1126"/>
      <c r="D622" s="1126"/>
      <c r="E622" s="1126"/>
      <c r="F622" s="1126"/>
      <c r="G622" s="1126"/>
      <c r="H622" s="1126"/>
      <c r="I622" s="1126"/>
      <c r="J622" s="1126"/>
      <c r="K622" s="1126"/>
      <c r="L622" s="1126"/>
      <c r="M622" s="1126"/>
      <c r="N622" s="1126"/>
      <c r="O622" s="1437"/>
      <c r="P622" s="1261"/>
      <c r="Q622" s="1262"/>
      <c r="R622" s="1263"/>
      <c r="S622" s="1246"/>
      <c r="T622" s="1247"/>
      <c r="U622" s="1248"/>
      <c r="V622" s="1261"/>
      <c r="W622" s="1262"/>
      <c r="X622" s="1262"/>
      <c r="Y622" s="1262"/>
      <c r="Z622" s="1262"/>
      <c r="AA622" s="1263"/>
      <c r="AB622" s="1245"/>
      <c r="AC622" s="1245"/>
      <c r="AD622" s="1245"/>
      <c r="AE622" s="1245"/>
      <c r="AF622" s="1245"/>
      <c r="AG622" s="1245"/>
      <c r="AH622" s="1245"/>
      <c r="AI622" s="1245"/>
      <c r="AJ622" s="1245"/>
      <c r="AK622" s="1245"/>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2.75">
      <c r="B623" s="88" t="s">
        <v>665</v>
      </c>
      <c r="C623" s="1126"/>
      <c r="D623" s="1126"/>
      <c r="E623" s="1126"/>
      <c r="F623" s="1126"/>
      <c r="G623" s="1126"/>
      <c r="H623" s="1126"/>
      <c r="I623" s="1126"/>
      <c r="J623" s="1126"/>
      <c r="K623" s="1126"/>
      <c r="L623" s="1126"/>
      <c r="M623" s="1126"/>
      <c r="N623" s="1126"/>
      <c r="O623" s="1437"/>
      <c r="P623" s="1261"/>
      <c r="Q623" s="1262"/>
      <c r="R623" s="1263"/>
      <c r="S623" s="1246"/>
      <c r="T623" s="1247"/>
      <c r="U623" s="1248"/>
      <c r="V623" s="1261"/>
      <c r="W623" s="1262"/>
      <c r="X623" s="1262"/>
      <c r="Y623" s="1262"/>
      <c r="Z623" s="1262"/>
      <c r="AA623" s="1263"/>
      <c r="AB623" s="1245"/>
      <c r="AC623" s="1245"/>
      <c r="AD623" s="1245"/>
      <c r="AE623" s="1245"/>
      <c r="AF623" s="1245"/>
      <c r="AG623" s="1245"/>
      <c r="AH623" s="1245"/>
      <c r="AI623" s="1245"/>
      <c r="AJ623" s="1245"/>
      <c r="AK623" s="1245"/>
      <c r="AL623" s="62"/>
      <c r="AM623" s="65"/>
      <c r="AN623" s="65"/>
      <c r="AO623" s="65"/>
      <c r="AP623" s="65"/>
      <c r="AQ623" s="65"/>
      <c r="AR623" s="65"/>
      <c r="AS623" s="65"/>
      <c r="AT623" s="65"/>
      <c r="AU623" s="65"/>
      <c r="AV623" s="65"/>
      <c r="AW623" s="65"/>
      <c r="AX623" s="65"/>
      <c r="AY623" s="65"/>
      <c r="AZ623" s="65"/>
      <c r="BA623" s="1149">
        <f t="shared" ref="BA623:BA632" si="16">IF(J768="SRO/Studio",O768,0)</f>
        <v>0</v>
      </c>
      <c r="BB623" s="1150"/>
      <c r="BC623" s="1150"/>
      <c r="BD623" s="1150"/>
      <c r="BE623" s="1151"/>
      <c r="BF623" s="1211">
        <f t="shared" ref="BF623:BF632" si="17">IF(J768="1 Bedroom",O768,0)</f>
        <v>0</v>
      </c>
      <c r="BG623" s="1211"/>
      <c r="BH623" s="1211"/>
      <c r="BI623" s="1211"/>
      <c r="BJ623" s="1211"/>
      <c r="BK623" s="1211">
        <f t="shared" ref="BK623:BK632" si="18">IF(J768="2 Bedrooms",O768,0)</f>
        <v>0</v>
      </c>
      <c r="BL623" s="1211"/>
      <c r="BM623" s="1211"/>
      <c r="BN623" s="1211"/>
      <c r="BO623" s="1211"/>
      <c r="BP623" s="1211">
        <f t="shared" ref="BP623:BP632" si="19">IF(J768="3 Bedrooms",O768,0)</f>
        <v>0</v>
      </c>
      <c r="BQ623" s="1211"/>
      <c r="BR623" s="1211"/>
      <c r="BS623" s="1211"/>
      <c r="BT623" s="1211"/>
      <c r="BU623" s="1211">
        <f t="shared" ref="BU623:BU632" si="20">IF(J768="4 Bedrooms",O768,0)</f>
        <v>0</v>
      </c>
      <c r="BV623" s="1211"/>
      <c r="BW623" s="1211"/>
      <c r="BX623" s="1211"/>
      <c r="BY623" s="1211"/>
      <c r="BZ623" s="1211">
        <f t="shared" ref="BZ623:BZ632" si="21">IF(J768="5 Bedrooms",O768,0)</f>
        <v>0</v>
      </c>
      <c r="CA623" s="1211"/>
      <c r="CB623" s="1211"/>
      <c r="CC623" s="1211"/>
      <c r="CD623" s="1211"/>
      <c r="CE623" s="62"/>
      <c r="CF623" s="62"/>
      <c r="CG623" s="62"/>
      <c r="CH623" s="62"/>
      <c r="CI623" s="62"/>
      <c r="CJ623" s="62"/>
      <c r="CK623" s="62"/>
      <c r="CL623" s="62"/>
      <c r="CM623" s="62"/>
      <c r="CN623" s="62"/>
      <c r="CO623" s="62"/>
      <c r="CP623" s="62"/>
      <c r="CQ623" s="62"/>
      <c r="CR623" s="62"/>
    </row>
    <row r="624" spans="1:112" ht="12.75">
      <c r="B624" s="88" t="s">
        <v>530</v>
      </c>
      <c r="C624" s="1126"/>
      <c r="D624" s="1126"/>
      <c r="E624" s="1126"/>
      <c r="F624" s="1126"/>
      <c r="G624" s="1126"/>
      <c r="H624" s="1126"/>
      <c r="I624" s="1126"/>
      <c r="J624" s="1126"/>
      <c r="K624" s="1126"/>
      <c r="L624" s="1126"/>
      <c r="M624" s="1126"/>
      <c r="N624" s="1126"/>
      <c r="O624" s="1437"/>
      <c r="P624" s="1261"/>
      <c r="Q624" s="1262"/>
      <c r="R624" s="1263"/>
      <c r="S624" s="1246"/>
      <c r="T624" s="1247"/>
      <c r="U624" s="1248"/>
      <c r="V624" s="1261"/>
      <c r="W624" s="1262"/>
      <c r="X624" s="1262"/>
      <c r="Y624" s="1262"/>
      <c r="Z624" s="1262"/>
      <c r="AA624" s="1263"/>
      <c r="AB624" s="1245"/>
      <c r="AC624" s="1245"/>
      <c r="AD624" s="1245"/>
      <c r="AE624" s="1245"/>
      <c r="AF624" s="1245"/>
      <c r="AG624" s="1245"/>
      <c r="AH624" s="1245"/>
      <c r="AI624" s="1245"/>
      <c r="AJ624" s="1245"/>
      <c r="AK624" s="1245"/>
      <c r="AL624" s="62"/>
      <c r="AM624" s="65"/>
      <c r="AN624" s="65"/>
      <c r="AO624" s="65"/>
      <c r="AP624" s="65"/>
      <c r="AQ624" s="65"/>
      <c r="AR624" s="65"/>
      <c r="AS624" s="65"/>
      <c r="AT624" s="65"/>
      <c r="AU624" s="65"/>
      <c r="AV624" s="65"/>
      <c r="AW624" s="65"/>
      <c r="AX624" s="65"/>
      <c r="AY624" s="65"/>
      <c r="AZ624" s="65"/>
      <c r="BA624" s="1149">
        <f t="shared" si="16"/>
        <v>0</v>
      </c>
      <c r="BB624" s="1150"/>
      <c r="BC624" s="1150"/>
      <c r="BD624" s="1150"/>
      <c r="BE624" s="1151"/>
      <c r="BF624" s="1211">
        <f t="shared" si="17"/>
        <v>0</v>
      </c>
      <c r="BG624" s="1211"/>
      <c r="BH624" s="1211"/>
      <c r="BI624" s="1211"/>
      <c r="BJ624" s="1211"/>
      <c r="BK624" s="1211">
        <f t="shared" si="18"/>
        <v>0</v>
      </c>
      <c r="BL624" s="1211"/>
      <c r="BM624" s="1211"/>
      <c r="BN624" s="1211"/>
      <c r="BO624" s="1211"/>
      <c r="BP624" s="1211">
        <f t="shared" si="19"/>
        <v>0</v>
      </c>
      <c r="BQ624" s="1211"/>
      <c r="BR624" s="1211"/>
      <c r="BS624" s="1211"/>
      <c r="BT624" s="1211"/>
      <c r="BU624" s="1211">
        <f t="shared" si="20"/>
        <v>0</v>
      </c>
      <c r="BV624" s="1211"/>
      <c r="BW624" s="1211"/>
      <c r="BX624" s="1211"/>
      <c r="BY624" s="1211"/>
      <c r="BZ624" s="1211">
        <f t="shared" si="21"/>
        <v>0</v>
      </c>
      <c r="CA624" s="1211"/>
      <c r="CB624" s="1211"/>
      <c r="CC624" s="1211"/>
      <c r="CD624" s="1211"/>
      <c r="CE624" s="62"/>
      <c r="CF624" s="62"/>
      <c r="CG624" s="62"/>
      <c r="CH624" s="62"/>
      <c r="CI624" s="62"/>
      <c r="CJ624" s="62"/>
      <c r="CK624" s="62"/>
      <c r="CL624" s="62"/>
      <c r="CM624" s="62"/>
      <c r="CN624" s="62"/>
      <c r="CO624" s="62"/>
      <c r="CP624" s="62"/>
      <c r="CQ624" s="62"/>
      <c r="CR624" s="62"/>
    </row>
    <row r="625" spans="1:96" ht="12.75">
      <c r="B625" s="88" t="s">
        <v>531</v>
      </c>
      <c r="C625" s="1126"/>
      <c r="D625" s="1126"/>
      <c r="E625" s="1126"/>
      <c r="F625" s="1126"/>
      <c r="G625" s="1126"/>
      <c r="H625" s="1126"/>
      <c r="I625" s="1126"/>
      <c r="J625" s="1126"/>
      <c r="K625" s="1126"/>
      <c r="L625" s="1126"/>
      <c r="M625" s="1126"/>
      <c r="N625" s="1126"/>
      <c r="O625" s="1437"/>
      <c r="P625" s="1261"/>
      <c r="Q625" s="1262"/>
      <c r="R625" s="1263"/>
      <c r="S625" s="1246"/>
      <c r="T625" s="1247"/>
      <c r="U625" s="1248"/>
      <c r="V625" s="1261"/>
      <c r="W625" s="1262"/>
      <c r="X625" s="1262"/>
      <c r="Y625" s="1262"/>
      <c r="Z625" s="1262"/>
      <c r="AA625" s="1263"/>
      <c r="AB625" s="1245"/>
      <c r="AC625" s="1245"/>
      <c r="AD625" s="1245"/>
      <c r="AE625" s="1245"/>
      <c r="AF625" s="1245"/>
      <c r="AG625" s="1245"/>
      <c r="AH625" s="1245"/>
      <c r="AI625" s="1245"/>
      <c r="AJ625" s="1245"/>
      <c r="AK625" s="1245"/>
      <c r="AL625" s="62"/>
      <c r="AM625" s="65"/>
      <c r="AN625" s="65"/>
      <c r="AO625" s="65"/>
      <c r="AP625" s="65"/>
      <c r="AQ625" s="65"/>
      <c r="AR625" s="65"/>
      <c r="AS625" s="65"/>
      <c r="AT625" s="65"/>
      <c r="AU625" s="65"/>
      <c r="AV625" s="65"/>
      <c r="AW625" s="65"/>
      <c r="AX625" s="65"/>
      <c r="AY625" s="65"/>
      <c r="AZ625" s="65"/>
      <c r="BA625" s="1149">
        <f t="shared" si="16"/>
        <v>0</v>
      </c>
      <c r="BB625" s="1150"/>
      <c r="BC625" s="1150"/>
      <c r="BD625" s="1150"/>
      <c r="BE625" s="1151"/>
      <c r="BF625" s="1211">
        <f t="shared" si="17"/>
        <v>0</v>
      </c>
      <c r="BG625" s="1211"/>
      <c r="BH625" s="1211"/>
      <c r="BI625" s="1211"/>
      <c r="BJ625" s="1211"/>
      <c r="BK625" s="1211">
        <f t="shared" si="18"/>
        <v>0</v>
      </c>
      <c r="BL625" s="1211"/>
      <c r="BM625" s="1211"/>
      <c r="BN625" s="1211"/>
      <c r="BO625" s="1211"/>
      <c r="BP625" s="1211">
        <f t="shared" si="19"/>
        <v>0</v>
      </c>
      <c r="BQ625" s="1211"/>
      <c r="BR625" s="1211"/>
      <c r="BS625" s="1211"/>
      <c r="BT625" s="1211"/>
      <c r="BU625" s="1211">
        <f t="shared" si="20"/>
        <v>0</v>
      </c>
      <c r="BV625" s="1211"/>
      <c r="BW625" s="1211"/>
      <c r="BX625" s="1211"/>
      <c r="BY625" s="1211"/>
      <c r="BZ625" s="1211">
        <f t="shared" si="21"/>
        <v>0</v>
      </c>
      <c r="CA625" s="1211"/>
      <c r="CB625" s="1211"/>
      <c r="CC625" s="1211"/>
      <c r="CD625" s="1211"/>
      <c r="CE625" s="62"/>
      <c r="CF625" s="62"/>
      <c r="CG625" s="62"/>
      <c r="CH625" s="62"/>
      <c r="CI625" s="62"/>
      <c r="CJ625" s="62"/>
      <c r="CK625" s="62"/>
      <c r="CL625" s="62"/>
      <c r="CM625" s="62"/>
      <c r="CN625" s="62"/>
      <c r="CO625" s="62"/>
      <c r="CP625" s="62"/>
      <c r="CQ625" s="62"/>
      <c r="CR625" s="62"/>
    </row>
    <row r="626" spans="1:96" ht="12.75">
      <c r="B626" s="88" t="s">
        <v>537</v>
      </c>
      <c r="C626" s="1126"/>
      <c r="D626" s="1126"/>
      <c r="E626" s="1126"/>
      <c r="F626" s="1126"/>
      <c r="G626" s="1126"/>
      <c r="H626" s="1126"/>
      <c r="I626" s="1126"/>
      <c r="J626" s="1126"/>
      <c r="K626" s="1126"/>
      <c r="L626" s="1126"/>
      <c r="M626" s="1126"/>
      <c r="N626" s="1126"/>
      <c r="O626" s="1437"/>
      <c r="P626" s="1261"/>
      <c r="Q626" s="1262"/>
      <c r="R626" s="1263"/>
      <c r="S626" s="1246"/>
      <c r="T626" s="1247"/>
      <c r="U626" s="1248"/>
      <c r="V626" s="1261"/>
      <c r="W626" s="1262"/>
      <c r="X626" s="1262"/>
      <c r="Y626" s="1262"/>
      <c r="Z626" s="1262"/>
      <c r="AA626" s="1263"/>
      <c r="AB626" s="1245"/>
      <c r="AC626" s="1245"/>
      <c r="AD626" s="1245"/>
      <c r="AE626" s="1245"/>
      <c r="AF626" s="1245"/>
      <c r="AG626" s="1245"/>
      <c r="AH626" s="1245"/>
      <c r="AI626" s="1245"/>
      <c r="AJ626" s="1245"/>
      <c r="AK626" s="1245"/>
      <c r="AL626" s="62"/>
      <c r="AM626" s="62"/>
      <c r="AN626" s="62"/>
      <c r="AO626" s="62"/>
      <c r="AP626" s="62"/>
      <c r="AQ626" s="62"/>
      <c r="AR626" s="62"/>
      <c r="AS626" s="62"/>
      <c r="AT626" s="62"/>
      <c r="AU626" s="62"/>
      <c r="AV626" s="62"/>
      <c r="AW626" s="62"/>
      <c r="AX626" s="62"/>
      <c r="AY626" s="62"/>
      <c r="AZ626" s="62"/>
      <c r="BA626" s="1149">
        <f t="shared" si="16"/>
        <v>0</v>
      </c>
      <c r="BB626" s="1150"/>
      <c r="BC626" s="1150"/>
      <c r="BD626" s="1150"/>
      <c r="BE626" s="1151"/>
      <c r="BF626" s="1211">
        <f t="shared" si="17"/>
        <v>0</v>
      </c>
      <c r="BG626" s="1211"/>
      <c r="BH626" s="1211"/>
      <c r="BI626" s="1211"/>
      <c r="BJ626" s="1211"/>
      <c r="BK626" s="1211">
        <f t="shared" si="18"/>
        <v>0</v>
      </c>
      <c r="BL626" s="1211"/>
      <c r="BM626" s="1211"/>
      <c r="BN626" s="1211"/>
      <c r="BO626" s="1211"/>
      <c r="BP626" s="1211">
        <f t="shared" si="19"/>
        <v>0</v>
      </c>
      <c r="BQ626" s="1211"/>
      <c r="BR626" s="1211"/>
      <c r="BS626" s="1211"/>
      <c r="BT626" s="1211"/>
      <c r="BU626" s="1211">
        <f t="shared" si="20"/>
        <v>0</v>
      </c>
      <c r="BV626" s="1211"/>
      <c r="BW626" s="1211"/>
      <c r="BX626" s="1211"/>
      <c r="BY626" s="1211"/>
      <c r="BZ626" s="1211">
        <f t="shared" si="21"/>
        <v>0</v>
      </c>
      <c r="CA626" s="1211"/>
      <c r="CB626" s="1211"/>
      <c r="CC626" s="1211"/>
      <c r="CD626" s="1211"/>
      <c r="CE626" s="62"/>
      <c r="CF626" s="62"/>
      <c r="CG626" s="62"/>
      <c r="CH626" s="62"/>
      <c r="CI626" s="62"/>
      <c r="CJ626" s="62"/>
      <c r="CK626" s="62"/>
      <c r="CL626" s="62"/>
      <c r="CM626" s="62"/>
      <c r="CN626" s="62"/>
      <c r="CO626" s="62"/>
      <c r="CP626" s="62"/>
      <c r="CQ626" s="62"/>
      <c r="CR626" s="62"/>
    </row>
    <row r="627" spans="1:96" ht="12.75">
      <c r="B627" s="88" t="s">
        <v>729</v>
      </c>
      <c r="C627" s="1126"/>
      <c r="D627" s="1126"/>
      <c r="E627" s="1126"/>
      <c r="F627" s="1126"/>
      <c r="G627" s="1126"/>
      <c r="H627" s="1126"/>
      <c r="I627" s="1126"/>
      <c r="J627" s="1126"/>
      <c r="K627" s="1126"/>
      <c r="L627" s="1126"/>
      <c r="M627" s="1126"/>
      <c r="N627" s="1126"/>
      <c r="O627" s="1437"/>
      <c r="P627" s="1261"/>
      <c r="Q627" s="1262"/>
      <c r="R627" s="1263"/>
      <c r="S627" s="1246"/>
      <c r="T627" s="1247"/>
      <c r="U627" s="1248"/>
      <c r="V627" s="1261"/>
      <c r="W627" s="1262"/>
      <c r="X627" s="1262"/>
      <c r="Y627" s="1262"/>
      <c r="Z627" s="1262"/>
      <c r="AA627" s="1263"/>
      <c r="AB627" s="1245"/>
      <c r="AC627" s="1245"/>
      <c r="AD627" s="1245"/>
      <c r="AE627" s="1245"/>
      <c r="AF627" s="1245"/>
      <c r="AG627" s="1245"/>
      <c r="AH627" s="1245"/>
      <c r="AI627" s="1245"/>
      <c r="AJ627" s="1245"/>
      <c r="AK627" s="1245"/>
      <c r="AL627" s="62"/>
      <c r="AM627" s="62"/>
      <c r="AN627" s="62"/>
      <c r="AO627" s="62"/>
      <c r="AP627" s="62"/>
      <c r="AQ627" s="62"/>
      <c r="AR627" s="62"/>
      <c r="AS627" s="62"/>
      <c r="AT627" s="62"/>
      <c r="AU627" s="62"/>
      <c r="AV627" s="62"/>
      <c r="AW627" s="62"/>
      <c r="AX627" s="62"/>
      <c r="AY627" s="62"/>
      <c r="AZ627" s="62"/>
      <c r="BA627" s="1149">
        <f t="shared" si="16"/>
        <v>0</v>
      </c>
      <c r="BB627" s="1150"/>
      <c r="BC627" s="1150"/>
      <c r="BD627" s="1150"/>
      <c r="BE627" s="1151"/>
      <c r="BF627" s="1211">
        <f t="shared" si="17"/>
        <v>0</v>
      </c>
      <c r="BG627" s="1211"/>
      <c r="BH627" s="1211"/>
      <c r="BI627" s="1211"/>
      <c r="BJ627" s="1211"/>
      <c r="BK627" s="1211">
        <f t="shared" si="18"/>
        <v>0</v>
      </c>
      <c r="BL627" s="1211"/>
      <c r="BM627" s="1211"/>
      <c r="BN627" s="1211"/>
      <c r="BO627" s="1211"/>
      <c r="BP627" s="1211">
        <f t="shared" si="19"/>
        <v>0</v>
      </c>
      <c r="BQ627" s="1211"/>
      <c r="BR627" s="1211"/>
      <c r="BS627" s="1211"/>
      <c r="BT627" s="1211"/>
      <c r="BU627" s="1211">
        <f t="shared" si="20"/>
        <v>0</v>
      </c>
      <c r="BV627" s="1211"/>
      <c r="BW627" s="1211"/>
      <c r="BX627" s="1211"/>
      <c r="BY627" s="1211"/>
      <c r="BZ627" s="1211">
        <f t="shared" si="21"/>
        <v>0</v>
      </c>
      <c r="CA627" s="1211"/>
      <c r="CB627" s="1211"/>
      <c r="CC627" s="1211"/>
      <c r="CD627" s="1211"/>
      <c r="CE627" s="62"/>
      <c r="CF627" s="62"/>
      <c r="CG627" s="62"/>
      <c r="CH627" s="62"/>
      <c r="CI627" s="62"/>
      <c r="CJ627" s="62"/>
      <c r="CK627" s="62"/>
      <c r="CL627" s="62"/>
      <c r="CM627" s="62"/>
      <c r="CN627" s="62"/>
      <c r="CO627" s="62"/>
      <c r="CP627" s="62"/>
      <c r="CQ627" s="62"/>
      <c r="CR627" s="62"/>
    </row>
    <row r="628" spans="1:96" ht="12.75">
      <c r="B628" s="88" t="s">
        <v>399</v>
      </c>
      <c r="C628" s="1126"/>
      <c r="D628" s="1126"/>
      <c r="E628" s="1126"/>
      <c r="F628" s="1126"/>
      <c r="G628" s="1126"/>
      <c r="H628" s="1126"/>
      <c r="I628" s="1126"/>
      <c r="J628" s="1126"/>
      <c r="K628" s="1126"/>
      <c r="L628" s="1126"/>
      <c r="M628" s="1126"/>
      <c r="N628" s="1126"/>
      <c r="O628" s="1437"/>
      <c r="P628" s="1261"/>
      <c r="Q628" s="1262"/>
      <c r="R628" s="1263"/>
      <c r="S628" s="1246"/>
      <c r="T628" s="1247"/>
      <c r="U628" s="1248"/>
      <c r="V628" s="1261"/>
      <c r="W628" s="1262"/>
      <c r="X628" s="1262"/>
      <c r="Y628" s="1262"/>
      <c r="Z628" s="1262"/>
      <c r="AA628" s="1263"/>
      <c r="AB628" s="1245"/>
      <c r="AC628" s="1245"/>
      <c r="AD628" s="1245"/>
      <c r="AE628" s="1245"/>
      <c r="AF628" s="1245"/>
      <c r="AG628" s="1245"/>
      <c r="AH628" s="1245"/>
      <c r="AI628" s="1245"/>
      <c r="AJ628" s="1245"/>
      <c r="AK628" s="1245"/>
      <c r="AL628" s="62"/>
      <c r="AM628" s="62"/>
      <c r="AN628" s="62"/>
      <c r="AO628" s="62"/>
      <c r="AP628" s="62"/>
      <c r="AQ628" s="62"/>
      <c r="AR628" s="62"/>
      <c r="AS628" s="62"/>
      <c r="AT628" s="62"/>
      <c r="AU628" s="62"/>
      <c r="AV628" s="62"/>
      <c r="AW628" s="62"/>
      <c r="AX628" s="62"/>
      <c r="AY628" s="62"/>
      <c r="AZ628" s="62"/>
      <c r="BA628" s="1149">
        <f t="shared" si="16"/>
        <v>0</v>
      </c>
      <c r="BB628" s="1150"/>
      <c r="BC628" s="1150"/>
      <c r="BD628" s="1150"/>
      <c r="BE628" s="1151"/>
      <c r="BF628" s="1211">
        <f t="shared" si="17"/>
        <v>0</v>
      </c>
      <c r="BG628" s="1211"/>
      <c r="BH628" s="1211"/>
      <c r="BI628" s="1211"/>
      <c r="BJ628" s="1211"/>
      <c r="BK628" s="1211">
        <f t="shared" si="18"/>
        <v>0</v>
      </c>
      <c r="BL628" s="1211"/>
      <c r="BM628" s="1211"/>
      <c r="BN628" s="1211"/>
      <c r="BO628" s="1211"/>
      <c r="BP628" s="1211">
        <f t="shared" si="19"/>
        <v>0</v>
      </c>
      <c r="BQ628" s="1211"/>
      <c r="BR628" s="1211"/>
      <c r="BS628" s="1211"/>
      <c r="BT628" s="1211"/>
      <c r="BU628" s="1211">
        <f t="shared" si="20"/>
        <v>0</v>
      </c>
      <c r="BV628" s="1211"/>
      <c r="BW628" s="1211"/>
      <c r="BX628" s="1211"/>
      <c r="BY628" s="1211"/>
      <c r="BZ628" s="1211">
        <f t="shared" si="21"/>
        <v>0</v>
      </c>
      <c r="CA628" s="1211"/>
      <c r="CB628" s="1211"/>
      <c r="CC628" s="1211"/>
      <c r="CD628" s="1211"/>
      <c r="CE628" s="62"/>
      <c r="CF628" s="62"/>
      <c r="CG628" s="62"/>
      <c r="CH628" s="62"/>
      <c r="CI628" s="62"/>
      <c r="CJ628" s="62"/>
      <c r="CK628" s="62"/>
      <c r="CL628" s="62"/>
      <c r="CM628" s="62"/>
      <c r="CN628" s="62"/>
      <c r="CO628" s="62"/>
      <c r="CP628" s="62"/>
      <c r="CQ628" s="62"/>
      <c r="CR628" s="62"/>
    </row>
    <row r="629" spans="1:96" ht="12.75" customHeight="1">
      <c r="B629" s="88" t="s">
        <v>400</v>
      </c>
      <c r="C629" s="1284"/>
      <c r="D629" s="1126"/>
      <c r="E629" s="1126"/>
      <c r="F629" s="1126"/>
      <c r="G629" s="1126"/>
      <c r="H629" s="1126"/>
      <c r="I629" s="1126"/>
      <c r="J629" s="1126"/>
      <c r="K629" s="1126"/>
      <c r="L629" s="1126"/>
      <c r="M629" s="1126"/>
      <c r="N629" s="1126"/>
      <c r="O629" s="1437"/>
      <c r="P629" s="1261"/>
      <c r="Q629" s="1262"/>
      <c r="R629" s="1263"/>
      <c r="S629" s="1246"/>
      <c r="T629" s="1247"/>
      <c r="U629" s="1248"/>
      <c r="V629" s="1261"/>
      <c r="W629" s="1262"/>
      <c r="X629" s="1262"/>
      <c r="Y629" s="1262"/>
      <c r="Z629" s="1262"/>
      <c r="AA629" s="1263"/>
      <c r="AB629" s="1245"/>
      <c r="AC629" s="1245"/>
      <c r="AD629" s="1245"/>
      <c r="AE629" s="1245"/>
      <c r="AF629" s="1245"/>
      <c r="AG629" s="1245"/>
      <c r="AH629" s="1245"/>
      <c r="AI629" s="1245"/>
      <c r="AJ629" s="1245"/>
      <c r="AK629" s="1245"/>
      <c r="AL629" s="62"/>
      <c r="AM629" s="65"/>
      <c r="AN629" s="65"/>
      <c r="AO629" s="65"/>
      <c r="AP629" s="65"/>
      <c r="AQ629" s="65"/>
      <c r="AR629" s="65"/>
      <c r="AS629" s="65"/>
      <c r="AT629" s="65"/>
      <c r="AU629" s="65"/>
      <c r="AV629" s="65"/>
      <c r="AW629" s="65"/>
      <c r="AX629" s="65"/>
      <c r="AY629" s="65"/>
      <c r="AZ629" s="65"/>
      <c r="BA629" s="1149">
        <f t="shared" si="16"/>
        <v>0</v>
      </c>
      <c r="BB629" s="1150"/>
      <c r="BC629" s="1150"/>
      <c r="BD629" s="1150"/>
      <c r="BE629" s="1151"/>
      <c r="BF629" s="1211">
        <f t="shared" si="17"/>
        <v>0</v>
      </c>
      <c r="BG629" s="1211"/>
      <c r="BH629" s="1211"/>
      <c r="BI629" s="1211"/>
      <c r="BJ629" s="1211"/>
      <c r="BK629" s="1211">
        <f t="shared" si="18"/>
        <v>0</v>
      </c>
      <c r="BL629" s="1211"/>
      <c r="BM629" s="1211"/>
      <c r="BN629" s="1211"/>
      <c r="BO629" s="1211"/>
      <c r="BP629" s="1211">
        <f t="shared" si="19"/>
        <v>0</v>
      </c>
      <c r="BQ629" s="1211"/>
      <c r="BR629" s="1211"/>
      <c r="BS629" s="1211"/>
      <c r="BT629" s="1211"/>
      <c r="BU629" s="1211">
        <f t="shared" si="20"/>
        <v>0</v>
      </c>
      <c r="BV629" s="1211"/>
      <c r="BW629" s="1211"/>
      <c r="BX629" s="1211"/>
      <c r="BY629" s="1211"/>
      <c r="BZ629" s="1211">
        <f t="shared" si="21"/>
        <v>0</v>
      </c>
      <c r="CA629" s="1211"/>
      <c r="CB629" s="1211"/>
      <c r="CC629" s="1211"/>
      <c r="CD629" s="1211"/>
      <c r="CE629" s="62"/>
      <c r="CF629" s="62"/>
      <c r="CG629" s="62"/>
      <c r="CH629" s="62"/>
      <c r="CI629" s="62"/>
      <c r="CJ629" s="62"/>
      <c r="CK629" s="62"/>
      <c r="CL629" s="62"/>
      <c r="CM629" s="62"/>
      <c r="CN629" s="62"/>
      <c r="CO629" s="62"/>
      <c r="CP629" s="62"/>
      <c r="CQ629" s="62"/>
      <c r="CR629" s="62"/>
    </row>
    <row r="630" spans="1:96" ht="12.75" customHeight="1">
      <c r="B630" s="1244" t="s">
        <v>136</v>
      </c>
      <c r="C630" s="1244"/>
      <c r="D630" s="1244"/>
      <c r="E630" s="1244"/>
      <c r="F630" s="1244"/>
      <c r="G630" s="1244"/>
      <c r="H630" s="1244"/>
      <c r="I630" s="1244"/>
      <c r="J630" s="1244"/>
      <c r="K630" s="1244"/>
      <c r="L630" s="1244"/>
      <c r="M630" s="1244"/>
      <c r="N630" s="1244"/>
      <c r="O630" s="1244"/>
      <c r="P630" s="1244"/>
      <c r="Q630" s="1244"/>
      <c r="R630" s="1244"/>
      <c r="S630" s="1244"/>
      <c r="T630" s="1244"/>
      <c r="U630" s="1244"/>
      <c r="V630" s="1244"/>
      <c r="W630" s="1244"/>
      <c r="X630" s="1244"/>
      <c r="Y630" s="1244"/>
      <c r="Z630" s="1244"/>
      <c r="AA630" s="1244"/>
      <c r="AB630" s="1244"/>
      <c r="AC630" s="1244"/>
      <c r="AD630" s="1244"/>
      <c r="AE630" s="1244"/>
      <c r="AF630" s="1244"/>
      <c r="AG630" s="1230">
        <f>SUM(AG618:AJ629)</f>
        <v>11214560</v>
      </c>
      <c r="AH630" s="1231"/>
      <c r="AI630" s="1231"/>
      <c r="AJ630" s="1231"/>
      <c r="AK630" s="1232"/>
      <c r="AM630" s="65"/>
      <c r="AN630" s="65"/>
      <c r="AO630" s="65"/>
      <c r="AP630" s="65"/>
      <c r="AQ630" s="65"/>
      <c r="AR630" s="65"/>
      <c r="AS630" s="65"/>
      <c r="AT630" s="65"/>
      <c r="AU630" s="65"/>
      <c r="AV630" s="65"/>
      <c r="AW630" s="65"/>
      <c r="AX630" s="65"/>
      <c r="AY630" s="65"/>
      <c r="AZ630" s="65"/>
      <c r="BA630" s="1149">
        <f t="shared" si="16"/>
        <v>0</v>
      </c>
      <c r="BB630" s="1150"/>
      <c r="BC630" s="1150"/>
      <c r="BD630" s="1150"/>
      <c r="BE630" s="1151"/>
      <c r="BF630" s="1211">
        <f t="shared" si="17"/>
        <v>0</v>
      </c>
      <c r="BG630" s="1211"/>
      <c r="BH630" s="1211"/>
      <c r="BI630" s="1211"/>
      <c r="BJ630" s="1211"/>
      <c r="BK630" s="1211">
        <f t="shared" si="18"/>
        <v>0</v>
      </c>
      <c r="BL630" s="1211"/>
      <c r="BM630" s="1211"/>
      <c r="BN630" s="1211"/>
      <c r="BO630" s="1211"/>
      <c r="BP630" s="1211">
        <f t="shared" si="19"/>
        <v>0</v>
      </c>
      <c r="BQ630" s="1211"/>
      <c r="BR630" s="1211"/>
      <c r="BS630" s="1211"/>
      <c r="BT630" s="1211"/>
      <c r="BU630" s="1211">
        <f t="shared" si="20"/>
        <v>0</v>
      </c>
      <c r="BV630" s="1211"/>
      <c r="BW630" s="1211"/>
      <c r="BX630" s="1211"/>
      <c r="BY630" s="1211"/>
      <c r="BZ630" s="1211">
        <f t="shared" si="21"/>
        <v>0</v>
      </c>
      <c r="CA630" s="1211"/>
      <c r="CB630" s="1211"/>
      <c r="CC630" s="1211"/>
      <c r="CD630" s="1211"/>
      <c r="CE630" s="62"/>
      <c r="CF630" s="62"/>
      <c r="CG630" s="62"/>
      <c r="CH630" s="62"/>
      <c r="CI630" s="62"/>
      <c r="CJ630" s="62"/>
      <c r="CK630" s="62"/>
      <c r="CL630" s="62"/>
      <c r="CM630" s="62"/>
      <c r="CN630" s="62"/>
      <c r="CO630" s="62"/>
      <c r="CP630" s="62"/>
      <c r="CQ630" s="62"/>
      <c r="CR630" s="62"/>
    </row>
    <row r="631" spans="1:96" ht="12.75">
      <c r="B631" s="1244" t="s">
        <v>287</v>
      </c>
      <c r="C631" s="1244"/>
      <c r="D631" s="1244"/>
      <c r="E631" s="1244"/>
      <c r="F631" s="1244"/>
      <c r="G631" s="1244"/>
      <c r="H631" s="1244"/>
      <c r="I631" s="1244"/>
      <c r="J631" s="1244"/>
      <c r="K631" s="1244"/>
      <c r="L631" s="1244"/>
      <c r="M631" s="1244"/>
      <c r="N631" s="1244"/>
      <c r="O631" s="1244"/>
      <c r="P631" s="1244"/>
      <c r="Q631" s="1244"/>
      <c r="R631" s="1244"/>
      <c r="S631" s="1244"/>
      <c r="T631" s="1244"/>
      <c r="U631" s="1244"/>
      <c r="V631" s="1244"/>
      <c r="W631" s="1244"/>
      <c r="X631" s="1244"/>
      <c r="Y631" s="1244"/>
      <c r="Z631" s="1244"/>
      <c r="AA631" s="1244"/>
      <c r="AB631" s="1244"/>
      <c r="AC631" s="1244"/>
      <c r="AD631" s="1244"/>
      <c r="AE631" s="1244"/>
      <c r="AF631" s="1244"/>
      <c r="AG631" s="1160">
        <f>'Basis &amp; Credits'!AB56</f>
        <v>4864199</v>
      </c>
      <c r="AH631" s="1161"/>
      <c r="AI631" s="1161"/>
      <c r="AJ631" s="1161"/>
      <c r="AK631" s="1162"/>
      <c r="AM631" s="65"/>
      <c r="AN631" s="65"/>
      <c r="AO631" s="65"/>
      <c r="AP631" s="65"/>
      <c r="AQ631" s="65"/>
      <c r="AR631" s="65"/>
      <c r="AS631" s="65"/>
      <c r="AT631" s="65"/>
      <c r="AU631" s="65"/>
      <c r="AV631" s="65"/>
      <c r="AW631" s="65"/>
      <c r="AX631" s="65"/>
      <c r="AY631" s="65"/>
      <c r="AZ631" s="65"/>
      <c r="BA631" s="1149">
        <f t="shared" si="16"/>
        <v>0</v>
      </c>
      <c r="BB631" s="1150"/>
      <c r="BC631" s="1150"/>
      <c r="BD631" s="1150"/>
      <c r="BE631" s="1151"/>
      <c r="BF631" s="1211">
        <f t="shared" si="17"/>
        <v>0</v>
      </c>
      <c r="BG631" s="1211"/>
      <c r="BH631" s="1211"/>
      <c r="BI631" s="1211"/>
      <c r="BJ631" s="1211"/>
      <c r="BK631" s="1211">
        <f t="shared" si="18"/>
        <v>0</v>
      </c>
      <c r="BL631" s="1211"/>
      <c r="BM631" s="1211"/>
      <c r="BN631" s="1211"/>
      <c r="BO631" s="1211"/>
      <c r="BP631" s="1211">
        <f t="shared" si="19"/>
        <v>0</v>
      </c>
      <c r="BQ631" s="1211"/>
      <c r="BR631" s="1211"/>
      <c r="BS631" s="1211"/>
      <c r="BT631" s="1211"/>
      <c r="BU631" s="1211">
        <f t="shared" si="20"/>
        <v>0</v>
      </c>
      <c r="BV631" s="1211"/>
      <c r="BW631" s="1211"/>
      <c r="BX631" s="1211"/>
      <c r="BY631" s="1211"/>
      <c r="BZ631" s="1211">
        <f t="shared" si="21"/>
        <v>0</v>
      </c>
      <c r="CA631" s="1211"/>
      <c r="CB631" s="1211"/>
      <c r="CC631" s="1211"/>
      <c r="CD631" s="1211"/>
      <c r="CE631" s="62"/>
      <c r="CF631" s="62"/>
      <c r="CG631" s="62"/>
      <c r="CH631" s="62"/>
      <c r="CI631" s="62"/>
      <c r="CJ631" s="62"/>
      <c r="CK631" s="62"/>
      <c r="CL631" s="62"/>
      <c r="CM631" s="62"/>
      <c r="CN631" s="62"/>
      <c r="CO631" s="62"/>
      <c r="CP631" s="62"/>
      <c r="CQ631" s="62"/>
      <c r="CR631" s="62"/>
    </row>
    <row r="632" spans="1:96" ht="12.75">
      <c r="B632" s="1244" t="s">
        <v>288</v>
      </c>
      <c r="C632" s="1244"/>
      <c r="D632" s="1244"/>
      <c r="E632" s="1244"/>
      <c r="F632" s="1244"/>
      <c r="G632" s="1244"/>
      <c r="H632" s="1244"/>
      <c r="I632" s="1244"/>
      <c r="J632" s="1244"/>
      <c r="K632" s="1244"/>
      <c r="L632" s="1244"/>
      <c r="M632" s="1244"/>
      <c r="N632" s="1244"/>
      <c r="O632" s="1244"/>
      <c r="P632" s="1244"/>
      <c r="Q632" s="1244"/>
      <c r="R632" s="1244"/>
      <c r="S632" s="1244"/>
      <c r="T632" s="1244"/>
      <c r="U632" s="1244"/>
      <c r="V632" s="1244"/>
      <c r="W632" s="1244"/>
      <c r="X632" s="1244"/>
      <c r="Y632" s="1244"/>
      <c r="Z632" s="1244"/>
      <c r="AA632" s="1244"/>
      <c r="AB632" s="1244"/>
      <c r="AC632" s="1244"/>
      <c r="AD632" s="1244"/>
      <c r="AE632" s="1244"/>
      <c r="AF632" s="1244"/>
      <c r="AG632" s="1230">
        <f>AG630+AG631</f>
        <v>16078759</v>
      </c>
      <c r="AH632" s="1231"/>
      <c r="AI632" s="1231"/>
      <c r="AJ632" s="1231"/>
      <c r="AK632" s="1232"/>
      <c r="AM632" s="65"/>
      <c r="AN632" s="65"/>
      <c r="AO632" s="65"/>
      <c r="AP632" s="65"/>
      <c r="AQ632" s="65"/>
      <c r="AR632" s="65"/>
      <c r="AS632" s="65"/>
      <c r="AT632" s="65"/>
      <c r="AU632" s="65"/>
      <c r="AV632" s="65"/>
      <c r="AW632" s="65"/>
      <c r="AX632" s="65"/>
      <c r="AY632" s="65"/>
      <c r="AZ632" s="65"/>
      <c r="BA632" s="1149">
        <f t="shared" si="16"/>
        <v>0</v>
      </c>
      <c r="BB632" s="1150"/>
      <c r="BC632" s="1150"/>
      <c r="BD632" s="1150"/>
      <c r="BE632" s="1151"/>
      <c r="BF632" s="1211">
        <f t="shared" si="17"/>
        <v>0</v>
      </c>
      <c r="BG632" s="1211"/>
      <c r="BH632" s="1211"/>
      <c r="BI632" s="1211"/>
      <c r="BJ632" s="1211"/>
      <c r="BK632" s="1211">
        <f t="shared" si="18"/>
        <v>0</v>
      </c>
      <c r="BL632" s="1211"/>
      <c r="BM632" s="1211"/>
      <c r="BN632" s="1211"/>
      <c r="BO632" s="1211"/>
      <c r="BP632" s="1211">
        <f t="shared" si="19"/>
        <v>0</v>
      </c>
      <c r="BQ632" s="1211"/>
      <c r="BR632" s="1211"/>
      <c r="BS632" s="1211"/>
      <c r="BT632" s="1211"/>
      <c r="BU632" s="1211">
        <f t="shared" si="20"/>
        <v>0</v>
      </c>
      <c r="BV632" s="1211"/>
      <c r="BW632" s="1211"/>
      <c r="BX632" s="1211"/>
      <c r="BY632" s="1211"/>
      <c r="BZ632" s="1211">
        <f t="shared" si="21"/>
        <v>0</v>
      </c>
      <c r="CA632" s="1211"/>
      <c r="CB632" s="1211"/>
      <c r="CC632" s="1211"/>
      <c r="CD632" s="1211"/>
      <c r="CE632" s="62"/>
      <c r="CF632" s="62"/>
      <c r="CG632" s="62"/>
      <c r="CH632" s="62"/>
      <c r="CI632" s="62"/>
      <c r="CJ632" s="62"/>
      <c r="CK632" s="62"/>
      <c r="CL632" s="62"/>
      <c r="CM632" s="62"/>
      <c r="CN632" s="62"/>
      <c r="CO632" s="62"/>
      <c r="CP632" s="62"/>
      <c r="CQ632" s="62"/>
      <c r="CR632" s="62"/>
    </row>
    <row r="633" spans="1:96" ht="12.75">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152">
        <f>SUM(BA623:BE632)</f>
        <v>0</v>
      </c>
      <c r="BB633" s="1153"/>
      <c r="BC633" s="1153"/>
      <c r="BD633" s="1153"/>
      <c r="BE633" s="1154"/>
      <c r="BF633" s="1152">
        <f>SUM(BF623:BJ632)</f>
        <v>0</v>
      </c>
      <c r="BG633" s="1153"/>
      <c r="BH633" s="1153"/>
      <c r="BI633" s="1153"/>
      <c r="BJ633" s="1154"/>
      <c r="BK633" s="1152">
        <f>SUM(BK623:BO632)</f>
        <v>0</v>
      </c>
      <c r="BL633" s="1153"/>
      <c r="BM633" s="1153"/>
      <c r="BN633" s="1153"/>
      <c r="BO633" s="1154"/>
      <c r="BP633" s="1152">
        <f>SUM(BP623:BT632)</f>
        <v>0</v>
      </c>
      <c r="BQ633" s="1153"/>
      <c r="BR633" s="1153"/>
      <c r="BS633" s="1153"/>
      <c r="BT633" s="1154"/>
      <c r="BU633" s="1152">
        <f>SUM(BU623:BY632)</f>
        <v>0</v>
      </c>
      <c r="BV633" s="1153"/>
      <c r="BW633" s="1153"/>
      <c r="BX633" s="1153"/>
      <c r="BY633" s="1154"/>
      <c r="BZ633" s="1152">
        <f>SUM(BZ623:CD632)</f>
        <v>0</v>
      </c>
      <c r="CA633" s="1153"/>
      <c r="CB633" s="1153"/>
      <c r="CC633" s="1153"/>
      <c r="CD633" s="1154"/>
      <c r="CE633" s="62"/>
      <c r="CF633" s="62"/>
      <c r="CG633" s="62"/>
      <c r="CH633" s="62"/>
      <c r="CI633" s="62"/>
      <c r="CJ633" s="62"/>
      <c r="CK633" s="62"/>
      <c r="CL633" s="62"/>
      <c r="CM633" s="62"/>
      <c r="CN633" s="62"/>
      <c r="CO633" s="62"/>
      <c r="CP633" s="62"/>
      <c r="CQ633" s="62"/>
      <c r="CR633" s="62"/>
    </row>
    <row r="634" spans="1:96" ht="12.75">
      <c r="A634" s="91" t="s">
        <v>120</v>
      </c>
      <c r="B634" s="15" t="s">
        <v>539</v>
      </c>
      <c r="G634" s="1123" t="str">
        <f>C618</f>
        <v>Umpqua - Tax exempt bond loan</v>
      </c>
      <c r="H634" s="1123"/>
      <c r="I634" s="1123"/>
      <c r="J634" s="1123"/>
      <c r="K634" s="1123"/>
      <c r="L634" s="1123"/>
      <c r="M634" s="1123"/>
      <c r="N634" s="1123"/>
      <c r="O634" s="1123"/>
      <c r="P634" s="1123"/>
      <c r="Q634" s="1123"/>
      <c r="R634" s="1123"/>
      <c r="S634" s="17"/>
      <c r="T634" s="91" t="s">
        <v>121</v>
      </c>
      <c r="U634" s="15" t="s">
        <v>539</v>
      </c>
      <c r="Z634" s="1123" t="str">
        <f>C619</f>
        <v>Net operating income</v>
      </c>
      <c r="AA634" s="1123"/>
      <c r="AB634" s="1123"/>
      <c r="AC634" s="1123"/>
      <c r="AD634" s="1123"/>
      <c r="AE634" s="1123"/>
      <c r="AF634" s="1123"/>
      <c r="AG634" s="1123"/>
      <c r="AH634" s="1123"/>
      <c r="AI634" s="1123"/>
      <c r="AJ634" s="1123"/>
      <c r="AK634" s="1123"/>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2.75">
      <c r="A635" s="39"/>
      <c r="B635" s="15" t="s">
        <v>93</v>
      </c>
      <c r="G635" s="1121" t="s">
        <v>1715</v>
      </c>
      <c r="H635" s="1121"/>
      <c r="I635" s="1121"/>
      <c r="J635" s="1121"/>
      <c r="K635" s="1121"/>
      <c r="L635" s="1121"/>
      <c r="M635" s="1121"/>
      <c r="N635" s="1121"/>
      <c r="O635" s="1121"/>
      <c r="P635" s="1121"/>
      <c r="Q635" s="1121"/>
      <c r="R635" s="1121"/>
      <c r="S635" s="17"/>
      <c r="T635" s="39"/>
      <c r="U635" s="15" t="s">
        <v>93</v>
      </c>
      <c r="Z635" s="1121"/>
      <c r="AA635" s="1121"/>
      <c r="AB635" s="1121"/>
      <c r="AC635" s="1121"/>
      <c r="AD635" s="1121"/>
      <c r="AE635" s="1121"/>
      <c r="AF635" s="1121"/>
      <c r="AG635" s="1121"/>
      <c r="AH635" s="1121"/>
      <c r="AI635" s="1121"/>
      <c r="AJ635" s="1121"/>
      <c r="AK635" s="1121"/>
      <c r="AM635" s="65"/>
      <c r="AN635" s="65"/>
      <c r="AO635" s="65"/>
      <c r="AP635" s="65"/>
      <c r="AQ635" s="65"/>
      <c r="AR635" s="65"/>
      <c r="AS635" s="65"/>
      <c r="AT635" s="65"/>
      <c r="AU635" s="65"/>
      <c r="AV635" s="65"/>
      <c r="AW635" s="65"/>
      <c r="AX635" s="65"/>
      <c r="AY635" s="65"/>
      <c r="AZ635" s="65"/>
      <c r="BA635" s="1152">
        <f>BA614+BA621+BA633</f>
        <v>0</v>
      </c>
      <c r="BB635" s="1153"/>
      <c r="BC635" s="1153"/>
      <c r="BD635" s="1153"/>
      <c r="BE635" s="1154"/>
      <c r="BF635" s="1152">
        <f>BF614+BF621+BF633</f>
        <v>0</v>
      </c>
      <c r="BG635" s="1153"/>
      <c r="BH635" s="1153"/>
      <c r="BI635" s="1153"/>
      <c r="BJ635" s="1154"/>
      <c r="BK635" s="1152">
        <f>BK614+BK621+BK633</f>
        <v>9</v>
      </c>
      <c r="BL635" s="1153"/>
      <c r="BM635" s="1153"/>
      <c r="BN635" s="1153"/>
      <c r="BO635" s="1154"/>
      <c r="BP635" s="1152">
        <f>BP614+BP621+BP633</f>
        <v>56</v>
      </c>
      <c r="BQ635" s="1153"/>
      <c r="BR635" s="1153"/>
      <c r="BS635" s="1153"/>
      <c r="BT635" s="1154"/>
      <c r="BU635" s="1152">
        <f>BU614+BU621+BU633</f>
        <v>16</v>
      </c>
      <c r="BV635" s="1153"/>
      <c r="BW635" s="1153"/>
      <c r="BX635" s="1153"/>
      <c r="BY635" s="1154"/>
      <c r="BZ635" s="1525">
        <f>BZ633+BZ621+BZ614</f>
        <v>0</v>
      </c>
      <c r="CA635" s="1528"/>
      <c r="CB635" s="1528"/>
      <c r="CC635" s="1528"/>
      <c r="CD635" s="1526"/>
      <c r="CE635" s="62"/>
      <c r="CF635" s="62"/>
      <c r="CG635" s="62"/>
      <c r="CH635" s="62"/>
      <c r="CI635" s="62"/>
      <c r="CJ635" s="62"/>
      <c r="CK635" s="62"/>
      <c r="CL635" s="62"/>
      <c r="CM635" s="62"/>
      <c r="CN635" s="62"/>
      <c r="CO635" s="62"/>
      <c r="CP635" s="62"/>
      <c r="CQ635" s="62"/>
      <c r="CR635" s="62"/>
    </row>
    <row r="636" spans="1:96" ht="12.75">
      <c r="A636" s="39"/>
      <c r="B636" s="15" t="s">
        <v>661</v>
      </c>
      <c r="G636" s="1121" t="s">
        <v>74</v>
      </c>
      <c r="H636" s="1121"/>
      <c r="I636" s="1121"/>
      <c r="J636" s="1121"/>
      <c r="K636" s="1121"/>
      <c r="L636" s="1121"/>
      <c r="M636" s="1121"/>
      <c r="N636" s="1121"/>
      <c r="O636" s="1121"/>
      <c r="P636" s="1121"/>
      <c r="Q636" s="1121"/>
      <c r="R636" s="1121"/>
      <c r="S636" s="92"/>
      <c r="T636" s="39"/>
      <c r="U636" s="15" t="s">
        <v>661</v>
      </c>
      <c r="Z636" s="1141"/>
      <c r="AA636" s="1141"/>
      <c r="AB636" s="1141"/>
      <c r="AC636" s="1141"/>
      <c r="AD636" s="1141"/>
      <c r="AE636" s="1141"/>
      <c r="AF636" s="1141"/>
      <c r="AG636" s="1141"/>
      <c r="AH636" s="1141"/>
      <c r="AI636" s="1141"/>
      <c r="AJ636" s="1141"/>
      <c r="AK636" s="1141"/>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2.75">
      <c r="A637" s="39"/>
      <c r="B637" s="15" t="s">
        <v>20</v>
      </c>
      <c r="G637" s="1121" t="s">
        <v>1713</v>
      </c>
      <c r="H637" s="1121"/>
      <c r="I637" s="1121"/>
      <c r="J637" s="1121"/>
      <c r="K637" s="1121"/>
      <c r="L637" s="1121"/>
      <c r="M637" s="1121"/>
      <c r="N637" s="1121"/>
      <c r="O637" s="1121"/>
      <c r="P637" s="1121"/>
      <c r="Q637" s="1121"/>
      <c r="R637" s="1121"/>
      <c r="S637" s="17"/>
      <c r="T637" s="39"/>
      <c r="U637" s="15" t="s">
        <v>20</v>
      </c>
      <c r="Z637" s="1141"/>
      <c r="AA637" s="1141"/>
      <c r="AB637" s="1141"/>
      <c r="AC637" s="1141"/>
      <c r="AD637" s="1141"/>
      <c r="AE637" s="1141"/>
      <c r="AF637" s="1141"/>
      <c r="AG637" s="1141"/>
      <c r="AH637" s="1141"/>
      <c r="AI637" s="1141"/>
      <c r="AJ637" s="1141"/>
      <c r="AK637" s="1141"/>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2.75">
      <c r="A638" s="39"/>
      <c r="B638" s="15" t="s">
        <v>342</v>
      </c>
      <c r="G638" s="1124" t="s">
        <v>1714</v>
      </c>
      <c r="H638" s="1125"/>
      <c r="I638" s="1125"/>
      <c r="J638" s="1125"/>
      <c r="K638" s="1125"/>
      <c r="L638" s="1125"/>
      <c r="O638" s="144" t="s">
        <v>224</v>
      </c>
      <c r="P638" s="1126"/>
      <c r="Q638" s="1126"/>
      <c r="R638" s="1126"/>
      <c r="S638" s="19"/>
      <c r="T638" s="39"/>
      <c r="U638" s="15" t="s">
        <v>342</v>
      </c>
      <c r="Z638" s="1125"/>
      <c r="AA638" s="1125"/>
      <c r="AB638" s="1125"/>
      <c r="AC638" s="1125"/>
      <c r="AD638" s="1125"/>
      <c r="AE638" s="1125"/>
      <c r="AH638" s="144" t="s">
        <v>224</v>
      </c>
      <c r="AI638" s="1126"/>
      <c r="AJ638" s="1126"/>
      <c r="AK638" s="1126"/>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2.75">
      <c r="A639" s="39"/>
      <c r="B639" s="15" t="s">
        <v>21</v>
      </c>
      <c r="H639" s="1121" t="s">
        <v>1671</v>
      </c>
      <c r="I639" s="1121"/>
      <c r="J639" s="1121"/>
      <c r="K639" s="1121"/>
      <c r="L639" s="1121"/>
      <c r="M639" s="1121"/>
      <c r="N639" s="1121"/>
      <c r="O639" s="1121"/>
      <c r="P639" s="1121"/>
      <c r="Q639" s="1121"/>
      <c r="R639" s="1121"/>
      <c r="S639" s="17"/>
      <c r="T639" s="39"/>
      <c r="U639" s="15" t="s">
        <v>21</v>
      </c>
      <c r="AA639" s="1121"/>
      <c r="AB639" s="1121"/>
      <c r="AC639" s="1121"/>
      <c r="AD639" s="1121"/>
      <c r="AE639" s="1121"/>
      <c r="AF639" s="1121"/>
      <c r="AG639" s="1121"/>
      <c r="AH639" s="1121"/>
      <c r="AI639" s="1121"/>
      <c r="AJ639" s="1121"/>
      <c r="AK639" s="1121"/>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2.75">
      <c r="A640" s="39"/>
      <c r="B640" s="15" t="s">
        <v>23</v>
      </c>
      <c r="N640" s="1122" t="s">
        <v>622</v>
      </c>
      <c r="O640" s="1122"/>
      <c r="T640" s="39"/>
      <c r="U640" s="15" t="s">
        <v>23</v>
      </c>
      <c r="AG640" s="1122" t="s">
        <v>622</v>
      </c>
      <c r="AH640" s="1122"/>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2.75">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2.75">
      <c r="A642" s="91" t="s">
        <v>127</v>
      </c>
      <c r="B642" s="15" t="s">
        <v>539</v>
      </c>
      <c r="G642" s="1123" t="str">
        <f>C620</f>
        <v>Deferred Developer Fee</v>
      </c>
      <c r="H642" s="1123"/>
      <c r="I642" s="1123"/>
      <c r="J642" s="1123"/>
      <c r="K642" s="1123"/>
      <c r="L642" s="1123"/>
      <c r="M642" s="1123"/>
      <c r="N642" s="1123"/>
      <c r="O642" s="1123"/>
      <c r="P642" s="1123"/>
      <c r="Q642" s="1123"/>
      <c r="R642" s="1123"/>
      <c r="T642" s="91" t="s">
        <v>662</v>
      </c>
      <c r="U642" s="15" t="s">
        <v>539</v>
      </c>
      <c r="Z642" s="1123">
        <f>C621</f>
        <v>0</v>
      </c>
      <c r="AA642" s="1123"/>
      <c r="AB642" s="1123"/>
      <c r="AC642" s="1123"/>
      <c r="AD642" s="1123"/>
      <c r="AE642" s="1123"/>
      <c r="AF642" s="1123"/>
      <c r="AG642" s="1123"/>
      <c r="AH642" s="1123"/>
      <c r="AI642" s="1123"/>
      <c r="AJ642" s="1123"/>
      <c r="AK642" s="1123"/>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2.75">
      <c r="A643" s="39"/>
      <c r="B643" s="15" t="s">
        <v>93</v>
      </c>
      <c r="G643" s="1121" t="s">
        <v>1612</v>
      </c>
      <c r="H643" s="1121"/>
      <c r="I643" s="1121"/>
      <c r="J643" s="1121"/>
      <c r="K643" s="1121"/>
      <c r="L643" s="1121"/>
      <c r="M643" s="1121"/>
      <c r="N643" s="1121"/>
      <c r="O643" s="1121"/>
      <c r="P643" s="1121"/>
      <c r="Q643" s="1121"/>
      <c r="R643" s="1121"/>
      <c r="T643" s="39"/>
      <c r="U643" s="15" t="s">
        <v>93</v>
      </c>
      <c r="Z643" s="1121"/>
      <c r="AA643" s="1121"/>
      <c r="AB643" s="1121"/>
      <c r="AC643" s="1121"/>
      <c r="AD643" s="1121"/>
      <c r="AE643" s="1121"/>
      <c r="AF643" s="1121"/>
      <c r="AG643" s="1121"/>
      <c r="AH643" s="1121"/>
      <c r="AI643" s="1121"/>
      <c r="AJ643" s="1121"/>
      <c r="AK643" s="1121"/>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661</v>
      </c>
      <c r="G644" s="1141" t="s">
        <v>1613</v>
      </c>
      <c r="H644" s="1141"/>
      <c r="I644" s="1141"/>
      <c r="J644" s="1141"/>
      <c r="K644" s="1141"/>
      <c r="L644" s="1141"/>
      <c r="M644" s="1141"/>
      <c r="N644" s="1141"/>
      <c r="O644" s="1141"/>
      <c r="P644" s="1141"/>
      <c r="Q644" s="1141"/>
      <c r="R644" s="1141"/>
      <c r="T644" s="39"/>
      <c r="U644" s="15" t="s">
        <v>661</v>
      </c>
      <c r="Z644" s="1141"/>
      <c r="AA644" s="1141"/>
      <c r="AB644" s="1141"/>
      <c r="AC644" s="1141"/>
      <c r="AD644" s="1141"/>
      <c r="AE644" s="1141"/>
      <c r="AF644" s="1141"/>
      <c r="AG644" s="1141"/>
      <c r="AH644" s="1141"/>
      <c r="AI644" s="1141"/>
      <c r="AJ644" s="1141"/>
      <c r="AK644" s="1141"/>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41" t="s">
        <v>1615</v>
      </c>
      <c r="H645" s="1141"/>
      <c r="I645" s="1141"/>
      <c r="J645" s="1141"/>
      <c r="K645" s="1141"/>
      <c r="L645" s="1141"/>
      <c r="M645" s="1141"/>
      <c r="N645" s="1141"/>
      <c r="O645" s="1141"/>
      <c r="P645" s="1141"/>
      <c r="Q645" s="1141"/>
      <c r="R645" s="1141"/>
      <c r="T645" s="39"/>
      <c r="U645" s="15" t="s">
        <v>20</v>
      </c>
      <c r="Z645" s="1141"/>
      <c r="AA645" s="1141"/>
      <c r="AB645" s="1141"/>
      <c r="AC645" s="1141"/>
      <c r="AD645" s="1141"/>
      <c r="AE645" s="1141"/>
      <c r="AF645" s="1141"/>
      <c r="AG645" s="1141"/>
      <c r="AH645" s="1141"/>
      <c r="AI645" s="1141"/>
      <c r="AJ645" s="1141"/>
      <c r="AK645" s="1141"/>
      <c r="AM645" s="62"/>
      <c r="AN645" s="62"/>
      <c r="AO645" s="62"/>
      <c r="AP645" s="62"/>
      <c r="AQ645" s="62"/>
      <c r="AR645" s="62"/>
      <c r="AS645" s="62"/>
      <c r="AT645" s="62"/>
      <c r="AU645" s="62"/>
      <c r="AV645" s="62"/>
      <c r="AW645" s="62"/>
      <c r="AX645" s="62"/>
      <c r="AY645" s="62"/>
      <c r="AZ645" s="62"/>
      <c r="BA645" s="62"/>
      <c r="BB645" s="62"/>
      <c r="BC645" s="336" t="s">
        <v>1509</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2.75">
      <c r="A646" s="39"/>
      <c r="B646" s="15" t="s">
        <v>342</v>
      </c>
      <c r="G646" s="1124" t="s">
        <v>1616</v>
      </c>
      <c r="H646" s="1125"/>
      <c r="I646" s="1125"/>
      <c r="J646" s="1125"/>
      <c r="K646" s="1125"/>
      <c r="L646" s="1125"/>
      <c r="O646" s="144" t="s">
        <v>224</v>
      </c>
      <c r="P646" s="1126"/>
      <c r="Q646" s="1126"/>
      <c r="R646" s="1126"/>
      <c r="T646" s="39"/>
      <c r="U646" s="15" t="s">
        <v>342</v>
      </c>
      <c r="Z646" s="1125"/>
      <c r="AA646" s="1125"/>
      <c r="AB646" s="1125"/>
      <c r="AC646" s="1125"/>
      <c r="AD646" s="1125"/>
      <c r="AE646" s="1125"/>
      <c r="AH646" s="144" t="s">
        <v>224</v>
      </c>
      <c r="AI646" s="1126"/>
      <c r="AJ646" s="1126"/>
      <c r="AK646" s="1126"/>
      <c r="AM646" s="62"/>
      <c r="AN646" s="62"/>
      <c r="AO646" s="62"/>
      <c r="AP646" s="62"/>
      <c r="AQ646" s="62"/>
      <c r="AR646" s="62"/>
      <c r="AS646" s="62"/>
      <c r="AT646" s="62"/>
      <c r="AU646" s="62"/>
      <c r="AV646" s="62"/>
      <c r="AW646" s="62"/>
      <c r="AX646" s="62"/>
      <c r="AY646" s="62"/>
      <c r="AZ646" s="62"/>
      <c r="BA646" s="62"/>
      <c r="BB646" s="62"/>
      <c r="BC646" s="487" t="s">
        <v>731</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2.75">
      <c r="A647" s="39"/>
      <c r="B647" s="15" t="s">
        <v>21</v>
      </c>
      <c r="H647" s="1121" t="s">
        <v>1664</v>
      </c>
      <c r="I647" s="1121"/>
      <c r="J647" s="1121"/>
      <c r="K647" s="1121"/>
      <c r="L647" s="1121"/>
      <c r="M647" s="1121"/>
      <c r="N647" s="1121"/>
      <c r="O647" s="1121"/>
      <c r="P647" s="1121"/>
      <c r="Q647" s="1121"/>
      <c r="R647" s="1121"/>
      <c r="T647" s="39"/>
      <c r="U647" s="15" t="s">
        <v>21</v>
      </c>
      <c r="AA647" s="1121"/>
      <c r="AB647" s="1121"/>
      <c r="AC647" s="1121"/>
      <c r="AD647" s="1121"/>
      <c r="AE647" s="1121"/>
      <c r="AF647" s="1121"/>
      <c r="AG647" s="1121"/>
      <c r="AH647" s="1121"/>
      <c r="AI647" s="1121"/>
      <c r="AJ647" s="1121"/>
      <c r="AK647" s="1121"/>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5" thickBot="1">
      <c r="A648" s="39"/>
      <c r="B648" s="15" t="s">
        <v>23</v>
      </c>
      <c r="N648" s="1122" t="s">
        <v>622</v>
      </c>
      <c r="O648" s="1122"/>
      <c r="T648" s="39"/>
      <c r="U648" s="15" t="s">
        <v>23</v>
      </c>
      <c r="AG648" s="1122" t="s">
        <v>755</v>
      </c>
      <c r="AH648" s="1122"/>
      <c r="AM648" s="62"/>
      <c r="AN648" s="340" t="s">
        <v>733</v>
      </c>
      <c r="AO648" s="62"/>
      <c r="AP648" s="62"/>
      <c r="AQ648" s="62"/>
      <c r="AR648" s="62"/>
      <c r="AS648" s="421"/>
      <c r="AT648" s="365" t="s">
        <v>1028</v>
      </c>
      <c r="AU648" s="421"/>
      <c r="AV648" s="421"/>
      <c r="AW648" s="62"/>
      <c r="AX648" s="62"/>
      <c r="AY648" s="62"/>
      <c r="AZ648" s="62"/>
      <c r="BA648" s="62"/>
      <c r="BB648" s="62"/>
      <c r="BC648" s="593" t="s">
        <v>732</v>
      </c>
      <c r="BD648" s="594" t="s">
        <v>351</v>
      </c>
      <c r="BE648" s="594" t="s">
        <v>352</v>
      </c>
      <c r="BF648" s="594" t="s">
        <v>174</v>
      </c>
      <c r="BG648" s="594" t="s">
        <v>175</v>
      </c>
      <c r="BH648" s="594" t="s">
        <v>176</v>
      </c>
      <c r="BI648" s="594"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2.75">
      <c r="A649" s="39"/>
      <c r="T649" s="39"/>
      <c r="AM649" s="62"/>
      <c r="AN649" s="485">
        <f t="shared" ref="AN649:AN673" si="22">IF($G709=0,"N/A",VLOOKUP($T$191,TC_Rent,(MATCH($B709,bedrooms,FALSE))))</f>
        <v>2210</v>
      </c>
      <c r="AO649" s="62"/>
      <c r="AP649" s="62"/>
      <c r="AQ649" s="62"/>
      <c r="AR649" s="62"/>
      <c r="AS649" s="421"/>
      <c r="AT649" s="493" t="s">
        <v>1029</v>
      </c>
      <c r="AU649" s="498" t="s">
        <v>1030</v>
      </c>
      <c r="AV649" s="497" t="s">
        <v>1031</v>
      </c>
      <c r="AW649" s="62"/>
      <c r="AX649" s="62"/>
      <c r="AY649" s="62"/>
      <c r="AZ649" s="62"/>
      <c r="BA649" s="62"/>
      <c r="BB649" s="62"/>
      <c r="BC649" s="595" t="s">
        <v>552</v>
      </c>
      <c r="BD649" s="822">
        <v>2034</v>
      </c>
      <c r="BE649" s="823">
        <v>2180</v>
      </c>
      <c r="BF649" s="824">
        <v>2614</v>
      </c>
      <c r="BG649" s="823">
        <v>3020</v>
      </c>
      <c r="BH649" s="824">
        <v>3370</v>
      </c>
      <c r="BI649" s="825">
        <v>3718</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2.75">
      <c r="A650" s="91" t="s">
        <v>874</v>
      </c>
      <c r="B650" s="15" t="s">
        <v>539</v>
      </c>
      <c r="G650" s="1123">
        <f>C622</f>
        <v>0</v>
      </c>
      <c r="H650" s="1123"/>
      <c r="I650" s="1123"/>
      <c r="J650" s="1123"/>
      <c r="K650" s="1123"/>
      <c r="L650" s="1123"/>
      <c r="M650" s="1123"/>
      <c r="N650" s="1123"/>
      <c r="O650" s="1123"/>
      <c r="P650" s="1123"/>
      <c r="Q650" s="1123"/>
      <c r="R650" s="1123"/>
      <c r="T650" s="91" t="s">
        <v>665</v>
      </c>
      <c r="U650" s="15" t="s">
        <v>539</v>
      </c>
      <c r="Z650" s="1123">
        <f>C623</f>
        <v>0</v>
      </c>
      <c r="AA650" s="1123"/>
      <c r="AB650" s="1123"/>
      <c r="AC650" s="1123"/>
      <c r="AD650" s="1123"/>
      <c r="AE650" s="1123"/>
      <c r="AF650" s="1123"/>
      <c r="AG650" s="1123"/>
      <c r="AH650" s="1123"/>
      <c r="AI650" s="1123"/>
      <c r="AJ650" s="1123"/>
      <c r="AK650" s="1123"/>
      <c r="AM650" s="62"/>
      <c r="AN650" s="485">
        <f t="shared" si="22"/>
        <v>2210</v>
      </c>
      <c r="AO650" s="62"/>
      <c r="AP650" s="62"/>
      <c r="AQ650" s="62"/>
      <c r="AR650" s="62"/>
      <c r="AS650" s="421"/>
      <c r="AT650" s="495">
        <f t="shared" ref="AT650:AT674" si="23">G709</f>
        <v>4</v>
      </c>
      <c r="AU650" s="499">
        <f>AT650/$AT$675</f>
        <v>0.05</v>
      </c>
      <c r="AV650" s="500">
        <f t="shared" ref="AV650:AV674" si="24">IF(AU650=0," ",AU650*AD709)</f>
        <v>1.4999999999999999E-2</v>
      </c>
      <c r="AW650" s="62"/>
      <c r="AX650" s="62"/>
      <c r="AY650" s="62"/>
      <c r="AZ650" s="62"/>
      <c r="BA650" s="62"/>
      <c r="BB650" s="62"/>
      <c r="BC650" s="596" t="s">
        <v>553</v>
      </c>
      <c r="BD650" s="826">
        <v>1362</v>
      </c>
      <c r="BE650" s="827">
        <v>1460</v>
      </c>
      <c r="BF650" s="826">
        <v>1752</v>
      </c>
      <c r="BG650" s="827">
        <v>2022</v>
      </c>
      <c r="BH650" s="827">
        <v>2256</v>
      </c>
      <c r="BI650" s="828">
        <v>2490</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2.75">
      <c r="A651" s="39"/>
      <c r="B651" s="15" t="s">
        <v>93</v>
      </c>
      <c r="G651" s="1121"/>
      <c r="H651" s="1121"/>
      <c r="I651" s="1121"/>
      <c r="J651" s="1121"/>
      <c r="K651" s="1121"/>
      <c r="L651" s="1121"/>
      <c r="M651" s="1121"/>
      <c r="N651" s="1121"/>
      <c r="O651" s="1121"/>
      <c r="P651" s="1121"/>
      <c r="Q651" s="1121"/>
      <c r="R651" s="1121"/>
      <c r="T651" s="39"/>
      <c r="U651" s="15" t="s">
        <v>93</v>
      </c>
      <c r="Z651" s="1121"/>
      <c r="AA651" s="1121"/>
      <c r="AB651" s="1121"/>
      <c r="AC651" s="1121"/>
      <c r="AD651" s="1121"/>
      <c r="AE651" s="1121"/>
      <c r="AF651" s="1121"/>
      <c r="AG651" s="1121"/>
      <c r="AH651" s="1121"/>
      <c r="AI651" s="1121"/>
      <c r="AJ651" s="1121"/>
      <c r="AK651" s="1121"/>
      <c r="AM651" s="62"/>
      <c r="AN651" s="485">
        <f t="shared" si="22"/>
        <v>2552</v>
      </c>
      <c r="AO651" s="62"/>
      <c r="AP651" s="62"/>
      <c r="AQ651" s="62"/>
      <c r="AR651" s="62"/>
      <c r="AS651" s="421"/>
      <c r="AT651" s="496">
        <f t="shared" si="23"/>
        <v>4</v>
      </c>
      <c r="AU651" s="499">
        <f t="shared" ref="AU651:AU674" si="25">AT651/$AT$675</f>
        <v>0.05</v>
      </c>
      <c r="AV651" s="500">
        <f t="shared" si="24"/>
        <v>2.0000000000000004E-2</v>
      </c>
      <c r="AW651" s="62"/>
      <c r="AX651" s="62"/>
      <c r="AY651" s="62"/>
      <c r="AZ651" s="62"/>
      <c r="BA651" s="62"/>
      <c r="BB651" s="62"/>
      <c r="BC651" s="596" t="s">
        <v>554</v>
      </c>
      <c r="BD651" s="829">
        <v>1290</v>
      </c>
      <c r="BE651" s="830">
        <v>1380</v>
      </c>
      <c r="BF651" s="829">
        <v>1656</v>
      </c>
      <c r="BG651" s="830">
        <v>1912</v>
      </c>
      <c r="BH651" s="830">
        <v>2134</v>
      </c>
      <c r="BI651" s="831">
        <v>2356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2.75">
      <c r="A652" s="39"/>
      <c r="B652" s="15" t="s">
        <v>661</v>
      </c>
      <c r="G652" s="1121"/>
      <c r="H652" s="1121"/>
      <c r="I652" s="1121"/>
      <c r="J652" s="1121"/>
      <c r="K652" s="1121"/>
      <c r="L652" s="1121"/>
      <c r="M652" s="1121"/>
      <c r="N652" s="1121"/>
      <c r="O652" s="1121"/>
      <c r="P652" s="1121"/>
      <c r="Q652" s="1121"/>
      <c r="R652" s="1121"/>
      <c r="T652" s="39"/>
      <c r="U652" s="15" t="s">
        <v>661</v>
      </c>
      <c r="Z652" s="1141"/>
      <c r="AA652" s="1141"/>
      <c r="AB652" s="1141"/>
      <c r="AC652" s="1141"/>
      <c r="AD652" s="1141"/>
      <c r="AE652" s="1141"/>
      <c r="AF652" s="1141"/>
      <c r="AG652" s="1141"/>
      <c r="AH652" s="1141"/>
      <c r="AI652" s="1141"/>
      <c r="AJ652" s="1141"/>
      <c r="AK652" s="1141"/>
      <c r="AM652" s="62"/>
      <c r="AN652" s="485">
        <f t="shared" si="22"/>
        <v>2552</v>
      </c>
      <c r="AO652" s="62"/>
      <c r="AP652" s="62"/>
      <c r="AQ652" s="62"/>
      <c r="AR652" s="62"/>
      <c r="AS652" s="421"/>
      <c r="AT652" s="496">
        <f t="shared" si="23"/>
        <v>10</v>
      </c>
      <c r="AU652" s="499">
        <f t="shared" si="25"/>
        <v>0.125</v>
      </c>
      <c r="AV652" s="500">
        <f t="shared" si="24"/>
        <v>3.7499999999999999E-2</v>
      </c>
      <c r="AW652" s="62"/>
      <c r="AX652" s="62"/>
      <c r="AY652" s="62"/>
      <c r="AZ652" s="62"/>
      <c r="BA652" s="62"/>
      <c r="BB652" s="62"/>
      <c r="BC652" s="596" t="s">
        <v>555</v>
      </c>
      <c r="BD652" s="829">
        <v>1060</v>
      </c>
      <c r="BE652" s="830">
        <v>1134</v>
      </c>
      <c r="BF652" s="829">
        <v>1362</v>
      </c>
      <c r="BG652" s="830">
        <v>1572</v>
      </c>
      <c r="BH652" s="830">
        <v>1754</v>
      </c>
      <c r="BI652" s="831">
        <v>1936</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2.75">
      <c r="A653" s="39"/>
      <c r="B653" s="15" t="s">
        <v>20</v>
      </c>
      <c r="G653" s="1121"/>
      <c r="H653" s="1121"/>
      <c r="I653" s="1121"/>
      <c r="J653" s="1121"/>
      <c r="K653" s="1121"/>
      <c r="L653" s="1121"/>
      <c r="M653" s="1121"/>
      <c r="N653" s="1121"/>
      <c r="O653" s="1121"/>
      <c r="P653" s="1121"/>
      <c r="Q653" s="1121"/>
      <c r="R653" s="1121"/>
      <c r="T653" s="39"/>
      <c r="U653" s="15" t="s">
        <v>20</v>
      </c>
      <c r="Z653" s="1141"/>
      <c r="AA653" s="1141"/>
      <c r="AB653" s="1141"/>
      <c r="AC653" s="1141"/>
      <c r="AD653" s="1141"/>
      <c r="AE653" s="1141"/>
      <c r="AF653" s="1141"/>
      <c r="AG653" s="1141"/>
      <c r="AH653" s="1141"/>
      <c r="AI653" s="1141"/>
      <c r="AJ653" s="1141"/>
      <c r="AK653" s="1141"/>
      <c r="AM653" s="62"/>
      <c r="AN653" s="485">
        <f t="shared" si="22"/>
        <v>2552</v>
      </c>
      <c r="AO653" s="62"/>
      <c r="AP653" s="62"/>
      <c r="AQ653" s="62"/>
      <c r="AR653" s="62"/>
      <c r="AS653" s="421"/>
      <c r="AT653" s="496">
        <f t="shared" si="23"/>
        <v>32</v>
      </c>
      <c r="AU653" s="499">
        <f t="shared" si="25"/>
        <v>0.4</v>
      </c>
      <c r="AV653" s="500">
        <f t="shared" si="24"/>
        <v>0.16000000000000003</v>
      </c>
      <c r="AW653" s="62"/>
      <c r="AX653" s="62"/>
      <c r="AY653" s="62"/>
      <c r="AZ653" s="62"/>
      <c r="BA653" s="62"/>
      <c r="BB653" s="62"/>
      <c r="BC653" s="596" t="s">
        <v>556</v>
      </c>
      <c r="BD653" s="829">
        <v>1266</v>
      </c>
      <c r="BE653" s="830">
        <v>1356</v>
      </c>
      <c r="BF653" s="829">
        <v>1626</v>
      </c>
      <c r="BG653" s="830">
        <v>1880</v>
      </c>
      <c r="BH653" s="830">
        <v>2096</v>
      </c>
      <c r="BI653" s="831">
        <v>2314</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2.75">
      <c r="A654" s="39"/>
      <c r="B654" s="15" t="s">
        <v>342</v>
      </c>
      <c r="G654" s="1125"/>
      <c r="H654" s="1125"/>
      <c r="I654" s="1125"/>
      <c r="J654" s="1125"/>
      <c r="K654" s="1125"/>
      <c r="L654" s="1125"/>
      <c r="O654" s="144" t="s">
        <v>224</v>
      </c>
      <c r="P654" s="1126"/>
      <c r="Q654" s="1126"/>
      <c r="R654" s="1126"/>
      <c r="T654" s="39"/>
      <c r="U654" s="15" t="s">
        <v>342</v>
      </c>
      <c r="Z654" s="1125"/>
      <c r="AA654" s="1125"/>
      <c r="AB654" s="1125"/>
      <c r="AC654" s="1125"/>
      <c r="AD654" s="1125"/>
      <c r="AE654" s="1125"/>
      <c r="AH654" s="144" t="s">
        <v>224</v>
      </c>
      <c r="AI654" s="1126"/>
      <c r="AJ654" s="1126"/>
      <c r="AK654" s="1126"/>
      <c r="AM654" s="62"/>
      <c r="AN654" s="485">
        <f t="shared" si="22"/>
        <v>2850</v>
      </c>
      <c r="AO654" s="62"/>
      <c r="AP654" s="62"/>
      <c r="AQ654" s="62"/>
      <c r="AR654" s="62"/>
      <c r="AS654" s="421"/>
      <c r="AT654" s="496">
        <f t="shared" si="23"/>
        <v>14</v>
      </c>
      <c r="AU654" s="499">
        <f t="shared" si="25"/>
        <v>0.17499999999999999</v>
      </c>
      <c r="AV654" s="500">
        <f t="shared" si="24"/>
        <v>8.7499999999999994E-2</v>
      </c>
      <c r="AW654" s="62"/>
      <c r="AX654" s="62"/>
      <c r="AY654" s="62"/>
      <c r="AZ654" s="62"/>
      <c r="BA654" s="62"/>
      <c r="BB654" s="62"/>
      <c r="BC654" s="596" t="s">
        <v>557</v>
      </c>
      <c r="BD654" s="829">
        <v>1044</v>
      </c>
      <c r="BE654" s="830">
        <v>1120</v>
      </c>
      <c r="BF654" s="829">
        <v>1344</v>
      </c>
      <c r="BG654" s="830">
        <v>1552</v>
      </c>
      <c r="BH654" s="830">
        <v>1732</v>
      </c>
      <c r="BI654" s="831">
        <v>1912</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2.75">
      <c r="A655" s="39"/>
      <c r="B655" s="15" t="s">
        <v>21</v>
      </c>
      <c r="H655" s="1121"/>
      <c r="I655" s="1121"/>
      <c r="J655" s="1121"/>
      <c r="K655" s="1121"/>
      <c r="L655" s="1121"/>
      <c r="M655" s="1121"/>
      <c r="N655" s="1121"/>
      <c r="O655" s="1121"/>
      <c r="P655" s="1121"/>
      <c r="Q655" s="1121"/>
      <c r="R655" s="1121"/>
      <c r="T655" s="39"/>
      <c r="U655" s="15" t="s">
        <v>21</v>
      </c>
      <c r="AA655" s="1121"/>
      <c r="AB655" s="1121"/>
      <c r="AC655" s="1121"/>
      <c r="AD655" s="1121"/>
      <c r="AE655" s="1121"/>
      <c r="AF655" s="1121"/>
      <c r="AG655" s="1121"/>
      <c r="AH655" s="1121"/>
      <c r="AI655" s="1121"/>
      <c r="AJ655" s="1121"/>
      <c r="AK655" s="1121"/>
      <c r="AM655" s="62"/>
      <c r="AN655" s="485">
        <f t="shared" si="22"/>
        <v>2850</v>
      </c>
      <c r="AO655" s="62"/>
      <c r="AP655" s="62"/>
      <c r="AQ655" s="62"/>
      <c r="AR655" s="62"/>
      <c r="AS655" s="421"/>
      <c r="AT655" s="496">
        <f t="shared" si="23"/>
        <v>6</v>
      </c>
      <c r="AU655" s="499">
        <f t="shared" si="25"/>
        <v>7.4999999999999997E-2</v>
      </c>
      <c r="AV655" s="500">
        <f t="shared" si="24"/>
        <v>2.2499999999999999E-2</v>
      </c>
      <c r="AW655" s="62"/>
      <c r="AX655" s="62"/>
      <c r="AY655" s="62"/>
      <c r="AZ655" s="62"/>
      <c r="BA655" s="62"/>
      <c r="BB655" s="62"/>
      <c r="BC655" s="596" t="s">
        <v>558</v>
      </c>
      <c r="BD655" s="829">
        <v>2034</v>
      </c>
      <c r="BE655" s="830">
        <v>2180</v>
      </c>
      <c r="BF655" s="829">
        <v>2614</v>
      </c>
      <c r="BG655" s="830">
        <v>3020</v>
      </c>
      <c r="BH655" s="830">
        <v>3370</v>
      </c>
      <c r="BI655" s="831">
        <v>3718</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2.75">
      <c r="A656" s="39"/>
      <c r="B656" s="15" t="s">
        <v>23</v>
      </c>
      <c r="N656" s="1122" t="s">
        <v>755</v>
      </c>
      <c r="O656" s="1122"/>
      <c r="T656" s="39"/>
      <c r="U656" s="15" t="s">
        <v>23</v>
      </c>
      <c r="AG656" s="1122" t="s">
        <v>755</v>
      </c>
      <c r="AH656" s="1122"/>
      <c r="AM656" s="62"/>
      <c r="AN656" s="485">
        <f t="shared" si="22"/>
        <v>2850</v>
      </c>
      <c r="AO656" s="62"/>
      <c r="AP656" s="62"/>
      <c r="AQ656" s="62"/>
      <c r="AR656" s="62"/>
      <c r="AS656" s="421"/>
      <c r="AT656" s="496">
        <f t="shared" si="23"/>
        <v>5</v>
      </c>
      <c r="AU656" s="499">
        <f t="shared" si="25"/>
        <v>6.25E-2</v>
      </c>
      <c r="AV656" s="500">
        <f t="shared" si="24"/>
        <v>2.5000000000000001E-2</v>
      </c>
      <c r="AW656" s="62"/>
      <c r="AX656" s="62"/>
      <c r="AY656" s="62"/>
      <c r="AZ656" s="62"/>
      <c r="BA656" s="62"/>
      <c r="BB656" s="62"/>
      <c r="BC656" s="596" t="s">
        <v>559</v>
      </c>
      <c r="BD656" s="829">
        <v>1044</v>
      </c>
      <c r="BE656" s="830">
        <v>1120</v>
      </c>
      <c r="BF656" s="829">
        <v>1344</v>
      </c>
      <c r="BG656" s="830">
        <v>1552</v>
      </c>
      <c r="BH656" s="830">
        <v>1732</v>
      </c>
      <c r="BI656" s="831">
        <v>1912</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2.75">
      <c r="A657" s="39"/>
      <c r="T657" s="39"/>
      <c r="AM657" s="62"/>
      <c r="AN657" s="485" t="str">
        <f t="shared" si="22"/>
        <v>N/A</v>
      </c>
      <c r="AO657" s="62"/>
      <c r="AP657" s="62"/>
      <c r="AQ657" s="62"/>
      <c r="AR657" s="62"/>
      <c r="AS657" s="421"/>
      <c r="AT657" s="496">
        <f t="shared" si="23"/>
        <v>5</v>
      </c>
      <c r="AU657" s="499">
        <f t="shared" si="25"/>
        <v>6.25E-2</v>
      </c>
      <c r="AV657" s="500">
        <f t="shared" si="24"/>
        <v>3.125E-2</v>
      </c>
      <c r="AW657" s="62"/>
      <c r="AX657" s="62"/>
      <c r="AY657" s="62"/>
      <c r="AZ657" s="62"/>
      <c r="BA657" s="62"/>
      <c r="BB657" s="62"/>
      <c r="BC657" s="596" t="s">
        <v>560</v>
      </c>
      <c r="BD657" s="829">
        <v>1402</v>
      </c>
      <c r="BE657" s="830">
        <v>1502</v>
      </c>
      <c r="BF657" s="829">
        <v>1802</v>
      </c>
      <c r="BG657" s="830">
        <v>2082</v>
      </c>
      <c r="BH657" s="830">
        <v>2324</v>
      </c>
      <c r="BI657" s="831">
        <v>2564</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2.75">
      <c r="A658" s="91" t="s">
        <v>530</v>
      </c>
      <c r="B658" s="15" t="s">
        <v>539</v>
      </c>
      <c r="G658" s="1123">
        <f>C624</f>
        <v>0</v>
      </c>
      <c r="H658" s="1123"/>
      <c r="I658" s="1123"/>
      <c r="J658" s="1123"/>
      <c r="K658" s="1123"/>
      <c r="L658" s="1123"/>
      <c r="M658" s="1123"/>
      <c r="N658" s="1123"/>
      <c r="O658" s="1123"/>
      <c r="P658" s="1123"/>
      <c r="Q658" s="1123"/>
      <c r="R658" s="1123"/>
      <c r="T658" s="91" t="s">
        <v>531</v>
      </c>
      <c r="U658" s="15" t="s">
        <v>539</v>
      </c>
      <c r="Z658" s="1123">
        <f>C625</f>
        <v>0</v>
      </c>
      <c r="AA658" s="1123"/>
      <c r="AB658" s="1123"/>
      <c r="AC658" s="1123"/>
      <c r="AD658" s="1123"/>
      <c r="AE658" s="1123"/>
      <c r="AF658" s="1123"/>
      <c r="AG658" s="1123"/>
      <c r="AH658" s="1123"/>
      <c r="AI658" s="1123"/>
      <c r="AJ658" s="1123"/>
      <c r="AK658" s="1123"/>
      <c r="AM658" s="62"/>
      <c r="AN658" s="485" t="str">
        <f t="shared" si="22"/>
        <v>N/A</v>
      </c>
      <c r="AO658" s="62"/>
      <c r="AP658" s="62"/>
      <c r="AQ658" s="62"/>
      <c r="AR658" s="62"/>
      <c r="AS658" s="421"/>
      <c r="AT658" s="496">
        <f t="shared" si="23"/>
        <v>0</v>
      </c>
      <c r="AU658" s="499">
        <f t="shared" si="25"/>
        <v>0</v>
      </c>
      <c r="AV658" s="500" t="str">
        <f t="shared" si="24"/>
        <v xml:space="preserve"> </v>
      </c>
      <c r="AW658" s="62"/>
      <c r="AX658" s="62"/>
      <c r="AY658" s="62"/>
      <c r="AZ658" s="62"/>
      <c r="BA658" s="62"/>
      <c r="BB658" s="62"/>
      <c r="BC658" s="596" t="s">
        <v>561</v>
      </c>
      <c r="BD658" s="829">
        <v>1044</v>
      </c>
      <c r="BE658" s="830">
        <v>1120</v>
      </c>
      <c r="BF658" s="829">
        <v>1344</v>
      </c>
      <c r="BG658" s="830">
        <v>1552</v>
      </c>
      <c r="BH658" s="830">
        <v>1732</v>
      </c>
      <c r="BI658" s="831">
        <v>1912</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2.75">
      <c r="A659" s="39"/>
      <c r="B659" s="15" t="s">
        <v>93</v>
      </c>
      <c r="G659" s="1121"/>
      <c r="H659" s="1121"/>
      <c r="I659" s="1121"/>
      <c r="J659" s="1121"/>
      <c r="K659" s="1121"/>
      <c r="L659" s="1121"/>
      <c r="M659" s="1121"/>
      <c r="N659" s="1121"/>
      <c r="O659" s="1121"/>
      <c r="P659" s="1121"/>
      <c r="Q659" s="1121"/>
      <c r="R659" s="1121"/>
      <c r="T659" s="39"/>
      <c r="U659" s="15" t="s">
        <v>93</v>
      </c>
      <c r="Z659" s="1121"/>
      <c r="AA659" s="1121"/>
      <c r="AB659" s="1121"/>
      <c r="AC659" s="1121"/>
      <c r="AD659" s="1121"/>
      <c r="AE659" s="1121"/>
      <c r="AF659" s="1121"/>
      <c r="AG659" s="1121"/>
      <c r="AH659" s="1121"/>
      <c r="AI659" s="1121"/>
      <c r="AJ659" s="1121"/>
      <c r="AK659" s="1121"/>
      <c r="AM659" s="62"/>
      <c r="AN659" s="485" t="str">
        <f t="shared" si="22"/>
        <v>N/A</v>
      </c>
      <c r="AO659" s="62"/>
      <c r="AP659" s="62"/>
      <c r="AQ659" s="62"/>
      <c r="AR659" s="62"/>
      <c r="AS659" s="421"/>
      <c r="AT659" s="496">
        <f t="shared" si="23"/>
        <v>0</v>
      </c>
      <c r="AU659" s="499">
        <f t="shared" si="25"/>
        <v>0</v>
      </c>
      <c r="AV659" s="500" t="str">
        <f t="shared" si="24"/>
        <v xml:space="preserve"> </v>
      </c>
      <c r="AW659" s="62"/>
      <c r="AX659" s="62"/>
      <c r="AY659" s="62"/>
      <c r="AZ659" s="62"/>
      <c r="BA659" s="62"/>
      <c r="BB659" s="62"/>
      <c r="BC659" s="596" t="s">
        <v>562</v>
      </c>
      <c r="BD659" s="829">
        <v>1044</v>
      </c>
      <c r="BE659" s="830">
        <v>1120</v>
      </c>
      <c r="BF659" s="829">
        <v>1344</v>
      </c>
      <c r="BG659" s="830">
        <v>1552</v>
      </c>
      <c r="BH659" s="830">
        <v>1732</v>
      </c>
      <c r="BI659" s="831">
        <v>1912</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2.75">
      <c r="A660" s="39"/>
      <c r="B660" s="15" t="s">
        <v>661</v>
      </c>
      <c r="G660" s="1121"/>
      <c r="H660" s="1121"/>
      <c r="I660" s="1121"/>
      <c r="J660" s="1121"/>
      <c r="K660" s="1121"/>
      <c r="L660" s="1121"/>
      <c r="M660" s="1121"/>
      <c r="N660" s="1121"/>
      <c r="O660" s="1121"/>
      <c r="P660" s="1121"/>
      <c r="Q660" s="1121"/>
      <c r="R660" s="1121"/>
      <c r="T660" s="39"/>
      <c r="U660" s="15" t="s">
        <v>661</v>
      </c>
      <c r="Z660" s="1141"/>
      <c r="AA660" s="1141"/>
      <c r="AB660" s="1141"/>
      <c r="AC660" s="1141"/>
      <c r="AD660" s="1141"/>
      <c r="AE660" s="1141"/>
      <c r="AF660" s="1141"/>
      <c r="AG660" s="1141"/>
      <c r="AH660" s="1141"/>
      <c r="AI660" s="1141"/>
      <c r="AJ660" s="1141"/>
      <c r="AK660" s="1141"/>
      <c r="AM660" s="62"/>
      <c r="AN660" s="485" t="str">
        <f t="shared" si="22"/>
        <v>N/A</v>
      </c>
      <c r="AO660" s="62"/>
      <c r="AP660" s="62"/>
      <c r="AQ660" s="62"/>
      <c r="AR660" s="62"/>
      <c r="AS660" s="421"/>
      <c r="AT660" s="496">
        <f t="shared" si="23"/>
        <v>0</v>
      </c>
      <c r="AU660" s="499">
        <f t="shared" si="25"/>
        <v>0</v>
      </c>
      <c r="AV660" s="500" t="str">
        <f t="shared" si="24"/>
        <v xml:space="preserve"> </v>
      </c>
      <c r="AW660" s="62"/>
      <c r="AX660" s="62"/>
      <c r="AY660" s="62"/>
      <c r="AZ660" s="62"/>
      <c r="BA660" s="62"/>
      <c r="BB660" s="62"/>
      <c r="BC660" s="596" t="s">
        <v>563</v>
      </c>
      <c r="BD660" s="829">
        <v>1044</v>
      </c>
      <c r="BE660" s="830">
        <v>1120</v>
      </c>
      <c r="BF660" s="829">
        <v>1344</v>
      </c>
      <c r="BG660" s="830">
        <v>1552</v>
      </c>
      <c r="BH660" s="830">
        <v>1732</v>
      </c>
      <c r="BI660" s="831">
        <v>1912</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2.75">
      <c r="A661" s="39"/>
      <c r="B661" s="15" t="s">
        <v>20</v>
      </c>
      <c r="G661" s="1121"/>
      <c r="H661" s="1121"/>
      <c r="I661" s="1121"/>
      <c r="J661" s="1121"/>
      <c r="K661" s="1121"/>
      <c r="L661" s="1121"/>
      <c r="M661" s="1121"/>
      <c r="N661" s="1121"/>
      <c r="O661" s="1121"/>
      <c r="P661" s="1121"/>
      <c r="Q661" s="1121"/>
      <c r="R661" s="1121"/>
      <c r="T661" s="39"/>
      <c r="U661" s="15" t="s">
        <v>20</v>
      </c>
      <c r="Z661" s="1141"/>
      <c r="AA661" s="1141"/>
      <c r="AB661" s="1141"/>
      <c r="AC661" s="1141"/>
      <c r="AD661" s="1141"/>
      <c r="AE661" s="1141"/>
      <c r="AF661" s="1141"/>
      <c r="AG661" s="1141"/>
      <c r="AH661" s="1141"/>
      <c r="AI661" s="1141"/>
      <c r="AJ661" s="1141"/>
      <c r="AK661" s="1141"/>
      <c r="AM661" s="62"/>
      <c r="AN661" s="485" t="str">
        <f t="shared" si="22"/>
        <v>N/A</v>
      </c>
      <c r="AO661" s="62"/>
      <c r="AP661" s="62"/>
      <c r="AQ661" s="62"/>
      <c r="AR661" s="62"/>
      <c r="AS661" s="421"/>
      <c r="AT661" s="496">
        <f t="shared" si="23"/>
        <v>0</v>
      </c>
      <c r="AU661" s="499">
        <f t="shared" si="25"/>
        <v>0</v>
      </c>
      <c r="AV661" s="500" t="str">
        <f t="shared" si="24"/>
        <v xml:space="preserve"> </v>
      </c>
      <c r="AW661" s="62"/>
      <c r="AX661" s="62"/>
      <c r="AY661" s="62"/>
      <c r="AZ661" s="62"/>
      <c r="BA661" s="62"/>
      <c r="BB661" s="62"/>
      <c r="BC661" s="596" t="s">
        <v>564</v>
      </c>
      <c r="BD661" s="829">
        <v>1044</v>
      </c>
      <c r="BE661" s="830">
        <v>1120</v>
      </c>
      <c r="BF661" s="829">
        <v>1344</v>
      </c>
      <c r="BG661" s="830">
        <v>1552</v>
      </c>
      <c r="BH661" s="830">
        <v>1732</v>
      </c>
      <c r="BI661" s="831">
        <v>1912</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2.75">
      <c r="A662" s="39"/>
      <c r="B662" s="15" t="s">
        <v>342</v>
      </c>
      <c r="G662" s="1125"/>
      <c r="H662" s="1125"/>
      <c r="I662" s="1125"/>
      <c r="J662" s="1125"/>
      <c r="K662" s="1125"/>
      <c r="L662" s="1125"/>
      <c r="O662" s="144" t="s">
        <v>224</v>
      </c>
      <c r="P662" s="1126"/>
      <c r="Q662" s="1126"/>
      <c r="R662" s="1126"/>
      <c r="T662" s="39"/>
      <c r="U662" s="15" t="s">
        <v>342</v>
      </c>
      <c r="Z662" s="1125"/>
      <c r="AA662" s="1125"/>
      <c r="AB662" s="1125"/>
      <c r="AC662" s="1125"/>
      <c r="AD662" s="1125"/>
      <c r="AE662" s="1125"/>
      <c r="AH662" s="144" t="s">
        <v>224</v>
      </c>
      <c r="AI662" s="1126"/>
      <c r="AJ662" s="1126"/>
      <c r="AK662" s="1126"/>
      <c r="AM662" s="62"/>
      <c r="AN662" s="485" t="str">
        <f t="shared" si="22"/>
        <v>N/A</v>
      </c>
      <c r="AO662" s="62"/>
      <c r="AP662" s="62"/>
      <c r="AQ662" s="62"/>
      <c r="AR662" s="62"/>
      <c r="AS662" s="421"/>
      <c r="AT662" s="496">
        <f t="shared" si="23"/>
        <v>0</v>
      </c>
      <c r="AU662" s="499">
        <f t="shared" si="25"/>
        <v>0</v>
      </c>
      <c r="AV662" s="500" t="str">
        <f t="shared" si="24"/>
        <v xml:space="preserve"> </v>
      </c>
      <c r="AW662" s="62"/>
      <c r="AX662" s="62"/>
      <c r="AY662" s="62"/>
      <c r="AZ662" s="62"/>
      <c r="BA662" s="62"/>
      <c r="BB662" s="62"/>
      <c r="BC662" s="596" t="s">
        <v>565</v>
      </c>
      <c r="BD662" s="829">
        <v>1244</v>
      </c>
      <c r="BE662" s="830">
        <v>1332</v>
      </c>
      <c r="BF662" s="829">
        <v>1600</v>
      </c>
      <c r="BG662" s="830">
        <v>1848</v>
      </c>
      <c r="BH662" s="830">
        <v>2062</v>
      </c>
      <c r="BI662" s="831">
        <v>2276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2.75">
      <c r="A663" s="39"/>
      <c r="B663" s="15" t="s">
        <v>21</v>
      </c>
      <c r="H663" s="1121"/>
      <c r="I663" s="1121"/>
      <c r="J663" s="1121"/>
      <c r="K663" s="1121"/>
      <c r="L663" s="1121"/>
      <c r="M663" s="1121"/>
      <c r="N663" s="1121"/>
      <c r="O663" s="1121"/>
      <c r="P663" s="1121"/>
      <c r="Q663" s="1121"/>
      <c r="R663" s="1121"/>
      <c r="T663" s="39"/>
      <c r="U663" s="15" t="s">
        <v>21</v>
      </c>
      <c r="AA663" s="1121"/>
      <c r="AB663" s="1121"/>
      <c r="AC663" s="1121"/>
      <c r="AD663" s="1121"/>
      <c r="AE663" s="1121"/>
      <c r="AF663" s="1121"/>
      <c r="AG663" s="1121"/>
      <c r="AH663" s="1121"/>
      <c r="AI663" s="1121"/>
      <c r="AJ663" s="1121"/>
      <c r="AK663" s="1121"/>
      <c r="AM663" s="62"/>
      <c r="AN663" s="485" t="str">
        <f t="shared" si="22"/>
        <v>N/A</v>
      </c>
      <c r="AO663" s="62"/>
      <c r="AP663" s="62"/>
      <c r="AQ663" s="62"/>
      <c r="AR663" s="62"/>
      <c r="AS663" s="421"/>
      <c r="AT663" s="496">
        <f t="shared" si="23"/>
        <v>0</v>
      </c>
      <c r="AU663" s="499">
        <f t="shared" si="25"/>
        <v>0</v>
      </c>
      <c r="AV663" s="500" t="str">
        <f t="shared" si="24"/>
        <v xml:space="preserve"> </v>
      </c>
      <c r="AW663" s="62"/>
      <c r="AX663" s="62"/>
      <c r="AY663" s="62"/>
      <c r="AZ663" s="62"/>
      <c r="BA663" s="62"/>
      <c r="BB663" s="62"/>
      <c r="BC663" s="596" t="s">
        <v>566</v>
      </c>
      <c r="BD663" s="829">
        <v>1044</v>
      </c>
      <c r="BE663" s="830">
        <v>1120</v>
      </c>
      <c r="BF663" s="829">
        <v>1344</v>
      </c>
      <c r="BG663" s="830">
        <v>1552</v>
      </c>
      <c r="BH663" s="830">
        <v>1732</v>
      </c>
      <c r="BI663" s="831">
        <v>1912</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2.75">
      <c r="A664" s="39"/>
      <c r="B664" s="15" t="s">
        <v>23</v>
      </c>
      <c r="N664" s="1122" t="s">
        <v>755</v>
      </c>
      <c r="O664" s="1122"/>
      <c r="T664" s="39"/>
      <c r="U664" s="15" t="s">
        <v>23</v>
      </c>
      <c r="AG664" s="1122" t="s">
        <v>755</v>
      </c>
      <c r="AH664" s="1122"/>
      <c r="AM664" s="62"/>
      <c r="AN664" s="485" t="str">
        <f t="shared" si="22"/>
        <v>N/A</v>
      </c>
      <c r="AO664" s="62"/>
      <c r="AP664" s="62"/>
      <c r="AQ664" s="62"/>
      <c r="AR664" s="62"/>
      <c r="AS664" s="421"/>
      <c r="AT664" s="496">
        <f t="shared" si="23"/>
        <v>0</v>
      </c>
      <c r="AU664" s="499">
        <f t="shared" si="25"/>
        <v>0</v>
      </c>
      <c r="AV664" s="500" t="str">
        <f t="shared" si="24"/>
        <v xml:space="preserve"> </v>
      </c>
      <c r="AW664" s="62"/>
      <c r="AX664" s="62"/>
      <c r="AY664" s="62"/>
      <c r="AZ664" s="62"/>
      <c r="BA664" s="62"/>
      <c r="BB664" s="62"/>
      <c r="BC664" s="596" t="s">
        <v>567</v>
      </c>
      <c r="BD664" s="829">
        <v>1044</v>
      </c>
      <c r="BE664" s="830">
        <v>1120</v>
      </c>
      <c r="BF664" s="829">
        <v>1344</v>
      </c>
      <c r="BG664" s="830">
        <v>1552</v>
      </c>
      <c r="BH664" s="830">
        <v>1732</v>
      </c>
      <c r="BI664" s="831">
        <v>1912</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2.75">
      <c r="A665" s="39"/>
      <c r="T665" s="39"/>
      <c r="AM665" s="62"/>
      <c r="AN665" s="485" t="str">
        <f t="shared" si="22"/>
        <v>N/A</v>
      </c>
      <c r="AO665" s="62"/>
      <c r="AP665" s="62"/>
      <c r="AQ665" s="62"/>
      <c r="AR665" s="62"/>
      <c r="AS665" s="421"/>
      <c r="AT665" s="496">
        <f t="shared" si="23"/>
        <v>0</v>
      </c>
      <c r="AU665" s="499">
        <f t="shared" si="25"/>
        <v>0</v>
      </c>
      <c r="AV665" s="500" t="str">
        <f t="shared" si="24"/>
        <v xml:space="preserve"> </v>
      </c>
      <c r="AW665" s="62"/>
      <c r="AX665" s="62"/>
      <c r="AY665" s="62"/>
      <c r="AZ665" s="62"/>
      <c r="BA665" s="62"/>
      <c r="BB665" s="62"/>
      <c r="BC665" s="596" t="s">
        <v>568</v>
      </c>
      <c r="BD665" s="829">
        <v>1044</v>
      </c>
      <c r="BE665" s="830">
        <v>1120</v>
      </c>
      <c r="BF665" s="829">
        <v>1344</v>
      </c>
      <c r="BG665" s="830">
        <v>1552</v>
      </c>
      <c r="BH665" s="830">
        <v>1732</v>
      </c>
      <c r="BI665" s="831">
        <v>1912</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2.75">
      <c r="A666" s="91" t="s">
        <v>537</v>
      </c>
      <c r="B666" s="15" t="s">
        <v>539</v>
      </c>
      <c r="G666" s="1123">
        <f>C626</f>
        <v>0</v>
      </c>
      <c r="H666" s="1123"/>
      <c r="I666" s="1123"/>
      <c r="J666" s="1123"/>
      <c r="K666" s="1123"/>
      <c r="L666" s="1123"/>
      <c r="M666" s="1123"/>
      <c r="N666" s="1123"/>
      <c r="O666" s="1123"/>
      <c r="P666" s="1123"/>
      <c r="Q666" s="1123"/>
      <c r="R666" s="1123"/>
      <c r="T666" s="91" t="s">
        <v>729</v>
      </c>
      <c r="U666" s="15" t="s">
        <v>539</v>
      </c>
      <c r="Z666" s="1123">
        <f>C627</f>
        <v>0</v>
      </c>
      <c r="AA666" s="1123"/>
      <c r="AB666" s="1123"/>
      <c r="AC666" s="1123"/>
      <c r="AD666" s="1123"/>
      <c r="AE666" s="1123"/>
      <c r="AF666" s="1123"/>
      <c r="AG666" s="1123"/>
      <c r="AH666" s="1123"/>
      <c r="AI666" s="1123"/>
      <c r="AJ666" s="1123"/>
      <c r="AK666" s="1123"/>
      <c r="AM666" s="62"/>
      <c r="AN666" s="485" t="str">
        <f t="shared" si="22"/>
        <v>N/A</v>
      </c>
      <c r="AO666" s="62"/>
      <c r="AP666" s="62"/>
      <c r="AQ666" s="62"/>
      <c r="AR666" s="62"/>
      <c r="AS666" s="421"/>
      <c r="AT666" s="496">
        <f t="shared" si="23"/>
        <v>0</v>
      </c>
      <c r="AU666" s="499">
        <f t="shared" si="25"/>
        <v>0</v>
      </c>
      <c r="AV666" s="500" t="str">
        <f t="shared" si="24"/>
        <v xml:space="preserve"> </v>
      </c>
      <c r="AW666" s="62"/>
      <c r="AX666" s="62"/>
      <c r="AY666" s="62"/>
      <c r="AZ666" s="62"/>
      <c r="BA666" s="62"/>
      <c r="BB666" s="62"/>
      <c r="BC666" s="596" t="s">
        <v>569</v>
      </c>
      <c r="BD666" s="829">
        <v>1190</v>
      </c>
      <c r="BE666" s="830">
        <v>1274</v>
      </c>
      <c r="BF666" s="829">
        <v>1530</v>
      </c>
      <c r="BG666" s="830">
        <v>1768</v>
      </c>
      <c r="BH666" s="830">
        <v>1972</v>
      </c>
      <c r="BI666" s="831">
        <v>2176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2.75">
      <c r="A667" s="39"/>
      <c r="B667" s="15" t="s">
        <v>93</v>
      </c>
      <c r="G667" s="1121"/>
      <c r="H667" s="1121"/>
      <c r="I667" s="1121"/>
      <c r="J667" s="1121"/>
      <c r="K667" s="1121"/>
      <c r="L667" s="1121"/>
      <c r="M667" s="1121"/>
      <c r="N667" s="1121"/>
      <c r="O667" s="1121"/>
      <c r="P667" s="1121"/>
      <c r="Q667" s="1121"/>
      <c r="R667" s="1121"/>
      <c r="T667" s="39"/>
      <c r="U667" s="15" t="s">
        <v>93</v>
      </c>
      <c r="Z667" s="1121"/>
      <c r="AA667" s="1121"/>
      <c r="AB667" s="1121"/>
      <c r="AC667" s="1121"/>
      <c r="AD667" s="1121"/>
      <c r="AE667" s="1121"/>
      <c r="AF667" s="1121"/>
      <c r="AG667" s="1121"/>
      <c r="AH667" s="1121"/>
      <c r="AI667" s="1121"/>
      <c r="AJ667" s="1121"/>
      <c r="AK667" s="1121"/>
      <c r="AM667" s="62"/>
      <c r="AN667" s="485" t="str">
        <f t="shared" si="22"/>
        <v>N/A</v>
      </c>
      <c r="AO667" s="62"/>
      <c r="AP667" s="62"/>
      <c r="AQ667" s="62"/>
      <c r="AR667" s="62"/>
      <c r="AS667" s="421"/>
      <c r="AT667" s="496">
        <f t="shared" si="23"/>
        <v>0</v>
      </c>
      <c r="AU667" s="499">
        <f t="shared" si="25"/>
        <v>0</v>
      </c>
      <c r="AV667" s="500" t="str">
        <f t="shared" si="24"/>
        <v xml:space="preserve"> </v>
      </c>
      <c r="AW667" s="62"/>
      <c r="AX667" s="62"/>
      <c r="AY667" s="62"/>
      <c r="AZ667" s="62"/>
      <c r="BA667" s="62"/>
      <c r="BB667" s="62"/>
      <c r="BC667" s="596" t="s">
        <v>570</v>
      </c>
      <c r="BD667" s="829">
        <v>1696</v>
      </c>
      <c r="BE667" s="830">
        <v>1818</v>
      </c>
      <c r="BF667" s="829">
        <v>2182</v>
      </c>
      <c r="BG667" s="830">
        <v>2520</v>
      </c>
      <c r="BH667" s="830">
        <v>2812</v>
      </c>
      <c r="BI667" s="831">
        <v>3102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2.75">
      <c r="A668" s="39"/>
      <c r="B668" s="15" t="s">
        <v>661</v>
      </c>
      <c r="G668" s="1121"/>
      <c r="H668" s="1121"/>
      <c r="I668" s="1121"/>
      <c r="J668" s="1121"/>
      <c r="K668" s="1121"/>
      <c r="L668" s="1121"/>
      <c r="M668" s="1121"/>
      <c r="N668" s="1121"/>
      <c r="O668" s="1121"/>
      <c r="P668" s="1121"/>
      <c r="Q668" s="1121"/>
      <c r="R668" s="1121"/>
      <c r="T668" s="39"/>
      <c r="U668" s="15" t="s">
        <v>661</v>
      </c>
      <c r="Z668" s="1141"/>
      <c r="AA668" s="1141"/>
      <c r="AB668" s="1141"/>
      <c r="AC668" s="1141"/>
      <c r="AD668" s="1141"/>
      <c r="AE668" s="1141"/>
      <c r="AF668" s="1141"/>
      <c r="AG668" s="1141"/>
      <c r="AH668" s="1141"/>
      <c r="AI668" s="1141"/>
      <c r="AJ668" s="1141"/>
      <c r="AK668" s="1141"/>
      <c r="AM668" s="62"/>
      <c r="AN668" s="485" t="str">
        <f t="shared" si="22"/>
        <v>N/A</v>
      </c>
      <c r="AO668" s="62"/>
      <c r="AP668" s="62"/>
      <c r="AQ668" s="62"/>
      <c r="AR668" s="62"/>
      <c r="AS668" s="421"/>
      <c r="AT668" s="496">
        <f t="shared" si="23"/>
        <v>0</v>
      </c>
      <c r="AU668" s="499">
        <f t="shared" si="25"/>
        <v>0</v>
      </c>
      <c r="AV668" s="500" t="str">
        <f t="shared" si="24"/>
        <v xml:space="preserve"> </v>
      </c>
      <c r="AW668" s="62"/>
      <c r="AX668" s="62"/>
      <c r="AY668" s="62"/>
      <c r="AZ668" s="62"/>
      <c r="BA668" s="62"/>
      <c r="BB668" s="62"/>
      <c r="BC668" s="596" t="s">
        <v>571</v>
      </c>
      <c r="BD668" s="829">
        <v>1044</v>
      </c>
      <c r="BE668" s="830">
        <v>1120</v>
      </c>
      <c r="BF668" s="829">
        <v>1344</v>
      </c>
      <c r="BG668" s="830">
        <v>1552</v>
      </c>
      <c r="BH668" s="830">
        <v>1732</v>
      </c>
      <c r="BI668" s="831">
        <v>1912</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2.75">
      <c r="A669" s="39"/>
      <c r="B669" s="15" t="s">
        <v>20</v>
      </c>
      <c r="G669" s="1121"/>
      <c r="H669" s="1121"/>
      <c r="I669" s="1121"/>
      <c r="J669" s="1121"/>
      <c r="K669" s="1121"/>
      <c r="L669" s="1121"/>
      <c r="M669" s="1121"/>
      <c r="N669" s="1121"/>
      <c r="O669" s="1121"/>
      <c r="P669" s="1121"/>
      <c r="Q669" s="1121"/>
      <c r="R669" s="1121"/>
      <c r="T669" s="39"/>
      <c r="U669" s="15" t="s">
        <v>20</v>
      </c>
      <c r="Z669" s="1141"/>
      <c r="AA669" s="1141"/>
      <c r="AB669" s="1141"/>
      <c r="AC669" s="1141"/>
      <c r="AD669" s="1141"/>
      <c r="AE669" s="1141"/>
      <c r="AF669" s="1141"/>
      <c r="AG669" s="1141"/>
      <c r="AH669" s="1141"/>
      <c r="AI669" s="1141"/>
      <c r="AJ669" s="1141"/>
      <c r="AK669" s="1141"/>
      <c r="AM669" s="62"/>
      <c r="AN669" s="485" t="str">
        <f t="shared" si="22"/>
        <v>N/A</v>
      </c>
      <c r="AO669" s="62"/>
      <c r="AP669" s="62"/>
      <c r="AQ669" s="62"/>
      <c r="AR669" s="62"/>
      <c r="AS669" s="421"/>
      <c r="AT669" s="496">
        <f t="shared" si="23"/>
        <v>0</v>
      </c>
      <c r="AU669" s="499">
        <f t="shared" si="25"/>
        <v>0</v>
      </c>
      <c r="AV669" s="500" t="str">
        <f t="shared" si="24"/>
        <v xml:space="preserve"> </v>
      </c>
      <c r="AW669" s="62"/>
      <c r="AX669" s="62"/>
      <c r="AY669" s="62"/>
      <c r="AZ669" s="62"/>
      <c r="BA669" s="62"/>
      <c r="BB669" s="62"/>
      <c r="BC669" s="596" t="s">
        <v>572</v>
      </c>
      <c r="BD669" s="829">
        <v>2566</v>
      </c>
      <c r="BE669" s="830">
        <v>2750</v>
      </c>
      <c r="BF669" s="829">
        <v>3300</v>
      </c>
      <c r="BG669" s="830">
        <v>3812</v>
      </c>
      <c r="BH669" s="830">
        <v>4252</v>
      </c>
      <c r="BI669" s="831">
        <v>4692</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2.75">
      <c r="A670" s="39"/>
      <c r="B670" s="15" t="s">
        <v>342</v>
      </c>
      <c r="G670" s="1125"/>
      <c r="H670" s="1125"/>
      <c r="I670" s="1125"/>
      <c r="J670" s="1125"/>
      <c r="K670" s="1125"/>
      <c r="L670" s="1125"/>
      <c r="O670" s="144" t="s">
        <v>224</v>
      </c>
      <c r="P670" s="1126"/>
      <c r="Q670" s="1126"/>
      <c r="R670" s="1126"/>
      <c r="T670" s="39"/>
      <c r="U670" s="15" t="s">
        <v>342</v>
      </c>
      <c r="Z670" s="1125"/>
      <c r="AA670" s="1125"/>
      <c r="AB670" s="1125"/>
      <c r="AC670" s="1125"/>
      <c r="AD670" s="1125"/>
      <c r="AE670" s="1125"/>
      <c r="AH670" s="144" t="s">
        <v>224</v>
      </c>
      <c r="AI670" s="1126"/>
      <c r="AJ670" s="1126"/>
      <c r="AK670" s="1126"/>
      <c r="AM670" s="62"/>
      <c r="AN670" s="485" t="str">
        <f t="shared" si="22"/>
        <v>N/A</v>
      </c>
      <c r="AO670" s="62"/>
      <c r="AS670" s="421"/>
      <c r="AT670" s="496">
        <f t="shared" si="23"/>
        <v>0</v>
      </c>
      <c r="AU670" s="499">
        <f t="shared" si="25"/>
        <v>0</v>
      </c>
      <c r="AV670" s="500" t="str">
        <f t="shared" si="24"/>
        <v xml:space="preserve"> </v>
      </c>
      <c r="AY670" s="62"/>
      <c r="AZ670" s="62"/>
      <c r="BA670" s="62"/>
      <c r="BB670" s="62"/>
      <c r="BC670" s="596" t="s">
        <v>59</v>
      </c>
      <c r="BD670" s="829">
        <v>1124</v>
      </c>
      <c r="BE670" s="830">
        <v>1204</v>
      </c>
      <c r="BF670" s="829">
        <v>1444</v>
      </c>
      <c r="BG670" s="830">
        <v>1670</v>
      </c>
      <c r="BH670" s="830">
        <v>1862</v>
      </c>
      <c r="BI670" s="831">
        <v>2056</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2.75">
      <c r="A671" s="39"/>
      <c r="B671" s="15" t="s">
        <v>21</v>
      </c>
      <c r="H671" s="1121"/>
      <c r="I671" s="1121"/>
      <c r="J671" s="1121"/>
      <c r="K671" s="1121"/>
      <c r="L671" s="1121"/>
      <c r="M671" s="1121"/>
      <c r="N671" s="1121"/>
      <c r="O671" s="1121"/>
      <c r="P671" s="1121"/>
      <c r="Q671" s="1121"/>
      <c r="R671" s="1121"/>
      <c r="T671" s="39"/>
      <c r="U671" s="15" t="s">
        <v>21</v>
      </c>
      <c r="AA671" s="1121"/>
      <c r="AB671" s="1121"/>
      <c r="AC671" s="1121"/>
      <c r="AD671" s="1121"/>
      <c r="AE671" s="1121"/>
      <c r="AF671" s="1121"/>
      <c r="AG671" s="1121"/>
      <c r="AH671" s="1121"/>
      <c r="AI671" s="1121"/>
      <c r="AJ671" s="1121"/>
      <c r="AK671" s="1121"/>
      <c r="AM671" s="62"/>
      <c r="AN671" s="485" t="str">
        <f t="shared" si="22"/>
        <v>N/A</v>
      </c>
      <c r="AO671" s="62"/>
      <c r="AS671" s="421"/>
      <c r="AT671" s="496">
        <f t="shared" si="23"/>
        <v>0</v>
      </c>
      <c r="AU671" s="499">
        <f t="shared" si="25"/>
        <v>0</v>
      </c>
      <c r="AV671" s="500" t="str">
        <f t="shared" si="24"/>
        <v xml:space="preserve"> </v>
      </c>
      <c r="AY671" s="62"/>
      <c r="AZ671" s="62"/>
      <c r="BA671" s="62"/>
      <c r="BB671" s="62"/>
      <c r="BC671" s="596" t="s">
        <v>60</v>
      </c>
      <c r="BD671" s="829">
        <v>1062</v>
      </c>
      <c r="BE671" s="830">
        <v>1136</v>
      </c>
      <c r="BF671" s="829">
        <v>1364</v>
      </c>
      <c r="BG671" s="830">
        <v>1576</v>
      </c>
      <c r="BH671" s="830">
        <v>1756</v>
      </c>
      <c r="BI671" s="831">
        <v>1940</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2.75">
      <c r="A672" s="39"/>
      <c r="B672" s="15" t="s">
        <v>23</v>
      </c>
      <c r="N672" s="1122" t="s">
        <v>755</v>
      </c>
      <c r="O672" s="1122"/>
      <c r="T672" s="39"/>
      <c r="U672" s="15" t="s">
        <v>23</v>
      </c>
      <c r="AG672" s="1122" t="s">
        <v>755</v>
      </c>
      <c r="AH672" s="1122"/>
      <c r="AM672" s="62"/>
      <c r="AN672" s="485" t="str">
        <f t="shared" si="22"/>
        <v>N/A</v>
      </c>
      <c r="AO672" s="62"/>
      <c r="AS672" s="421"/>
      <c r="AT672" s="496">
        <f t="shared" si="23"/>
        <v>0</v>
      </c>
      <c r="AU672" s="499">
        <f t="shared" si="25"/>
        <v>0</v>
      </c>
      <c r="AV672" s="500" t="str">
        <f t="shared" si="24"/>
        <v xml:space="preserve"> </v>
      </c>
      <c r="AY672" s="62"/>
      <c r="AZ672" s="62"/>
      <c r="BA672" s="62"/>
      <c r="BB672" s="62"/>
      <c r="BC672" s="596" t="s">
        <v>61</v>
      </c>
      <c r="BD672" s="829">
        <v>1044</v>
      </c>
      <c r="BE672" s="830">
        <v>1120</v>
      </c>
      <c r="BF672" s="829">
        <v>1344</v>
      </c>
      <c r="BG672" s="830">
        <v>1552</v>
      </c>
      <c r="BH672" s="830">
        <v>1732</v>
      </c>
      <c r="BI672" s="831">
        <v>1912</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2.75">
      <c r="A673" s="39"/>
      <c r="T673" s="39"/>
      <c r="AM673" s="62"/>
      <c r="AN673" s="485" t="str">
        <f t="shared" si="22"/>
        <v>N/A</v>
      </c>
      <c r="AO673" s="62"/>
      <c r="AS673" s="421"/>
      <c r="AT673" s="496">
        <f t="shared" si="23"/>
        <v>0</v>
      </c>
      <c r="AU673" s="499">
        <f t="shared" si="25"/>
        <v>0</v>
      </c>
      <c r="AV673" s="500" t="str">
        <f t="shared" si="24"/>
        <v xml:space="preserve"> </v>
      </c>
      <c r="AY673" s="62"/>
      <c r="AZ673" s="62"/>
      <c r="BA673" s="62"/>
      <c r="BB673" s="62"/>
      <c r="BC673" s="596" t="s">
        <v>62</v>
      </c>
      <c r="BD673" s="829">
        <v>1044</v>
      </c>
      <c r="BE673" s="830">
        <v>1120</v>
      </c>
      <c r="BF673" s="829">
        <v>1344</v>
      </c>
      <c r="BG673" s="830">
        <v>1552</v>
      </c>
      <c r="BH673" s="830">
        <v>1732</v>
      </c>
      <c r="BI673" s="831">
        <v>1912</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2.75">
      <c r="A674" s="91" t="s">
        <v>399</v>
      </c>
      <c r="B674" s="15" t="s">
        <v>539</v>
      </c>
      <c r="G674" s="1123">
        <f>C628</f>
        <v>0</v>
      </c>
      <c r="H674" s="1123"/>
      <c r="I674" s="1123"/>
      <c r="J674" s="1123"/>
      <c r="K674" s="1123"/>
      <c r="L674" s="1123"/>
      <c r="M674" s="1123"/>
      <c r="N674" s="1123"/>
      <c r="O674" s="1123"/>
      <c r="P674" s="1123"/>
      <c r="Q674" s="1123"/>
      <c r="R674" s="1123"/>
      <c r="T674" s="91" t="s">
        <v>400</v>
      </c>
      <c r="U674" s="15" t="s">
        <v>539</v>
      </c>
      <c r="Z674" s="1123">
        <f>C629</f>
        <v>0</v>
      </c>
      <c r="AA674" s="1123"/>
      <c r="AB674" s="1123"/>
      <c r="AC674" s="1123"/>
      <c r="AD674" s="1123"/>
      <c r="AE674" s="1123"/>
      <c r="AF674" s="1123"/>
      <c r="AG674" s="1123"/>
      <c r="AH674" s="1123"/>
      <c r="AI674" s="1123"/>
      <c r="AJ674" s="1123"/>
      <c r="AK674" s="1123"/>
      <c r="AM674" s="62"/>
      <c r="AN674" s="62"/>
      <c r="AO674" s="62"/>
      <c r="AP674" s="62"/>
      <c r="AS674" s="421"/>
      <c r="AT674" s="496">
        <f t="shared" si="23"/>
        <v>0</v>
      </c>
      <c r="AU674" s="499">
        <f t="shared" si="25"/>
        <v>0</v>
      </c>
      <c r="AV674" s="500" t="str">
        <f t="shared" si="24"/>
        <v xml:space="preserve"> </v>
      </c>
      <c r="AZ674" s="62"/>
      <c r="BA674" s="62"/>
      <c r="BB674" s="62"/>
      <c r="BC674" s="596" t="s">
        <v>66</v>
      </c>
      <c r="BD674" s="829">
        <v>1356</v>
      </c>
      <c r="BE674" s="830">
        <v>1452</v>
      </c>
      <c r="BF674" s="829">
        <v>1744</v>
      </c>
      <c r="BG674" s="830">
        <v>2014</v>
      </c>
      <c r="BH674" s="830">
        <v>2246</v>
      </c>
      <c r="BI674" s="831">
        <v>2480</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2.75">
      <c r="B675" s="15" t="s">
        <v>93</v>
      </c>
      <c r="G675" s="1121"/>
      <c r="H675" s="1121"/>
      <c r="I675" s="1121"/>
      <c r="J675" s="1121"/>
      <c r="K675" s="1121"/>
      <c r="L675" s="1121"/>
      <c r="M675" s="1121"/>
      <c r="N675" s="1121"/>
      <c r="O675" s="1121"/>
      <c r="P675" s="1121"/>
      <c r="Q675" s="1121"/>
      <c r="R675" s="1121"/>
      <c r="T675" s="39"/>
      <c r="U675" s="15" t="s">
        <v>93</v>
      </c>
      <c r="Z675" s="1121"/>
      <c r="AA675" s="1121"/>
      <c r="AB675" s="1121"/>
      <c r="AC675" s="1121"/>
      <c r="AD675" s="1121"/>
      <c r="AE675" s="1121"/>
      <c r="AF675" s="1121"/>
      <c r="AG675" s="1121"/>
      <c r="AH675" s="1121"/>
      <c r="AI675" s="1121"/>
      <c r="AJ675" s="1121"/>
      <c r="AK675" s="1121"/>
      <c r="AM675" s="62"/>
      <c r="AN675" s="62"/>
      <c r="AO675" s="62"/>
      <c r="AP675" s="62"/>
      <c r="AQ675" s="62"/>
      <c r="AS675" s="492" t="s">
        <v>1032</v>
      </c>
      <c r="AT675" s="501">
        <f>SUM(AT650:AT674)</f>
        <v>80</v>
      </c>
      <c r="AU675" s="502">
        <f>SUM(AU650:AU674)</f>
        <v>1</v>
      </c>
      <c r="AV675" s="502">
        <f>SUM(AV650:AV674)</f>
        <v>0.3987500000000001</v>
      </c>
      <c r="BA675" s="62"/>
      <c r="BB675" s="62"/>
      <c r="BC675" s="596" t="s">
        <v>67</v>
      </c>
      <c r="BD675" s="829">
        <v>1462</v>
      </c>
      <c r="BE675" s="830">
        <v>1566</v>
      </c>
      <c r="BF675" s="829">
        <v>1880</v>
      </c>
      <c r="BG675" s="830">
        <v>2170</v>
      </c>
      <c r="BH675" s="830">
        <v>2422</v>
      </c>
      <c r="BI675" s="831">
        <v>2672</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2.75">
      <c r="B676" s="15" t="s">
        <v>661</v>
      </c>
      <c r="G676" s="1121"/>
      <c r="H676" s="1121"/>
      <c r="I676" s="1121"/>
      <c r="J676" s="1121"/>
      <c r="K676" s="1121"/>
      <c r="L676" s="1121"/>
      <c r="M676" s="1121"/>
      <c r="N676" s="1121"/>
      <c r="O676" s="1121"/>
      <c r="P676" s="1121"/>
      <c r="Q676" s="1121"/>
      <c r="R676" s="1121"/>
      <c r="U676" s="15" t="s">
        <v>661</v>
      </c>
      <c r="Z676" s="1141"/>
      <c r="AA676" s="1141"/>
      <c r="AB676" s="1141"/>
      <c r="AC676" s="1141"/>
      <c r="AD676" s="1141"/>
      <c r="AE676" s="1141"/>
      <c r="AF676" s="1141"/>
      <c r="AG676" s="1141"/>
      <c r="AH676" s="1141"/>
      <c r="AI676" s="1141"/>
      <c r="AJ676" s="1141"/>
      <c r="AK676" s="1141"/>
      <c r="AM676" s="62"/>
      <c r="AN676" s="62"/>
      <c r="AO676" s="62"/>
      <c r="AP676" s="62"/>
      <c r="AQ676" s="62"/>
      <c r="AR676" s="62"/>
      <c r="AS676" s="62"/>
      <c r="AT676" s="62"/>
      <c r="AU676" s="62"/>
      <c r="AV676" s="62"/>
      <c r="AW676" s="62"/>
      <c r="AX676" s="62"/>
      <c r="AY676" s="62"/>
      <c r="AZ676" s="62"/>
      <c r="BA676" s="62"/>
      <c r="BB676" s="62"/>
      <c r="BC676" s="596" t="s">
        <v>68</v>
      </c>
      <c r="BD676" s="829">
        <v>1606</v>
      </c>
      <c r="BE676" s="830">
        <v>1722</v>
      </c>
      <c r="BF676" s="829">
        <v>2066</v>
      </c>
      <c r="BG676" s="830">
        <v>2386</v>
      </c>
      <c r="BH676" s="830">
        <v>2662</v>
      </c>
      <c r="BI676" s="831">
        <v>2938</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2.75">
      <c r="B677" s="15" t="s">
        <v>20</v>
      </c>
      <c r="G677" s="1121"/>
      <c r="H677" s="1121"/>
      <c r="I677" s="1121"/>
      <c r="J677" s="1121"/>
      <c r="K677" s="1121"/>
      <c r="L677" s="1121"/>
      <c r="M677" s="1121"/>
      <c r="N677" s="1121"/>
      <c r="O677" s="1121"/>
      <c r="P677" s="1121"/>
      <c r="Q677" s="1121"/>
      <c r="R677" s="1121"/>
      <c r="U677" s="15" t="s">
        <v>20</v>
      </c>
      <c r="Z677" s="1141"/>
      <c r="AA677" s="1141"/>
      <c r="AB677" s="1141"/>
      <c r="AC677" s="1141"/>
      <c r="AD677" s="1141"/>
      <c r="AE677" s="1141"/>
      <c r="AF677" s="1141"/>
      <c r="AG677" s="1141"/>
      <c r="AH677" s="1141"/>
      <c r="AI677" s="1141"/>
      <c r="AJ677" s="1141"/>
      <c r="AK677" s="1141"/>
      <c r="AM677" s="62"/>
      <c r="AN677" s="62"/>
      <c r="AO677" s="62"/>
      <c r="AP677" s="62"/>
      <c r="AQ677" s="62"/>
      <c r="AR677" s="62"/>
      <c r="AS677" s="62"/>
      <c r="AT677" s="62"/>
      <c r="AU677" s="62"/>
      <c r="AV677" s="62"/>
      <c r="AW677" s="62"/>
      <c r="AX677" s="62"/>
      <c r="AY677" s="62"/>
      <c r="AZ677" s="62"/>
      <c r="BA677" s="62"/>
      <c r="BB677" s="62"/>
      <c r="BC677" s="596" t="s">
        <v>69</v>
      </c>
      <c r="BD677" s="829">
        <v>1270</v>
      </c>
      <c r="BE677" s="830">
        <v>1360</v>
      </c>
      <c r="BF677" s="829">
        <v>1632</v>
      </c>
      <c r="BG677" s="830">
        <v>1884</v>
      </c>
      <c r="BH677" s="830">
        <v>2102</v>
      </c>
      <c r="BI677" s="831">
        <v>2320</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2.75">
      <c r="B678" s="15" t="s">
        <v>342</v>
      </c>
      <c r="G678" s="1125"/>
      <c r="H678" s="1125"/>
      <c r="I678" s="1125"/>
      <c r="J678" s="1125"/>
      <c r="K678" s="1125"/>
      <c r="L678" s="1125"/>
      <c r="O678" s="144" t="s">
        <v>224</v>
      </c>
      <c r="P678" s="1126"/>
      <c r="Q678" s="1126"/>
      <c r="R678" s="1126"/>
      <c r="U678" s="15" t="s">
        <v>342</v>
      </c>
      <c r="Z678" s="1125"/>
      <c r="AA678" s="1125"/>
      <c r="AB678" s="1125"/>
      <c r="AC678" s="1125"/>
      <c r="AD678" s="1125"/>
      <c r="AE678" s="1125"/>
      <c r="AH678" s="144" t="s">
        <v>224</v>
      </c>
      <c r="AI678" s="1126"/>
      <c r="AJ678" s="1126"/>
      <c r="AK678" s="1126"/>
      <c r="AM678" s="65"/>
      <c r="AN678" s="65"/>
      <c r="AO678" s="65"/>
      <c r="AP678" s="65"/>
      <c r="AQ678" s="65"/>
      <c r="AR678" s="65"/>
      <c r="AS678" s="65"/>
      <c r="AT678" s="65"/>
      <c r="AU678" s="65"/>
      <c r="AV678" s="65"/>
      <c r="AW678" s="65"/>
      <c r="AX678" s="65"/>
      <c r="AY678" s="65"/>
      <c r="AZ678" s="65"/>
      <c r="BA678" s="65"/>
      <c r="BB678" s="65"/>
      <c r="BC678" s="596" t="s">
        <v>70</v>
      </c>
      <c r="BD678" s="829">
        <v>1914</v>
      </c>
      <c r="BE678" s="830">
        <v>2050</v>
      </c>
      <c r="BF678" s="829">
        <v>2460</v>
      </c>
      <c r="BG678" s="830">
        <v>2842</v>
      </c>
      <c r="BH678" s="830">
        <v>3170</v>
      </c>
      <c r="BI678" s="831">
        <v>3498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2.75">
      <c r="B679" s="15" t="s">
        <v>21</v>
      </c>
      <c r="H679" s="1121"/>
      <c r="I679" s="1121"/>
      <c r="J679" s="1121"/>
      <c r="K679" s="1121"/>
      <c r="L679" s="1121"/>
      <c r="M679" s="1121"/>
      <c r="N679" s="1121"/>
      <c r="O679" s="1121"/>
      <c r="P679" s="1121"/>
      <c r="Q679" s="1121"/>
      <c r="R679" s="1121"/>
      <c r="U679" s="15" t="s">
        <v>21</v>
      </c>
      <c r="AA679" s="1121"/>
      <c r="AB679" s="1121"/>
      <c r="AC679" s="1121"/>
      <c r="AD679" s="1121"/>
      <c r="AE679" s="1121"/>
      <c r="AF679" s="1121"/>
      <c r="AG679" s="1121"/>
      <c r="AH679" s="1121"/>
      <c r="AI679" s="1121"/>
      <c r="AJ679" s="1121"/>
      <c r="AK679" s="1121"/>
      <c r="AM679" s="65"/>
      <c r="AN679" s="65"/>
      <c r="AO679" s="65"/>
      <c r="AP679" s="65"/>
      <c r="AQ679" s="65"/>
      <c r="AR679" s="65"/>
      <c r="AS679" s="65"/>
      <c r="AT679" s="65"/>
      <c r="AU679" s="65"/>
      <c r="AV679" s="65"/>
      <c r="AW679" s="65"/>
      <c r="AX679" s="65"/>
      <c r="AY679" s="65"/>
      <c r="AZ679" s="65"/>
      <c r="BA679" s="65"/>
      <c r="BB679" s="65"/>
      <c r="BC679" s="596" t="s">
        <v>71</v>
      </c>
      <c r="BD679" s="829">
        <v>1402</v>
      </c>
      <c r="BE679" s="830">
        <v>1502</v>
      </c>
      <c r="BF679" s="829">
        <v>1802</v>
      </c>
      <c r="BG679" s="830">
        <v>2082</v>
      </c>
      <c r="BH679" s="830">
        <v>2324</v>
      </c>
      <c r="BI679" s="831">
        <v>2564</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2.75">
      <c r="B680" s="15" t="s">
        <v>23</v>
      </c>
      <c r="N680" s="1122" t="s">
        <v>755</v>
      </c>
      <c r="O680" s="1122"/>
      <c r="U680" s="15" t="s">
        <v>23</v>
      </c>
      <c r="AG680" s="1122" t="s">
        <v>755</v>
      </c>
      <c r="AH680" s="1122"/>
      <c r="AM680" s="65"/>
      <c r="AN680" s="65"/>
      <c r="AO680" s="65"/>
      <c r="AP680" s="65"/>
      <c r="AQ680" s="65"/>
      <c r="AR680" s="65"/>
      <c r="AS680" s="65"/>
      <c r="AT680" s="65"/>
      <c r="AU680" s="65"/>
      <c r="AV680" s="65"/>
      <c r="AW680" s="65"/>
      <c r="AX680" s="65"/>
      <c r="AY680" s="65"/>
      <c r="AZ680" s="65"/>
      <c r="BA680" s="65"/>
      <c r="BB680" s="65"/>
      <c r="BC680" s="596" t="s">
        <v>72</v>
      </c>
      <c r="BD680" s="829">
        <v>1110</v>
      </c>
      <c r="BE680" s="830">
        <v>1188</v>
      </c>
      <c r="BF680" s="829">
        <v>1424</v>
      </c>
      <c r="BG680" s="830">
        <v>1646</v>
      </c>
      <c r="BH680" s="830">
        <v>1836</v>
      </c>
      <c r="BI680" s="831">
        <v>2026</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2.75">
      <c r="AM681" s="65"/>
      <c r="AN681" s="65"/>
      <c r="AO681" s="65"/>
      <c r="AP681" s="65"/>
      <c r="AQ681" s="65"/>
      <c r="AR681" s="65"/>
      <c r="AS681" s="65"/>
      <c r="AT681" s="65"/>
      <c r="AU681" s="65"/>
      <c r="AV681" s="65"/>
      <c r="AW681" s="65"/>
      <c r="AX681" s="65"/>
      <c r="AY681" s="65"/>
      <c r="AZ681" s="65"/>
      <c r="BA681" s="65"/>
      <c r="BB681" s="65"/>
      <c r="BC681" s="596" t="s">
        <v>73</v>
      </c>
      <c r="BD681" s="829">
        <v>1180</v>
      </c>
      <c r="BE681" s="830">
        <v>1264</v>
      </c>
      <c r="BF681" s="829">
        <v>1516</v>
      </c>
      <c r="BG681" s="830">
        <v>1752</v>
      </c>
      <c r="BH681" s="830">
        <v>1954</v>
      </c>
      <c r="BI681" s="831">
        <v>2156</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2.75">
      <c r="A682" s="54" t="s">
        <v>657</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6" t="s">
        <v>74</v>
      </c>
      <c r="BD682" s="829">
        <v>1402</v>
      </c>
      <c r="BE682" s="830">
        <v>1502</v>
      </c>
      <c r="BF682" s="829">
        <v>1802</v>
      </c>
      <c r="BG682" s="830">
        <v>2082</v>
      </c>
      <c r="BH682" s="830">
        <v>2324</v>
      </c>
      <c r="BI682" s="831">
        <v>2564</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2.75">
      <c r="A683" s="36"/>
      <c r="B683" s="226"/>
      <c r="C683" s="226"/>
      <c r="D683" s="227" t="s">
        <v>499</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6" t="s">
        <v>821</v>
      </c>
      <c r="BD683" s="829">
        <v>1630</v>
      </c>
      <c r="BE683" s="830">
        <v>1746</v>
      </c>
      <c r="BF683" s="829">
        <v>2094</v>
      </c>
      <c r="BG683" s="830">
        <v>2420</v>
      </c>
      <c r="BH683" s="830">
        <v>2700</v>
      </c>
      <c r="BI683" s="831">
        <v>2980</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2.75">
      <c r="A684" s="36"/>
      <c r="B684" s="226"/>
      <c r="C684" s="226"/>
      <c r="E684" s="227" t="s">
        <v>500</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22" t="s">
        <v>622</v>
      </c>
      <c r="AF684" s="1122"/>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6" t="s">
        <v>822</v>
      </c>
      <c r="BD684" s="829">
        <v>1180</v>
      </c>
      <c r="BE684" s="830">
        <v>1264</v>
      </c>
      <c r="BF684" s="829">
        <v>1516</v>
      </c>
      <c r="BG684" s="830">
        <v>1752</v>
      </c>
      <c r="BH684" s="830">
        <v>1954</v>
      </c>
      <c r="BI684" s="831">
        <v>2156</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2.75">
      <c r="A685" s="36"/>
      <c r="B685" s="226"/>
      <c r="C685" s="226"/>
      <c r="D685" s="229" t="s">
        <v>503</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22" t="s">
        <v>755</v>
      </c>
      <c r="AF685" s="1122"/>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6" t="s">
        <v>823</v>
      </c>
      <c r="BD685" s="829">
        <v>1704</v>
      </c>
      <c r="BE685" s="830">
        <v>1826</v>
      </c>
      <c r="BF685" s="829">
        <v>2190</v>
      </c>
      <c r="BG685" s="830">
        <v>2530</v>
      </c>
      <c r="BH685" s="830">
        <v>2822</v>
      </c>
      <c r="BI685" s="831">
        <v>3114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2.75">
      <c r="A686" s="36"/>
      <c r="B686" s="226"/>
      <c r="C686" s="226"/>
      <c r="D686" s="227" t="s">
        <v>1068</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095">
        <v>43749</v>
      </c>
      <c r="AF686" s="1095"/>
      <c r="AG686" s="1095"/>
      <c r="AH686" s="1095"/>
      <c r="AI686" s="1095"/>
      <c r="AJ686" s="228"/>
      <c r="AK686" s="228"/>
      <c r="AL686" s="228"/>
      <c r="AM686" s="65"/>
      <c r="AN686" s="65"/>
      <c r="AO686" s="65"/>
      <c r="AP686" s="65"/>
      <c r="AQ686" s="65"/>
      <c r="AR686" s="191"/>
      <c r="AS686" s="191"/>
      <c r="AT686" s="191"/>
      <c r="AU686" s="191"/>
      <c r="AV686" s="62"/>
      <c r="AW686" s="62"/>
      <c r="AX686" s="62"/>
      <c r="AY686" s="62"/>
      <c r="AZ686" s="62"/>
      <c r="BA686" s="65"/>
      <c r="BB686" s="65"/>
      <c r="BC686" s="596" t="s">
        <v>824</v>
      </c>
      <c r="BD686" s="829">
        <v>2566</v>
      </c>
      <c r="BE686" s="830">
        <v>2750</v>
      </c>
      <c r="BF686" s="829">
        <v>3300</v>
      </c>
      <c r="BG686" s="830">
        <v>3812</v>
      </c>
      <c r="BH686" s="830">
        <v>4252</v>
      </c>
      <c r="BI686" s="831">
        <v>4692</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2.75">
      <c r="A687" s="36"/>
      <c r="B687" s="226"/>
      <c r="C687" s="226"/>
      <c r="D687" s="545" t="s">
        <v>1143</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096">
        <v>43810</v>
      </c>
      <c r="AF687" s="1096"/>
      <c r="AG687" s="1096"/>
      <c r="AH687" s="1096"/>
      <c r="AI687" s="1096"/>
      <c r="AJ687" s="92"/>
      <c r="AK687" s="92"/>
      <c r="AL687" s="228"/>
      <c r="AM687" s="62"/>
      <c r="AN687" s="62"/>
      <c r="AO687" s="62"/>
      <c r="AP687" s="62"/>
      <c r="AQ687" s="62"/>
      <c r="AR687" s="191"/>
      <c r="AS687" s="191"/>
      <c r="AT687" s="191"/>
      <c r="AU687" s="191"/>
      <c r="AV687" s="62"/>
      <c r="AW687" s="62"/>
      <c r="AX687" s="62"/>
      <c r="AY687" s="62"/>
      <c r="AZ687" s="62"/>
      <c r="BA687" s="62"/>
      <c r="BB687" s="62"/>
      <c r="BC687" s="596" t="s">
        <v>825</v>
      </c>
      <c r="BD687" s="829">
        <v>1114</v>
      </c>
      <c r="BE687" s="830">
        <v>1194</v>
      </c>
      <c r="BF687" s="829">
        <v>1434</v>
      </c>
      <c r="BG687" s="830">
        <v>1656</v>
      </c>
      <c r="BH687" s="830">
        <v>1846</v>
      </c>
      <c r="BI687" s="831">
        <v>2038</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2.75">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6" t="s">
        <v>75</v>
      </c>
      <c r="BD688" s="829">
        <v>1456</v>
      </c>
      <c r="BE688" s="830">
        <v>1560</v>
      </c>
      <c r="BF688" s="829">
        <v>1872</v>
      </c>
      <c r="BG688" s="830">
        <v>2162</v>
      </c>
      <c r="BH688" s="830">
        <v>2414</v>
      </c>
      <c r="BI688" s="831">
        <v>2662</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2.75">
      <c r="A689" s="36"/>
      <c r="B689" s="226"/>
      <c r="C689" s="226"/>
      <c r="D689" s="227" t="s">
        <v>934</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095">
        <v>43830</v>
      </c>
      <c r="AF689" s="1095"/>
      <c r="AG689" s="1095"/>
      <c r="AH689" s="1095"/>
      <c r="AI689" s="1095"/>
      <c r="AJ689" s="228"/>
      <c r="AK689" s="228"/>
      <c r="AL689" s="228"/>
      <c r="AM689" s="62"/>
      <c r="AN689" s="62"/>
      <c r="AO689" s="62"/>
      <c r="AP689" s="62"/>
      <c r="AQ689" s="62"/>
      <c r="AR689" s="62"/>
      <c r="AS689" s="62"/>
      <c r="AT689" s="62"/>
      <c r="AU689" s="62"/>
      <c r="AV689" s="62"/>
      <c r="AW689" s="62"/>
      <c r="AX689" s="62"/>
      <c r="AY689" s="62"/>
      <c r="AZ689" s="62"/>
      <c r="BA689" s="62"/>
      <c r="BB689" s="62"/>
      <c r="BC689" s="596" t="s">
        <v>76</v>
      </c>
      <c r="BD689" s="829">
        <v>2566</v>
      </c>
      <c r="BE689" s="830">
        <v>2750</v>
      </c>
      <c r="BF689" s="829">
        <v>3300</v>
      </c>
      <c r="BG689" s="830">
        <v>3812</v>
      </c>
      <c r="BH689" s="830">
        <v>4252</v>
      </c>
      <c r="BI689" s="831">
        <v>4692</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2.75">
      <c r="A690" s="36"/>
      <c r="B690" s="226"/>
      <c r="C690" s="226"/>
      <c r="D690" s="227" t="s">
        <v>501</v>
      </c>
      <c r="E690" s="226"/>
      <c r="F690" s="226"/>
      <c r="G690" s="226"/>
      <c r="H690" s="226"/>
      <c r="I690" s="228"/>
      <c r="J690" s="228"/>
      <c r="K690" s="228"/>
      <c r="L690" s="228"/>
      <c r="M690" s="228"/>
      <c r="N690" s="228"/>
      <c r="O690" s="228"/>
      <c r="P690" s="228"/>
      <c r="Q690" s="228"/>
      <c r="R690" s="228"/>
      <c r="S690" s="228"/>
      <c r="T690" s="228"/>
      <c r="Y690" s="228"/>
      <c r="AE690" s="1097">
        <f>(AE545)/('Basis &amp; Credits'!T11+'Basis &amp; Credits'!AD11+'Sources and Uses Budget'!C4)</f>
        <v>0.95965100014143556</v>
      </c>
      <c r="AF690" s="1098"/>
      <c r="AG690" s="1098"/>
      <c r="AH690" s="1098"/>
      <c r="AI690" s="1098"/>
      <c r="AJ690" s="228"/>
      <c r="AK690" s="228"/>
      <c r="AL690" s="228"/>
      <c r="AM690" s="62"/>
      <c r="AN690" s="62"/>
      <c r="AO690" s="62"/>
      <c r="AP690" s="62"/>
      <c r="AQ690" s="62"/>
      <c r="AR690" s="62"/>
      <c r="AS690" s="62"/>
      <c r="AT690" s="62"/>
      <c r="AU690" s="62"/>
      <c r="AV690" s="62"/>
      <c r="AW690" s="62"/>
      <c r="AX690" s="62"/>
      <c r="AY690" s="62"/>
      <c r="AZ690" s="62"/>
      <c r="BA690" s="62"/>
      <c r="BB690" s="62"/>
      <c r="BC690" s="596" t="s">
        <v>209</v>
      </c>
      <c r="BD690" s="829">
        <v>1756</v>
      </c>
      <c r="BE690" s="830">
        <v>1882</v>
      </c>
      <c r="BF690" s="829">
        <v>2256</v>
      </c>
      <c r="BG690" s="830">
        <v>2608</v>
      </c>
      <c r="BH690" s="830">
        <v>2910</v>
      </c>
      <c r="BI690" s="831">
        <v>3210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2.75">
      <c r="A691" s="36"/>
      <c r="B691" s="226"/>
      <c r="C691" s="226"/>
      <c r="D691" s="229" t="s">
        <v>502</v>
      </c>
      <c r="E691" s="226"/>
      <c r="F691" s="226"/>
      <c r="G691" s="226"/>
      <c r="H691" s="226"/>
      <c r="I691" s="228"/>
      <c r="J691" s="228"/>
      <c r="K691" s="228"/>
      <c r="L691" s="228"/>
      <c r="M691" s="228"/>
      <c r="N691" s="228"/>
      <c r="O691" s="228"/>
      <c r="P691" s="228"/>
      <c r="Q691" s="228"/>
      <c r="R691" s="228"/>
      <c r="S691" s="228"/>
      <c r="T691" s="228"/>
      <c r="W691" s="1123" t="str">
        <f>H330</f>
        <v>CalPFA</v>
      </c>
      <c r="X691" s="1123"/>
      <c r="Y691" s="1123"/>
      <c r="Z691" s="1123"/>
      <c r="AA691" s="1123"/>
      <c r="AB691" s="1123"/>
      <c r="AC691" s="1123"/>
      <c r="AD691" s="1123"/>
      <c r="AE691" s="1123"/>
      <c r="AF691" s="1123"/>
      <c r="AG691" s="1123"/>
      <c r="AH691" s="1123"/>
      <c r="AI691" s="1123"/>
      <c r="AJ691" s="1123"/>
      <c r="AK691" s="1123"/>
      <c r="AL691" s="228"/>
      <c r="AM691" s="62"/>
      <c r="AN691" s="62"/>
      <c r="AO691" s="62"/>
      <c r="AP691" s="62"/>
      <c r="AQ691" s="62"/>
      <c r="AR691" s="62"/>
      <c r="AS691" s="62"/>
      <c r="AT691" s="62"/>
      <c r="AU691" s="62"/>
      <c r="AV691" s="62"/>
      <c r="AW691" s="62"/>
      <c r="AX691" s="62"/>
      <c r="AY691" s="62"/>
      <c r="AZ691" s="62"/>
      <c r="BA691" s="62"/>
      <c r="BB691" s="62"/>
      <c r="BC691" s="596" t="s">
        <v>210</v>
      </c>
      <c r="BD691" s="829">
        <v>2326</v>
      </c>
      <c r="BE691" s="830">
        <v>2492</v>
      </c>
      <c r="BF691" s="829">
        <v>2992</v>
      </c>
      <c r="BG691" s="830">
        <v>3458</v>
      </c>
      <c r="BH691" s="830">
        <v>3856</v>
      </c>
      <c r="BI691" s="831">
        <v>4256</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2.75">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6" t="s">
        <v>211</v>
      </c>
      <c r="BD692" s="829">
        <v>1954</v>
      </c>
      <c r="BE692" s="830">
        <v>2092</v>
      </c>
      <c r="BF692" s="829">
        <v>2512</v>
      </c>
      <c r="BG692" s="830">
        <v>2902</v>
      </c>
      <c r="BH692" s="830">
        <v>3236</v>
      </c>
      <c r="BI692" s="831">
        <v>3572</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2.75">
      <c r="A693" s="36"/>
      <c r="B693" s="226"/>
      <c r="C693" s="226"/>
      <c r="D693" s="227" t="s">
        <v>504</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22" t="s">
        <v>755</v>
      </c>
      <c r="AF693" s="1122"/>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6" t="s">
        <v>212</v>
      </c>
      <c r="BD693" s="829">
        <v>1074</v>
      </c>
      <c r="BE693" s="830">
        <v>1152</v>
      </c>
      <c r="BF693" s="829">
        <v>1382</v>
      </c>
      <c r="BG693" s="830">
        <v>1596</v>
      </c>
      <c r="BH693" s="830">
        <v>1782</v>
      </c>
      <c r="BI693" s="831">
        <v>1966</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2.75">
      <c r="A694" s="36"/>
      <c r="B694" s="226"/>
      <c r="C694" s="226"/>
      <c r="D694" s="227" t="s">
        <v>509</v>
      </c>
      <c r="E694" s="226"/>
      <c r="F694" s="226"/>
      <c r="G694" s="226"/>
      <c r="H694" s="226"/>
      <c r="I694" s="228"/>
      <c r="J694" s="228"/>
      <c r="K694" s="228"/>
      <c r="L694" s="228"/>
      <c r="M694" s="228"/>
      <c r="N694" s="228"/>
      <c r="O694" s="228"/>
      <c r="P694" s="228"/>
      <c r="Q694" s="228"/>
      <c r="R694" s="228"/>
      <c r="S694" s="228"/>
      <c r="T694" s="228"/>
      <c r="U694" s="228"/>
      <c r="V694" s="228"/>
      <c r="W694" s="1121"/>
      <c r="X694" s="1121"/>
      <c r="Y694" s="1121"/>
      <c r="Z694" s="1121"/>
      <c r="AA694" s="1121"/>
      <c r="AB694" s="1121"/>
      <c r="AC694" s="1121"/>
      <c r="AD694" s="1121"/>
      <c r="AE694" s="1121"/>
      <c r="AF694" s="1121"/>
      <c r="AG694" s="1121"/>
      <c r="AH694" s="1121"/>
      <c r="AI694" s="1121"/>
      <c r="AJ694" s="1121"/>
      <c r="AK694" s="1121"/>
      <c r="AL694" s="228"/>
      <c r="AM694" s="62"/>
      <c r="AN694" s="62"/>
      <c r="AO694" s="62"/>
      <c r="AP694" s="62"/>
      <c r="AQ694" s="62"/>
      <c r="AR694" s="62"/>
      <c r="AS694" s="62"/>
      <c r="AT694" s="62"/>
      <c r="AU694" s="62"/>
      <c r="AV694" s="62"/>
      <c r="AW694" s="62"/>
      <c r="AX694" s="62"/>
      <c r="AY694" s="62"/>
      <c r="AZ694" s="62"/>
      <c r="BA694" s="62"/>
      <c r="BB694" s="62"/>
      <c r="BC694" s="596" t="s">
        <v>213</v>
      </c>
      <c r="BD694" s="829">
        <v>1214</v>
      </c>
      <c r="BE694" s="830">
        <v>1302</v>
      </c>
      <c r="BF694" s="829">
        <v>1562</v>
      </c>
      <c r="BG694" s="830">
        <v>1804</v>
      </c>
      <c r="BH694" s="830">
        <v>2014</v>
      </c>
      <c r="BI694" s="831">
        <v>2222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2.75">
      <c r="A695" s="36"/>
      <c r="B695" s="226"/>
      <c r="C695" s="226"/>
      <c r="D695" s="227" t="s">
        <v>95</v>
      </c>
      <c r="E695" s="226"/>
      <c r="F695" s="226"/>
      <c r="G695" s="226"/>
      <c r="H695" s="226"/>
      <c r="I695" s="228"/>
      <c r="J695" s="1121"/>
      <c r="K695" s="1121"/>
      <c r="L695" s="1121"/>
      <c r="M695" s="1121"/>
      <c r="N695" s="1121"/>
      <c r="O695" s="1121"/>
      <c r="P695" s="1121"/>
      <c r="Q695" s="1121"/>
      <c r="R695" s="1121"/>
      <c r="S695" s="1121"/>
      <c r="T695" s="1121"/>
      <c r="U695" s="1121"/>
      <c r="V695" s="1121"/>
      <c r="W695" s="1121"/>
      <c r="X695" s="1121"/>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6" t="s">
        <v>214</v>
      </c>
      <c r="BD695" s="829">
        <v>1044</v>
      </c>
      <c r="BE695" s="830">
        <v>1120</v>
      </c>
      <c r="BF695" s="829">
        <v>1344</v>
      </c>
      <c r="BG695" s="830">
        <v>1552</v>
      </c>
      <c r="BH695" s="830">
        <v>1732</v>
      </c>
      <c r="BI695" s="831">
        <v>1912</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2.75">
      <c r="A696" s="36"/>
      <c r="B696" s="226"/>
      <c r="C696" s="226"/>
      <c r="D696" s="229" t="s">
        <v>96</v>
      </c>
      <c r="J696" s="1125"/>
      <c r="K696" s="1125"/>
      <c r="L696" s="1125"/>
      <c r="M696" s="1125"/>
      <c r="N696" s="1125"/>
      <c r="O696" s="1125"/>
      <c r="P696" s="8" t="s">
        <v>224</v>
      </c>
      <c r="Q696" s="8"/>
      <c r="R696" s="1126"/>
      <c r="S696" s="1126"/>
      <c r="T696" s="1126"/>
      <c r="AL696" s="228"/>
      <c r="AM696" s="62"/>
      <c r="AN696" s="62"/>
      <c r="AO696" s="62"/>
      <c r="AP696" s="62"/>
      <c r="AQ696" s="62"/>
      <c r="AR696" s="62"/>
      <c r="AS696" s="62"/>
      <c r="AT696" s="62"/>
      <c r="AU696" s="62"/>
      <c r="AV696" s="62"/>
      <c r="AW696" s="62"/>
      <c r="AX696" s="62"/>
      <c r="AY696" s="62"/>
      <c r="AZ696" s="62"/>
      <c r="BA696" s="62"/>
      <c r="BB696" s="62"/>
      <c r="BC696" s="596" t="s">
        <v>215</v>
      </c>
      <c r="BD696" s="829">
        <v>1464</v>
      </c>
      <c r="BE696" s="830">
        <v>1570</v>
      </c>
      <c r="BF696" s="829">
        <v>1884</v>
      </c>
      <c r="BG696" s="830">
        <v>2176</v>
      </c>
      <c r="BH696" s="830">
        <v>2426</v>
      </c>
      <c r="BI696" s="831">
        <v>2678</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2.75">
      <c r="A697" s="36"/>
      <c r="B697" s="226"/>
      <c r="C697" s="226"/>
      <c r="D697" s="229" t="s">
        <v>510</v>
      </c>
      <c r="W697" s="1121" t="s">
        <v>333</v>
      </c>
      <c r="X697" s="1121"/>
      <c r="Y697" s="1121"/>
      <c r="Z697" s="1121"/>
      <c r="AA697" s="1121"/>
      <c r="AB697" s="1121"/>
      <c r="AC697" s="1121"/>
      <c r="AD697" s="1121"/>
      <c r="AE697" s="1121"/>
      <c r="AF697" s="1121"/>
      <c r="AG697" s="1121"/>
      <c r="AH697" s="1121"/>
      <c r="AI697" s="1121"/>
      <c r="AJ697" s="1121"/>
      <c r="AK697" s="1121"/>
      <c r="AL697" s="228"/>
      <c r="AM697" s="62"/>
      <c r="AN697" s="62"/>
      <c r="AO697" s="62"/>
      <c r="AP697" s="62"/>
      <c r="AQ697" s="62"/>
      <c r="AR697" s="62"/>
      <c r="AS697" s="62"/>
      <c r="AT697" s="62"/>
      <c r="AU697" s="62"/>
      <c r="AV697" s="62"/>
      <c r="AW697" s="62"/>
      <c r="AX697" s="62"/>
      <c r="AY697" s="62"/>
      <c r="AZ697" s="62"/>
      <c r="BA697" s="62"/>
      <c r="BB697" s="62"/>
      <c r="BC697" s="596" t="s">
        <v>191</v>
      </c>
      <c r="BD697" s="829">
        <v>1720</v>
      </c>
      <c r="BE697" s="830">
        <v>1842</v>
      </c>
      <c r="BF697" s="829">
        <v>2210</v>
      </c>
      <c r="BG697" s="830">
        <v>2552</v>
      </c>
      <c r="BH697" s="830">
        <v>2850</v>
      </c>
      <c r="BI697" s="831">
        <v>3142</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2.75">
      <c r="A698" s="36"/>
      <c r="B698" s="226"/>
      <c r="C698" s="226"/>
      <c r="D698" s="229"/>
      <c r="E698" s="1121" t="s">
        <v>361</v>
      </c>
      <c r="F698" s="1121"/>
      <c r="G698" s="1121"/>
      <c r="H698" s="1121"/>
      <c r="I698" s="1121"/>
      <c r="J698" s="1121"/>
      <c r="K698" s="1121"/>
      <c r="L698" s="1121"/>
      <c r="M698" s="1121"/>
      <c r="N698" s="1121"/>
      <c r="O698" s="1121"/>
      <c r="P698" s="1121"/>
      <c r="Q698" s="1121"/>
      <c r="R698" s="1121"/>
      <c r="S698" s="1121"/>
      <c r="T698" s="1121"/>
      <c r="U698" s="1121"/>
      <c r="V698" s="1121"/>
      <c r="W698" s="1121"/>
      <c r="X698" s="1121"/>
      <c r="Y698" s="1121"/>
      <c r="Z698" s="1121"/>
      <c r="AA698" s="1121"/>
      <c r="AB698" s="1121"/>
      <c r="AC698" s="1121"/>
      <c r="AD698" s="1121"/>
      <c r="AE698" s="1121"/>
      <c r="AF698" s="1121"/>
      <c r="AG698" s="1121"/>
      <c r="AH698" s="1121"/>
      <c r="AI698" s="1121"/>
      <c r="AJ698" s="1121"/>
      <c r="AK698" s="1121"/>
      <c r="AL698" s="228"/>
      <c r="AM698" s="62"/>
      <c r="AN698" s="62"/>
      <c r="AO698" s="62"/>
      <c r="AP698" s="62"/>
      <c r="AQ698" s="62"/>
      <c r="AR698" s="62"/>
      <c r="AS698" s="62"/>
      <c r="AT698" s="62"/>
      <c r="AU698" s="62"/>
      <c r="AV698" s="62"/>
      <c r="AW698" s="62"/>
      <c r="AX698" s="62"/>
      <c r="AY698" s="62"/>
      <c r="AZ698" s="62"/>
      <c r="BA698" s="62"/>
      <c r="BB698" s="62"/>
      <c r="BC698" s="596" t="s">
        <v>216</v>
      </c>
      <c r="BD698" s="829">
        <v>1062</v>
      </c>
      <c r="BE698" s="830">
        <v>1138</v>
      </c>
      <c r="BF698" s="829">
        <v>1366</v>
      </c>
      <c r="BG698" s="830">
        <v>1578</v>
      </c>
      <c r="BH698" s="830">
        <v>1762</v>
      </c>
      <c r="BI698" s="831">
        <v>1942</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2.75">
      <c r="AM699" s="62"/>
      <c r="AN699" s="62"/>
      <c r="AO699" s="62"/>
      <c r="AP699" s="62"/>
      <c r="AQ699" s="62"/>
      <c r="AR699" s="62"/>
      <c r="AS699" s="62"/>
      <c r="AT699" s="62"/>
      <c r="AU699" s="62"/>
      <c r="AV699" s="62"/>
      <c r="AW699" s="62"/>
      <c r="AX699" s="62"/>
      <c r="AY699" s="62"/>
      <c r="AZ699" s="62"/>
      <c r="BA699" s="62"/>
      <c r="BB699" s="62"/>
      <c r="BC699" s="596" t="s">
        <v>217</v>
      </c>
      <c r="BD699" s="829">
        <v>1050</v>
      </c>
      <c r="BE699" s="830">
        <v>1124</v>
      </c>
      <c r="BF699" s="829">
        <v>1350</v>
      </c>
      <c r="BG699" s="830">
        <v>1560</v>
      </c>
      <c r="BH699" s="830">
        <v>1740</v>
      </c>
      <c r="BI699" s="831">
        <v>1920</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2.75">
      <c r="A700" s="1136" t="s">
        <v>103</v>
      </c>
      <c r="B700" s="1136"/>
      <c r="C700" s="1136"/>
      <c r="D700" s="1136"/>
      <c r="E700" s="1136"/>
      <c r="F700" s="1136"/>
      <c r="G700" s="1136"/>
      <c r="H700" s="1136"/>
      <c r="I700" s="1136"/>
      <c r="J700" s="1136"/>
      <c r="K700" s="1136"/>
      <c r="L700" s="1136"/>
      <c r="M700" s="1136"/>
      <c r="N700" s="1136"/>
      <c r="O700" s="1136"/>
      <c r="P700" s="1136"/>
      <c r="Q700" s="1136"/>
      <c r="R700" s="1136"/>
      <c r="S700" s="1136"/>
      <c r="T700" s="1136"/>
      <c r="U700" s="1136"/>
      <c r="V700" s="1136"/>
      <c r="W700" s="1136"/>
      <c r="X700" s="1136"/>
      <c r="Y700" s="1136"/>
      <c r="Z700" s="1136"/>
      <c r="AA700" s="1136"/>
      <c r="AB700" s="1136"/>
      <c r="AC700" s="1136"/>
      <c r="AD700" s="1136"/>
      <c r="AE700" s="1136"/>
      <c r="AF700" s="1136"/>
      <c r="AG700" s="1136"/>
      <c r="AH700" s="1136"/>
      <c r="AI700" s="1136"/>
      <c r="AJ700" s="1136"/>
      <c r="AK700" s="1136"/>
      <c r="AL700" s="1136"/>
      <c r="AM700" s="62"/>
      <c r="AN700" s="62"/>
      <c r="AO700" s="62"/>
      <c r="AP700" s="62"/>
      <c r="AQ700" s="62"/>
      <c r="AR700" s="62"/>
      <c r="AS700" s="62"/>
      <c r="AT700" s="62"/>
      <c r="AU700" s="62"/>
      <c r="AV700" s="62"/>
      <c r="AW700" s="62"/>
      <c r="AX700" s="62"/>
      <c r="AY700" s="62"/>
      <c r="AZ700" s="62"/>
      <c r="BA700" s="62"/>
      <c r="BB700" s="62"/>
      <c r="BC700" s="596" t="s">
        <v>218</v>
      </c>
      <c r="BD700" s="829">
        <v>1044</v>
      </c>
      <c r="BE700" s="830">
        <v>1120</v>
      </c>
      <c r="BF700" s="829">
        <v>1344</v>
      </c>
      <c r="BG700" s="830">
        <v>1552</v>
      </c>
      <c r="BH700" s="830">
        <v>1732</v>
      </c>
      <c r="BI700" s="831">
        <v>1912</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5"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62"/>
      <c r="AN701" s="62"/>
      <c r="AO701" s="62"/>
      <c r="AP701" s="62"/>
      <c r="AQ701" s="62"/>
      <c r="AR701" s="62"/>
      <c r="AS701" s="62"/>
      <c r="AT701" s="62"/>
      <c r="AU701" s="62"/>
      <c r="AV701" s="62"/>
      <c r="AW701" s="62"/>
      <c r="AX701" s="62"/>
      <c r="AY701" s="62"/>
      <c r="AZ701" s="62"/>
      <c r="BA701" s="62"/>
      <c r="BB701" s="62"/>
      <c r="BC701" s="596" t="s">
        <v>219</v>
      </c>
      <c r="BD701" s="829">
        <v>1044</v>
      </c>
      <c r="BE701" s="830">
        <v>1120</v>
      </c>
      <c r="BF701" s="829">
        <v>1344</v>
      </c>
      <c r="BG701" s="830">
        <v>1552</v>
      </c>
      <c r="BH701" s="830">
        <v>1732</v>
      </c>
      <c r="BI701" s="831">
        <v>1912</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5"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6" t="s">
        <v>220</v>
      </c>
      <c r="BD702" s="829">
        <v>1044</v>
      </c>
      <c r="BE702" s="830">
        <v>1120</v>
      </c>
      <c r="BF702" s="829">
        <v>1344</v>
      </c>
      <c r="BG702" s="830">
        <v>1552</v>
      </c>
      <c r="BH702" s="830">
        <v>1732</v>
      </c>
      <c r="BI702" s="831">
        <v>1912</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2.75">
      <c r="A703" s="54" t="s">
        <v>345</v>
      </c>
      <c r="B703" s="54"/>
      <c r="C703" s="54" t="s">
        <v>22</v>
      </c>
      <c r="AM703" s="62"/>
      <c r="AN703" s="62"/>
      <c r="AO703" s="62"/>
      <c r="AP703" s="62"/>
      <c r="AQ703" s="62"/>
      <c r="AR703" s="62"/>
      <c r="AS703" s="62"/>
      <c r="AT703" s="62"/>
      <c r="AU703" s="62"/>
      <c r="AV703" s="62"/>
      <c r="AW703" s="62"/>
      <c r="AX703" s="62"/>
      <c r="AY703" s="62"/>
      <c r="AZ703" s="62"/>
      <c r="BA703" s="62"/>
      <c r="BB703" s="62"/>
      <c r="BC703" s="596" t="s">
        <v>139</v>
      </c>
      <c r="BD703" s="829">
        <v>1106</v>
      </c>
      <c r="BE703" s="830">
        <v>1186</v>
      </c>
      <c r="BF703" s="829">
        <v>1422</v>
      </c>
      <c r="BG703" s="830">
        <v>1642</v>
      </c>
      <c r="BH703" s="830">
        <v>1834</v>
      </c>
      <c r="BI703" s="831">
        <v>2022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2.75">
      <c r="A704" s="54"/>
      <c r="B704" s="54"/>
      <c r="C704" s="54"/>
      <c r="AM704" s="62"/>
      <c r="AN704" s="62"/>
      <c r="AO704" s="62"/>
      <c r="AP704" s="62"/>
      <c r="AQ704" s="62"/>
      <c r="AR704" s="62"/>
      <c r="AS704" s="62"/>
      <c r="AT704" s="62"/>
      <c r="AU704" s="62"/>
      <c r="AV704" s="62"/>
      <c r="AW704" s="62"/>
      <c r="AX704" s="62"/>
      <c r="AY704" s="62"/>
      <c r="AZ704" s="62"/>
      <c r="BA704" s="62"/>
      <c r="BB704" s="62"/>
      <c r="BC704" s="596" t="s">
        <v>221</v>
      </c>
      <c r="BD704" s="832">
        <v>1774</v>
      </c>
      <c r="BE704" s="833">
        <v>1902</v>
      </c>
      <c r="BF704" s="832">
        <v>2282</v>
      </c>
      <c r="BG704" s="833">
        <v>2636</v>
      </c>
      <c r="BH704" s="833">
        <v>2942</v>
      </c>
      <c r="BI704" s="834">
        <v>3246</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2.75">
      <c r="B705" s="1127" t="s">
        <v>434</v>
      </c>
      <c r="C705" s="1128"/>
      <c r="D705" s="1128"/>
      <c r="E705" s="1128"/>
      <c r="F705" s="1129"/>
      <c r="G705" s="1127" t="s">
        <v>306</v>
      </c>
      <c r="H705" s="1128"/>
      <c r="I705" s="1128"/>
      <c r="J705" s="1129"/>
      <c r="K705" s="1127" t="s">
        <v>521</v>
      </c>
      <c r="L705" s="1128"/>
      <c r="M705" s="1128"/>
      <c r="N705" s="1128"/>
      <c r="O705" s="1129"/>
      <c r="P705" s="1127" t="s">
        <v>307</v>
      </c>
      <c r="Q705" s="1128"/>
      <c r="R705" s="1128"/>
      <c r="S705" s="1128"/>
      <c r="T705" s="1129"/>
      <c r="U705" s="1127" t="s">
        <v>308</v>
      </c>
      <c r="V705" s="1128"/>
      <c r="W705" s="1128"/>
      <c r="X705" s="1129"/>
      <c r="Y705" s="1127" t="s">
        <v>309</v>
      </c>
      <c r="Z705" s="1128"/>
      <c r="AA705" s="1128"/>
      <c r="AB705" s="1128"/>
      <c r="AC705" s="1129"/>
      <c r="AD705" s="1127" t="s">
        <v>435</v>
      </c>
      <c r="AE705" s="1128"/>
      <c r="AF705" s="1128"/>
      <c r="AG705" s="1128"/>
      <c r="AH705" s="1129"/>
      <c r="AI705" s="1127" t="s">
        <v>730</v>
      </c>
      <c r="AJ705" s="1128"/>
      <c r="AK705" s="1129"/>
      <c r="AL705" s="62"/>
      <c r="AM705" s="62"/>
      <c r="AN705" s="62"/>
      <c r="AO705" s="62"/>
      <c r="AP705" s="62"/>
      <c r="AQ705" s="62"/>
      <c r="AR705" s="62"/>
      <c r="AS705" s="62"/>
      <c r="AT705" s="62"/>
      <c r="AU705" s="62"/>
      <c r="AV705" s="62"/>
      <c r="AW705" s="62"/>
      <c r="AX705" s="62"/>
      <c r="AY705" s="62"/>
      <c r="AZ705" s="62"/>
      <c r="BA705" s="62"/>
      <c r="BB705" s="62"/>
      <c r="BC705" s="596" t="s">
        <v>222</v>
      </c>
      <c r="BD705" s="835">
        <v>1456</v>
      </c>
      <c r="BE705" s="836">
        <v>1560</v>
      </c>
      <c r="BF705" s="835">
        <v>1872</v>
      </c>
      <c r="BG705" s="836">
        <v>2162</v>
      </c>
      <c r="BH705" s="836">
        <v>2414</v>
      </c>
      <c r="BI705" s="837">
        <v>2662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5" thickBot="1">
      <c r="B706" s="1130"/>
      <c r="C706" s="1131"/>
      <c r="D706" s="1131"/>
      <c r="E706" s="1131"/>
      <c r="F706" s="1132"/>
      <c r="G706" s="1130"/>
      <c r="H706" s="1131"/>
      <c r="I706" s="1131"/>
      <c r="J706" s="1132"/>
      <c r="K706" s="1130"/>
      <c r="L706" s="1131"/>
      <c r="M706" s="1131"/>
      <c r="N706" s="1131"/>
      <c r="O706" s="1132"/>
      <c r="P706" s="1130"/>
      <c r="Q706" s="1131"/>
      <c r="R706" s="1131"/>
      <c r="S706" s="1131"/>
      <c r="T706" s="1132"/>
      <c r="U706" s="1130"/>
      <c r="V706" s="1131"/>
      <c r="W706" s="1131"/>
      <c r="X706" s="1132"/>
      <c r="Y706" s="1130"/>
      <c r="Z706" s="1131"/>
      <c r="AA706" s="1131"/>
      <c r="AB706" s="1131"/>
      <c r="AC706" s="1132"/>
      <c r="AD706" s="1130"/>
      <c r="AE706" s="1131"/>
      <c r="AF706" s="1131"/>
      <c r="AG706" s="1131"/>
      <c r="AH706" s="1132"/>
      <c r="AI706" s="1130"/>
      <c r="AJ706" s="1131"/>
      <c r="AK706" s="1132"/>
      <c r="AL706" s="62"/>
      <c r="AM706" s="62"/>
      <c r="AN706" s="62"/>
      <c r="AO706" s="62"/>
      <c r="AP706" s="62"/>
      <c r="AQ706" s="62"/>
      <c r="AR706" s="62"/>
      <c r="AS706" s="62"/>
      <c r="AT706" s="62"/>
      <c r="AU706" s="62"/>
      <c r="AV706" s="62"/>
      <c r="AW706" s="62"/>
      <c r="AX706" s="62"/>
      <c r="AY706" s="62"/>
      <c r="AZ706" s="62"/>
      <c r="BA706" s="62"/>
      <c r="BB706" s="62"/>
      <c r="BC706" s="596" t="s">
        <v>223</v>
      </c>
      <c r="BD706" s="838">
        <v>1050</v>
      </c>
      <c r="BE706" s="839">
        <v>1124</v>
      </c>
      <c r="BF706" s="838">
        <v>1350</v>
      </c>
      <c r="BG706" s="839">
        <v>1560</v>
      </c>
      <c r="BH706" s="839">
        <v>1740</v>
      </c>
      <c r="BI706" s="840">
        <v>1920</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2.75">
      <c r="A707" s="8"/>
      <c r="B707" s="1130"/>
      <c r="C707" s="1131"/>
      <c r="D707" s="1131"/>
      <c r="E707" s="1131"/>
      <c r="F707" s="1132"/>
      <c r="G707" s="1130"/>
      <c r="H707" s="1131"/>
      <c r="I707" s="1131"/>
      <c r="J707" s="1132"/>
      <c r="K707" s="1130"/>
      <c r="L707" s="1131"/>
      <c r="M707" s="1131"/>
      <c r="N707" s="1131"/>
      <c r="O707" s="1132"/>
      <c r="P707" s="1130"/>
      <c r="Q707" s="1131"/>
      <c r="R707" s="1131"/>
      <c r="S707" s="1131"/>
      <c r="T707" s="1132"/>
      <c r="U707" s="1130"/>
      <c r="V707" s="1131"/>
      <c r="W707" s="1131"/>
      <c r="X707" s="1132"/>
      <c r="Y707" s="1130"/>
      <c r="Z707" s="1131"/>
      <c r="AA707" s="1131"/>
      <c r="AB707" s="1131"/>
      <c r="AC707" s="1132"/>
      <c r="AD707" s="1130"/>
      <c r="AE707" s="1131"/>
      <c r="AF707" s="1131"/>
      <c r="AG707" s="1131"/>
      <c r="AH707" s="1132"/>
      <c r="AI707" s="1130"/>
      <c r="AJ707" s="1131"/>
      <c r="AK707" s="1132"/>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2.75">
      <c r="A708" s="8"/>
      <c r="B708" s="1133"/>
      <c r="C708" s="1134"/>
      <c r="D708" s="1134"/>
      <c r="E708" s="1134"/>
      <c r="F708" s="1135"/>
      <c r="G708" s="1133"/>
      <c r="H708" s="1134"/>
      <c r="I708" s="1134"/>
      <c r="J708" s="1135"/>
      <c r="K708" s="1133"/>
      <c r="L708" s="1134"/>
      <c r="M708" s="1134"/>
      <c r="N708" s="1134"/>
      <c r="O708" s="1135"/>
      <c r="P708" s="1133"/>
      <c r="Q708" s="1134"/>
      <c r="R708" s="1134"/>
      <c r="S708" s="1134"/>
      <c r="T708" s="1135"/>
      <c r="U708" s="1133"/>
      <c r="V708" s="1134"/>
      <c r="W708" s="1134"/>
      <c r="X708" s="1135"/>
      <c r="Y708" s="1133"/>
      <c r="Z708" s="1134"/>
      <c r="AA708" s="1134"/>
      <c r="AB708" s="1134"/>
      <c r="AC708" s="1135"/>
      <c r="AD708" s="1133"/>
      <c r="AE708" s="1134"/>
      <c r="AF708" s="1134"/>
      <c r="AG708" s="1134"/>
      <c r="AH708" s="1135"/>
      <c r="AI708" s="1133"/>
      <c r="AJ708" s="1134"/>
      <c r="AK708" s="1135"/>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2.75">
      <c r="A709" s="8"/>
      <c r="B709" s="1189" t="s">
        <v>174</v>
      </c>
      <c r="C709" s="1190"/>
      <c r="D709" s="1190"/>
      <c r="E709" s="1190"/>
      <c r="F709" s="1191"/>
      <c r="G709" s="1146">
        <v>4</v>
      </c>
      <c r="H709" s="1147"/>
      <c r="I709" s="1147"/>
      <c r="J709" s="1148"/>
      <c r="K709" s="1174">
        <v>663</v>
      </c>
      <c r="L709" s="1175"/>
      <c r="M709" s="1175"/>
      <c r="N709" s="1175"/>
      <c r="O709" s="1176"/>
      <c r="P709" s="1193">
        <f t="shared" ref="P709:P733" si="26">G709*K709</f>
        <v>2652</v>
      </c>
      <c r="Q709" s="1137"/>
      <c r="R709" s="1137"/>
      <c r="S709" s="1137"/>
      <c r="T709" s="1194"/>
      <c r="U709" s="1174">
        <v>66</v>
      </c>
      <c r="V709" s="1175"/>
      <c r="W709" s="1175"/>
      <c r="X709" s="1176"/>
      <c r="Y709" s="1193">
        <f>K709+U709</f>
        <v>729</v>
      </c>
      <c r="Z709" s="1137"/>
      <c r="AA709" s="1137"/>
      <c r="AB709" s="1137"/>
      <c r="AC709" s="1194"/>
      <c r="AD709" s="1170">
        <v>0.3</v>
      </c>
      <c r="AE709" s="1171"/>
      <c r="AF709" s="1171"/>
      <c r="AG709" s="1171"/>
      <c r="AH709" s="1172"/>
      <c r="AI709" s="1157">
        <f t="shared" ref="AI709:AI733" si="27">IF($AD709&gt;0,($Y709/$AN649), " ")</f>
        <v>0.32986425339366515</v>
      </c>
      <c r="AJ709" s="1158"/>
      <c r="AK709" s="1159"/>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2.75">
      <c r="A710" s="8"/>
      <c r="B710" s="1189" t="s">
        <v>174</v>
      </c>
      <c r="C710" s="1190"/>
      <c r="D710" s="1190"/>
      <c r="E710" s="1190"/>
      <c r="F710" s="1191"/>
      <c r="G710" s="1146">
        <v>4</v>
      </c>
      <c r="H710" s="1147"/>
      <c r="I710" s="1147"/>
      <c r="J710" s="1148"/>
      <c r="K710" s="1174">
        <v>906</v>
      </c>
      <c r="L710" s="1175"/>
      <c r="M710" s="1175"/>
      <c r="N710" s="1175"/>
      <c r="O710" s="1176"/>
      <c r="P710" s="1193">
        <f t="shared" si="26"/>
        <v>3624</v>
      </c>
      <c r="Q710" s="1137"/>
      <c r="R710" s="1137"/>
      <c r="S710" s="1137"/>
      <c r="T710" s="1194"/>
      <c r="U710" s="1174">
        <v>66</v>
      </c>
      <c r="V710" s="1175"/>
      <c r="W710" s="1175"/>
      <c r="X710" s="1176"/>
      <c r="Y710" s="1193">
        <f t="shared" ref="Y710:Y733" si="28">K710+U710</f>
        <v>972</v>
      </c>
      <c r="Z710" s="1137"/>
      <c r="AA710" s="1137"/>
      <c r="AB710" s="1137"/>
      <c r="AC710" s="1194"/>
      <c r="AD710" s="1170">
        <v>0.4</v>
      </c>
      <c r="AE710" s="1171"/>
      <c r="AF710" s="1171"/>
      <c r="AG710" s="1171"/>
      <c r="AH710" s="1172"/>
      <c r="AI710" s="1157">
        <f t="shared" si="27"/>
        <v>0.43981900452488687</v>
      </c>
      <c r="AJ710" s="1158"/>
      <c r="AK710" s="1159"/>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2.75">
      <c r="A711" s="8"/>
      <c r="B711" s="1189" t="s">
        <v>175</v>
      </c>
      <c r="C711" s="1190"/>
      <c r="D711" s="1190"/>
      <c r="E711" s="1190"/>
      <c r="F711" s="1191"/>
      <c r="G711" s="1146">
        <v>10</v>
      </c>
      <c r="H711" s="1147"/>
      <c r="I711" s="1147"/>
      <c r="J711" s="1148"/>
      <c r="K711" s="1174">
        <v>766</v>
      </c>
      <c r="L711" s="1175"/>
      <c r="M711" s="1175"/>
      <c r="N711" s="1175"/>
      <c r="O711" s="1176"/>
      <c r="P711" s="1193">
        <f t="shared" si="26"/>
        <v>7660</v>
      </c>
      <c r="Q711" s="1137"/>
      <c r="R711" s="1137"/>
      <c r="S711" s="1137"/>
      <c r="T711" s="1194"/>
      <c r="U711" s="1174">
        <v>76</v>
      </c>
      <c r="V711" s="1175"/>
      <c r="W711" s="1175"/>
      <c r="X711" s="1176"/>
      <c r="Y711" s="1193">
        <f t="shared" si="28"/>
        <v>842</v>
      </c>
      <c r="Z711" s="1137"/>
      <c r="AA711" s="1137"/>
      <c r="AB711" s="1137"/>
      <c r="AC711" s="1194"/>
      <c r="AD711" s="1170">
        <v>0.3</v>
      </c>
      <c r="AE711" s="1171"/>
      <c r="AF711" s="1171"/>
      <c r="AG711" s="1171"/>
      <c r="AH711" s="1172"/>
      <c r="AI711" s="1157">
        <f t="shared" si="27"/>
        <v>0.32993730407523508</v>
      </c>
      <c r="AJ711" s="1158"/>
      <c r="AK711" s="1159"/>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2.75">
      <c r="B712" s="1189" t="s">
        <v>175</v>
      </c>
      <c r="C712" s="1190"/>
      <c r="D712" s="1190"/>
      <c r="E712" s="1190"/>
      <c r="F712" s="1191"/>
      <c r="G712" s="1146">
        <v>32</v>
      </c>
      <c r="H712" s="1147"/>
      <c r="I712" s="1147"/>
      <c r="J712" s="1148"/>
      <c r="K712" s="1226">
        <v>1047</v>
      </c>
      <c r="L712" s="1226"/>
      <c r="M712" s="1226"/>
      <c r="N712" s="1226"/>
      <c r="O712" s="1226"/>
      <c r="P712" s="1145">
        <f t="shared" si="26"/>
        <v>33504</v>
      </c>
      <c r="Q712" s="1145"/>
      <c r="R712" s="1145"/>
      <c r="S712" s="1145"/>
      <c r="T712" s="1145"/>
      <c r="U712" s="1174">
        <v>76</v>
      </c>
      <c r="V712" s="1175"/>
      <c r="W712" s="1175"/>
      <c r="X712" s="1176"/>
      <c r="Y712" s="1145">
        <f t="shared" si="28"/>
        <v>1123</v>
      </c>
      <c r="Z712" s="1145"/>
      <c r="AA712" s="1145"/>
      <c r="AB712" s="1145"/>
      <c r="AC712" s="1145"/>
      <c r="AD712" s="1170">
        <v>0.4</v>
      </c>
      <c r="AE712" s="1171"/>
      <c r="AF712" s="1171"/>
      <c r="AG712" s="1171"/>
      <c r="AH712" s="1172"/>
      <c r="AI712" s="1157">
        <f t="shared" si="27"/>
        <v>0.44004702194357365</v>
      </c>
      <c r="AJ712" s="1158"/>
      <c r="AK712" s="1159"/>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2.75">
      <c r="B713" s="1189" t="s">
        <v>175</v>
      </c>
      <c r="C713" s="1190"/>
      <c r="D713" s="1190"/>
      <c r="E713" s="1190"/>
      <c r="F713" s="1191"/>
      <c r="G713" s="1146">
        <v>14</v>
      </c>
      <c r="H713" s="1147"/>
      <c r="I713" s="1147"/>
      <c r="J713" s="1148"/>
      <c r="K713" s="1226">
        <v>1328</v>
      </c>
      <c r="L713" s="1226"/>
      <c r="M713" s="1226"/>
      <c r="N713" s="1226"/>
      <c r="O713" s="1226"/>
      <c r="P713" s="1145">
        <f t="shared" si="26"/>
        <v>18592</v>
      </c>
      <c r="Q713" s="1145"/>
      <c r="R713" s="1145"/>
      <c r="S713" s="1145"/>
      <c r="T713" s="1145"/>
      <c r="U713" s="1174">
        <v>76</v>
      </c>
      <c r="V713" s="1175"/>
      <c r="W713" s="1175"/>
      <c r="X713" s="1176"/>
      <c r="Y713" s="1145">
        <f t="shared" si="28"/>
        <v>1404</v>
      </c>
      <c r="Z713" s="1145"/>
      <c r="AA713" s="1145"/>
      <c r="AB713" s="1145"/>
      <c r="AC713" s="1145"/>
      <c r="AD713" s="1170">
        <v>0.5</v>
      </c>
      <c r="AE713" s="1171"/>
      <c r="AF713" s="1171"/>
      <c r="AG713" s="1171"/>
      <c r="AH713" s="1172"/>
      <c r="AI713" s="1157">
        <f t="shared" si="27"/>
        <v>0.55015673981191227</v>
      </c>
      <c r="AJ713" s="1158"/>
      <c r="AK713" s="1159"/>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2.75">
      <c r="B714" s="1189" t="s">
        <v>176</v>
      </c>
      <c r="C714" s="1190"/>
      <c r="D714" s="1190"/>
      <c r="E714" s="1190"/>
      <c r="F714" s="1191"/>
      <c r="G714" s="1146">
        <v>6</v>
      </c>
      <c r="H714" s="1147"/>
      <c r="I714" s="1147"/>
      <c r="J714" s="1148"/>
      <c r="K714" s="1226">
        <v>853</v>
      </c>
      <c r="L714" s="1226"/>
      <c r="M714" s="1226"/>
      <c r="N714" s="1226"/>
      <c r="O714" s="1226"/>
      <c r="P714" s="1145">
        <f t="shared" si="26"/>
        <v>5118</v>
      </c>
      <c r="Q714" s="1145"/>
      <c r="R714" s="1145"/>
      <c r="S714" s="1145"/>
      <c r="T714" s="1145"/>
      <c r="U714" s="1174">
        <v>86</v>
      </c>
      <c r="V714" s="1175"/>
      <c r="W714" s="1175"/>
      <c r="X714" s="1176"/>
      <c r="Y714" s="1145">
        <f t="shared" si="28"/>
        <v>939</v>
      </c>
      <c r="Z714" s="1145"/>
      <c r="AA714" s="1145"/>
      <c r="AB714" s="1145"/>
      <c r="AC714" s="1145"/>
      <c r="AD714" s="1170">
        <v>0.3</v>
      </c>
      <c r="AE714" s="1171"/>
      <c r="AF714" s="1171"/>
      <c r="AG714" s="1171"/>
      <c r="AH714" s="1172"/>
      <c r="AI714" s="1157">
        <f t="shared" si="27"/>
        <v>0.32947368421052631</v>
      </c>
      <c r="AJ714" s="1158"/>
      <c r="AK714" s="1159"/>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2.75">
      <c r="B715" s="1189" t="s">
        <v>176</v>
      </c>
      <c r="C715" s="1190"/>
      <c r="D715" s="1190"/>
      <c r="E715" s="1190"/>
      <c r="F715" s="1191"/>
      <c r="G715" s="1146">
        <v>5</v>
      </c>
      <c r="H715" s="1147"/>
      <c r="I715" s="1147"/>
      <c r="J715" s="1148"/>
      <c r="K715" s="1226">
        <v>1167</v>
      </c>
      <c r="L715" s="1226"/>
      <c r="M715" s="1226"/>
      <c r="N715" s="1226"/>
      <c r="O715" s="1226"/>
      <c r="P715" s="1145">
        <f t="shared" si="26"/>
        <v>5835</v>
      </c>
      <c r="Q715" s="1145"/>
      <c r="R715" s="1145"/>
      <c r="S715" s="1145"/>
      <c r="T715" s="1145"/>
      <c r="U715" s="1174">
        <v>86</v>
      </c>
      <c r="V715" s="1175"/>
      <c r="W715" s="1175"/>
      <c r="X715" s="1176"/>
      <c r="Y715" s="1145">
        <f t="shared" si="28"/>
        <v>1253</v>
      </c>
      <c r="Z715" s="1145"/>
      <c r="AA715" s="1145"/>
      <c r="AB715" s="1145"/>
      <c r="AC715" s="1145"/>
      <c r="AD715" s="1170">
        <v>0.4</v>
      </c>
      <c r="AE715" s="1171"/>
      <c r="AF715" s="1171"/>
      <c r="AG715" s="1171"/>
      <c r="AH715" s="1172"/>
      <c r="AI715" s="1157">
        <f t="shared" si="27"/>
        <v>0.43964912280701757</v>
      </c>
      <c r="AJ715" s="1158"/>
      <c r="AK715" s="1159"/>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2.75">
      <c r="B716" s="1189" t="s">
        <v>176</v>
      </c>
      <c r="C716" s="1190"/>
      <c r="D716" s="1190"/>
      <c r="E716" s="1190"/>
      <c r="F716" s="1191"/>
      <c r="G716" s="1146">
        <v>5</v>
      </c>
      <c r="H716" s="1147"/>
      <c r="I716" s="1147"/>
      <c r="J716" s="1148"/>
      <c r="K716" s="1226">
        <v>1480</v>
      </c>
      <c r="L716" s="1226"/>
      <c r="M716" s="1226"/>
      <c r="N716" s="1226"/>
      <c r="O716" s="1226"/>
      <c r="P716" s="1145">
        <f t="shared" si="26"/>
        <v>7400</v>
      </c>
      <c r="Q716" s="1145"/>
      <c r="R716" s="1145"/>
      <c r="S716" s="1145"/>
      <c r="T716" s="1145"/>
      <c r="U716" s="1174">
        <v>86</v>
      </c>
      <c r="V716" s="1175"/>
      <c r="W716" s="1175"/>
      <c r="X716" s="1176"/>
      <c r="Y716" s="1145">
        <f t="shared" si="28"/>
        <v>1566</v>
      </c>
      <c r="Z716" s="1145"/>
      <c r="AA716" s="1145"/>
      <c r="AB716" s="1145"/>
      <c r="AC716" s="1145"/>
      <c r="AD716" s="1170">
        <v>0.5</v>
      </c>
      <c r="AE716" s="1171"/>
      <c r="AF716" s="1171"/>
      <c r="AG716" s="1171"/>
      <c r="AH716" s="1172"/>
      <c r="AI716" s="1157">
        <f t="shared" si="27"/>
        <v>0.54947368421052634</v>
      </c>
      <c r="AJ716" s="1158"/>
      <c r="AK716" s="1159"/>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2.75">
      <c r="B717" s="1189"/>
      <c r="C717" s="1190"/>
      <c r="D717" s="1190"/>
      <c r="E717" s="1190"/>
      <c r="F717" s="1191"/>
      <c r="G717" s="1146"/>
      <c r="H717" s="1147"/>
      <c r="I717" s="1147"/>
      <c r="J717" s="1148"/>
      <c r="K717" s="1226"/>
      <c r="L717" s="1226"/>
      <c r="M717" s="1226"/>
      <c r="N717" s="1226"/>
      <c r="O717" s="1226"/>
      <c r="P717" s="1145">
        <f t="shared" si="26"/>
        <v>0</v>
      </c>
      <c r="Q717" s="1145"/>
      <c r="R717" s="1145"/>
      <c r="S717" s="1145"/>
      <c r="T717" s="1145"/>
      <c r="U717" s="1174"/>
      <c r="V717" s="1175"/>
      <c r="W717" s="1175"/>
      <c r="X717" s="1176"/>
      <c r="Y717" s="1145">
        <f t="shared" si="28"/>
        <v>0</v>
      </c>
      <c r="Z717" s="1145"/>
      <c r="AA717" s="1145"/>
      <c r="AB717" s="1145"/>
      <c r="AC717" s="1145"/>
      <c r="AD717" s="1170"/>
      <c r="AE717" s="1171"/>
      <c r="AF717" s="1171"/>
      <c r="AG717" s="1171"/>
      <c r="AH717" s="1172"/>
      <c r="AI717" s="1157" t="str">
        <f t="shared" si="27"/>
        <v xml:space="preserve"> </v>
      </c>
      <c r="AJ717" s="1158"/>
      <c r="AK717" s="1159"/>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2.75">
      <c r="A718" s="8"/>
      <c r="B718" s="1189"/>
      <c r="C718" s="1190"/>
      <c r="D718" s="1190"/>
      <c r="E718" s="1190"/>
      <c r="F718" s="1191"/>
      <c r="G718" s="1146"/>
      <c r="H718" s="1147"/>
      <c r="I718" s="1147"/>
      <c r="J718" s="1148"/>
      <c r="K718" s="1271"/>
      <c r="L718" s="1271"/>
      <c r="M718" s="1271"/>
      <c r="N718" s="1271"/>
      <c r="O718" s="1271"/>
      <c r="P718" s="1243">
        <f t="shared" si="26"/>
        <v>0</v>
      </c>
      <c r="Q718" s="1243"/>
      <c r="R718" s="1243"/>
      <c r="S718" s="1243"/>
      <c r="T718" s="1243"/>
      <c r="U718" s="1174"/>
      <c r="V718" s="1175"/>
      <c r="W718" s="1175"/>
      <c r="X718" s="1176"/>
      <c r="Y718" s="1243">
        <f t="shared" si="28"/>
        <v>0</v>
      </c>
      <c r="Z718" s="1243"/>
      <c r="AA718" s="1243"/>
      <c r="AB718" s="1243"/>
      <c r="AC718" s="1243"/>
      <c r="AD718" s="1170"/>
      <c r="AE718" s="1171"/>
      <c r="AF718" s="1171"/>
      <c r="AG718" s="1171"/>
      <c r="AH718" s="1172"/>
      <c r="AI718" s="1157" t="str">
        <f t="shared" si="27"/>
        <v xml:space="preserve"> </v>
      </c>
      <c r="AJ718" s="1158"/>
      <c r="AK718" s="1159"/>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2.75">
      <c r="A719" s="8"/>
      <c r="B719" s="1189"/>
      <c r="C719" s="1190"/>
      <c r="D719" s="1190"/>
      <c r="E719" s="1190"/>
      <c r="F719" s="1191"/>
      <c r="G719" s="1146"/>
      <c r="H719" s="1147"/>
      <c r="I719" s="1147"/>
      <c r="J719" s="1148"/>
      <c r="K719" s="1226"/>
      <c r="L719" s="1226"/>
      <c r="M719" s="1226"/>
      <c r="N719" s="1226"/>
      <c r="O719" s="1226"/>
      <c r="P719" s="1145">
        <f t="shared" si="26"/>
        <v>0</v>
      </c>
      <c r="Q719" s="1145"/>
      <c r="R719" s="1145"/>
      <c r="S719" s="1145"/>
      <c r="T719" s="1145"/>
      <c r="U719" s="1174"/>
      <c r="V719" s="1175"/>
      <c r="W719" s="1175"/>
      <c r="X719" s="1176"/>
      <c r="Y719" s="1145">
        <f t="shared" si="28"/>
        <v>0</v>
      </c>
      <c r="Z719" s="1145"/>
      <c r="AA719" s="1145"/>
      <c r="AB719" s="1145"/>
      <c r="AC719" s="1145"/>
      <c r="AD719" s="1170"/>
      <c r="AE719" s="1171"/>
      <c r="AF719" s="1171"/>
      <c r="AG719" s="1171"/>
      <c r="AH719" s="1172"/>
      <c r="AI719" s="1157" t="str">
        <f t="shared" si="27"/>
        <v xml:space="preserve"> </v>
      </c>
      <c r="AJ719" s="1158"/>
      <c r="AK719" s="1159"/>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2.75">
      <c r="A720" s="8"/>
      <c r="B720" s="1189"/>
      <c r="C720" s="1190"/>
      <c r="D720" s="1190"/>
      <c r="E720" s="1190"/>
      <c r="F720" s="1191"/>
      <c r="G720" s="1146"/>
      <c r="H720" s="1147"/>
      <c r="I720" s="1147"/>
      <c r="J720" s="1148"/>
      <c r="K720" s="1226"/>
      <c r="L720" s="1226"/>
      <c r="M720" s="1226"/>
      <c r="N720" s="1226"/>
      <c r="O720" s="1226"/>
      <c r="P720" s="1145">
        <f t="shared" si="26"/>
        <v>0</v>
      </c>
      <c r="Q720" s="1145"/>
      <c r="R720" s="1145"/>
      <c r="S720" s="1145"/>
      <c r="T720" s="1145"/>
      <c r="U720" s="1174">
        <v>0</v>
      </c>
      <c r="V720" s="1175"/>
      <c r="W720" s="1175"/>
      <c r="X720" s="1176"/>
      <c r="Y720" s="1145">
        <f t="shared" si="28"/>
        <v>0</v>
      </c>
      <c r="Z720" s="1145"/>
      <c r="AA720" s="1145"/>
      <c r="AB720" s="1145"/>
      <c r="AC720" s="1145"/>
      <c r="AD720" s="1170">
        <v>0</v>
      </c>
      <c r="AE720" s="1171"/>
      <c r="AF720" s="1171"/>
      <c r="AG720" s="1171"/>
      <c r="AH720" s="1172"/>
      <c r="AI720" s="1157" t="str">
        <f t="shared" si="27"/>
        <v xml:space="preserve"> </v>
      </c>
      <c r="AJ720" s="1158"/>
      <c r="AK720" s="1159"/>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2.75">
      <c r="B721" s="1189"/>
      <c r="C721" s="1190"/>
      <c r="D721" s="1190"/>
      <c r="E721" s="1190"/>
      <c r="F721" s="1191"/>
      <c r="G721" s="1146"/>
      <c r="H721" s="1147"/>
      <c r="I721" s="1147"/>
      <c r="J721" s="1148"/>
      <c r="K721" s="1226"/>
      <c r="L721" s="1226"/>
      <c r="M721" s="1226"/>
      <c r="N721" s="1226"/>
      <c r="O721" s="1226"/>
      <c r="P721" s="1145">
        <f t="shared" si="26"/>
        <v>0</v>
      </c>
      <c r="Q721" s="1145"/>
      <c r="R721" s="1145"/>
      <c r="S721" s="1145"/>
      <c r="T721" s="1145"/>
      <c r="U721" s="1174">
        <v>0</v>
      </c>
      <c r="V721" s="1175"/>
      <c r="W721" s="1175"/>
      <c r="X721" s="1176"/>
      <c r="Y721" s="1145">
        <f t="shared" si="28"/>
        <v>0</v>
      </c>
      <c r="Z721" s="1145"/>
      <c r="AA721" s="1145"/>
      <c r="AB721" s="1145"/>
      <c r="AC721" s="1145"/>
      <c r="AD721" s="1170">
        <v>0</v>
      </c>
      <c r="AE721" s="1171"/>
      <c r="AF721" s="1171"/>
      <c r="AG721" s="1171"/>
      <c r="AH721" s="1172"/>
      <c r="AI721" s="1157" t="str">
        <f t="shared" si="27"/>
        <v xml:space="preserve"> </v>
      </c>
      <c r="AJ721" s="1158"/>
      <c r="AK721" s="1159"/>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2.75">
      <c r="B722" s="1189"/>
      <c r="C722" s="1190"/>
      <c r="D722" s="1190"/>
      <c r="E722" s="1190"/>
      <c r="F722" s="1191"/>
      <c r="G722" s="1146"/>
      <c r="H722" s="1147"/>
      <c r="I722" s="1147"/>
      <c r="J722" s="1148"/>
      <c r="K722" s="1226"/>
      <c r="L722" s="1226"/>
      <c r="M722" s="1226"/>
      <c r="N722" s="1226"/>
      <c r="O722" s="1226"/>
      <c r="P722" s="1145">
        <f t="shared" si="26"/>
        <v>0</v>
      </c>
      <c r="Q722" s="1145"/>
      <c r="R722" s="1145"/>
      <c r="S722" s="1145"/>
      <c r="T722" s="1145"/>
      <c r="U722" s="1174">
        <v>0</v>
      </c>
      <c r="V722" s="1175"/>
      <c r="W722" s="1175"/>
      <c r="X722" s="1176"/>
      <c r="Y722" s="1145">
        <f t="shared" si="28"/>
        <v>0</v>
      </c>
      <c r="Z722" s="1145"/>
      <c r="AA722" s="1145"/>
      <c r="AB722" s="1145"/>
      <c r="AC722" s="1145"/>
      <c r="AD722" s="1170">
        <v>0</v>
      </c>
      <c r="AE722" s="1171"/>
      <c r="AF722" s="1171"/>
      <c r="AG722" s="1171"/>
      <c r="AH722" s="1172"/>
      <c r="AI722" s="1157" t="str">
        <f t="shared" si="27"/>
        <v xml:space="preserve"> </v>
      </c>
      <c r="AJ722" s="1158"/>
      <c r="AK722" s="1159"/>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2.75">
      <c r="B723" s="1189"/>
      <c r="C723" s="1190"/>
      <c r="D723" s="1190"/>
      <c r="E723" s="1190"/>
      <c r="F723" s="1191"/>
      <c r="G723" s="1146"/>
      <c r="H723" s="1147"/>
      <c r="I723" s="1147"/>
      <c r="J723" s="1148"/>
      <c r="K723" s="1226"/>
      <c r="L723" s="1226"/>
      <c r="M723" s="1226"/>
      <c r="N723" s="1226"/>
      <c r="O723" s="1226"/>
      <c r="P723" s="1145">
        <f t="shared" si="26"/>
        <v>0</v>
      </c>
      <c r="Q723" s="1145"/>
      <c r="R723" s="1145"/>
      <c r="S723" s="1145"/>
      <c r="T723" s="1145"/>
      <c r="U723" s="1174">
        <v>0</v>
      </c>
      <c r="V723" s="1175"/>
      <c r="W723" s="1175"/>
      <c r="X723" s="1176"/>
      <c r="Y723" s="1145">
        <f t="shared" si="28"/>
        <v>0</v>
      </c>
      <c r="Z723" s="1145"/>
      <c r="AA723" s="1145"/>
      <c r="AB723" s="1145"/>
      <c r="AC723" s="1145"/>
      <c r="AD723" s="1170">
        <v>0</v>
      </c>
      <c r="AE723" s="1171"/>
      <c r="AF723" s="1171"/>
      <c r="AG723" s="1171"/>
      <c r="AH723" s="1172"/>
      <c r="AI723" s="1157" t="str">
        <f t="shared" si="27"/>
        <v xml:space="preserve"> </v>
      </c>
      <c r="AJ723" s="1158"/>
      <c r="AK723" s="1159"/>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2.75">
      <c r="B724" s="1189"/>
      <c r="C724" s="1190"/>
      <c r="D724" s="1190"/>
      <c r="E724" s="1190"/>
      <c r="F724" s="1191"/>
      <c r="G724" s="1146"/>
      <c r="H724" s="1147"/>
      <c r="I724" s="1147"/>
      <c r="J724" s="1148"/>
      <c r="K724" s="1226"/>
      <c r="L724" s="1226"/>
      <c r="M724" s="1226"/>
      <c r="N724" s="1226"/>
      <c r="O724" s="1226"/>
      <c r="P724" s="1145">
        <f t="shared" si="26"/>
        <v>0</v>
      </c>
      <c r="Q724" s="1145"/>
      <c r="R724" s="1145"/>
      <c r="S724" s="1145"/>
      <c r="T724" s="1145"/>
      <c r="U724" s="1174">
        <v>0</v>
      </c>
      <c r="V724" s="1175"/>
      <c r="W724" s="1175"/>
      <c r="X724" s="1176"/>
      <c r="Y724" s="1145">
        <f>K724+U724</f>
        <v>0</v>
      </c>
      <c r="Z724" s="1145"/>
      <c r="AA724" s="1145"/>
      <c r="AB724" s="1145"/>
      <c r="AC724" s="1145"/>
      <c r="AD724" s="1170">
        <v>0</v>
      </c>
      <c r="AE724" s="1171"/>
      <c r="AF724" s="1171"/>
      <c r="AG724" s="1171"/>
      <c r="AH724" s="1172"/>
      <c r="AI724" s="1157" t="str">
        <f t="shared" si="27"/>
        <v xml:space="preserve"> </v>
      </c>
      <c r="AJ724" s="1158"/>
      <c r="AK724" s="1159"/>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2.75">
      <c r="B725" s="1189"/>
      <c r="C725" s="1190"/>
      <c r="D725" s="1190"/>
      <c r="E725" s="1190"/>
      <c r="F725" s="1191"/>
      <c r="G725" s="1146"/>
      <c r="H725" s="1147"/>
      <c r="I725" s="1147"/>
      <c r="J725" s="1148"/>
      <c r="K725" s="1226"/>
      <c r="L725" s="1226"/>
      <c r="M725" s="1226"/>
      <c r="N725" s="1226"/>
      <c r="O725" s="1226"/>
      <c r="P725" s="1145">
        <f t="shared" si="26"/>
        <v>0</v>
      </c>
      <c r="Q725" s="1145"/>
      <c r="R725" s="1145"/>
      <c r="S725" s="1145"/>
      <c r="T725" s="1145"/>
      <c r="U725" s="1174">
        <v>0</v>
      </c>
      <c r="V725" s="1175"/>
      <c r="W725" s="1175"/>
      <c r="X725" s="1176"/>
      <c r="Y725" s="1145">
        <f>K725+U725</f>
        <v>0</v>
      </c>
      <c r="Z725" s="1145"/>
      <c r="AA725" s="1145"/>
      <c r="AB725" s="1145"/>
      <c r="AC725" s="1145"/>
      <c r="AD725" s="1170">
        <v>0</v>
      </c>
      <c r="AE725" s="1171"/>
      <c r="AF725" s="1171"/>
      <c r="AG725" s="1171"/>
      <c r="AH725" s="1172"/>
      <c r="AI725" s="1157" t="str">
        <f t="shared" si="27"/>
        <v xml:space="preserve"> </v>
      </c>
      <c r="AJ725" s="1158"/>
      <c r="AK725" s="1159"/>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2.75">
      <c r="B726" s="1189"/>
      <c r="C726" s="1190"/>
      <c r="D726" s="1190"/>
      <c r="E726" s="1190"/>
      <c r="F726" s="1191"/>
      <c r="G726" s="1146"/>
      <c r="H726" s="1147"/>
      <c r="I726" s="1147"/>
      <c r="J726" s="1148"/>
      <c r="K726" s="1226"/>
      <c r="L726" s="1226"/>
      <c r="M726" s="1226"/>
      <c r="N726" s="1226"/>
      <c r="O726" s="1226"/>
      <c r="P726" s="1145">
        <f t="shared" si="26"/>
        <v>0</v>
      </c>
      <c r="Q726" s="1145"/>
      <c r="R726" s="1145"/>
      <c r="S726" s="1145"/>
      <c r="T726" s="1145"/>
      <c r="U726" s="1174">
        <v>0</v>
      </c>
      <c r="V726" s="1175"/>
      <c r="W726" s="1175"/>
      <c r="X726" s="1176"/>
      <c r="Y726" s="1145">
        <f>K726+U726</f>
        <v>0</v>
      </c>
      <c r="Z726" s="1145"/>
      <c r="AA726" s="1145"/>
      <c r="AB726" s="1145"/>
      <c r="AC726" s="1145"/>
      <c r="AD726" s="1170">
        <v>0</v>
      </c>
      <c r="AE726" s="1171"/>
      <c r="AF726" s="1171"/>
      <c r="AG726" s="1171"/>
      <c r="AH726" s="1172"/>
      <c r="AI726" s="1157" t="str">
        <f t="shared" si="27"/>
        <v xml:space="preserve"> </v>
      </c>
      <c r="AJ726" s="1158"/>
      <c r="AK726" s="1159"/>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2.75">
      <c r="B727" s="1189"/>
      <c r="C727" s="1190"/>
      <c r="D727" s="1190"/>
      <c r="E727" s="1190"/>
      <c r="F727" s="1191"/>
      <c r="G727" s="1146"/>
      <c r="H727" s="1147"/>
      <c r="I727" s="1147"/>
      <c r="J727" s="1148"/>
      <c r="K727" s="1226"/>
      <c r="L727" s="1226"/>
      <c r="M727" s="1226"/>
      <c r="N727" s="1226"/>
      <c r="O727" s="1226"/>
      <c r="P727" s="1145">
        <f t="shared" si="26"/>
        <v>0</v>
      </c>
      <c r="Q727" s="1145"/>
      <c r="R727" s="1145"/>
      <c r="S727" s="1145"/>
      <c r="T727" s="1145"/>
      <c r="U727" s="1174">
        <v>0</v>
      </c>
      <c r="V727" s="1175"/>
      <c r="W727" s="1175"/>
      <c r="X727" s="1176"/>
      <c r="Y727" s="1145">
        <f>K727+U727</f>
        <v>0</v>
      </c>
      <c r="Z727" s="1145"/>
      <c r="AA727" s="1145"/>
      <c r="AB727" s="1145"/>
      <c r="AC727" s="1145"/>
      <c r="AD727" s="1170">
        <v>0</v>
      </c>
      <c r="AE727" s="1171"/>
      <c r="AF727" s="1171"/>
      <c r="AG727" s="1171"/>
      <c r="AH727" s="1172"/>
      <c r="AI727" s="1157" t="str">
        <f t="shared" si="27"/>
        <v xml:space="preserve"> </v>
      </c>
      <c r="AJ727" s="1158"/>
      <c r="AK727" s="1159"/>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2.75">
      <c r="B728" s="1189"/>
      <c r="C728" s="1190"/>
      <c r="D728" s="1190"/>
      <c r="E728" s="1190"/>
      <c r="F728" s="1191"/>
      <c r="G728" s="1146"/>
      <c r="H728" s="1147"/>
      <c r="I728" s="1147"/>
      <c r="J728" s="1148"/>
      <c r="K728" s="1226"/>
      <c r="L728" s="1226"/>
      <c r="M728" s="1226"/>
      <c r="N728" s="1226"/>
      <c r="O728" s="1226"/>
      <c r="P728" s="1145">
        <f t="shared" si="26"/>
        <v>0</v>
      </c>
      <c r="Q728" s="1145"/>
      <c r="R728" s="1145"/>
      <c r="S728" s="1145"/>
      <c r="T728" s="1145"/>
      <c r="U728" s="1174">
        <v>0</v>
      </c>
      <c r="V728" s="1175"/>
      <c r="W728" s="1175"/>
      <c r="X728" s="1176"/>
      <c r="Y728" s="1145">
        <f>K728+U728</f>
        <v>0</v>
      </c>
      <c r="Z728" s="1145"/>
      <c r="AA728" s="1145"/>
      <c r="AB728" s="1145"/>
      <c r="AC728" s="1145"/>
      <c r="AD728" s="1170">
        <v>0</v>
      </c>
      <c r="AE728" s="1171"/>
      <c r="AF728" s="1171"/>
      <c r="AG728" s="1171"/>
      <c r="AH728" s="1172"/>
      <c r="AI728" s="1157" t="str">
        <f t="shared" si="27"/>
        <v xml:space="preserve"> </v>
      </c>
      <c r="AJ728" s="1158"/>
      <c r="AK728" s="1159"/>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189"/>
      <c r="C729" s="1190"/>
      <c r="D729" s="1190"/>
      <c r="E729" s="1190"/>
      <c r="F729" s="1191"/>
      <c r="G729" s="1146"/>
      <c r="H729" s="1147"/>
      <c r="I729" s="1147"/>
      <c r="J729" s="1148"/>
      <c r="K729" s="1226"/>
      <c r="L729" s="1226"/>
      <c r="M729" s="1226"/>
      <c r="N729" s="1226"/>
      <c r="O729" s="1226"/>
      <c r="P729" s="1145">
        <f t="shared" si="26"/>
        <v>0</v>
      </c>
      <c r="Q729" s="1145"/>
      <c r="R729" s="1145"/>
      <c r="S729" s="1145"/>
      <c r="T729" s="1145"/>
      <c r="U729" s="1174">
        <v>0</v>
      </c>
      <c r="V729" s="1175"/>
      <c r="W729" s="1175"/>
      <c r="X729" s="1176"/>
      <c r="Y729" s="1145">
        <f t="shared" si="28"/>
        <v>0</v>
      </c>
      <c r="Z729" s="1145"/>
      <c r="AA729" s="1145"/>
      <c r="AB729" s="1145"/>
      <c r="AC729" s="1145"/>
      <c r="AD729" s="1170">
        <v>0</v>
      </c>
      <c r="AE729" s="1171"/>
      <c r="AF729" s="1171"/>
      <c r="AG729" s="1171"/>
      <c r="AH729" s="1172"/>
      <c r="AI729" s="1157" t="str">
        <f t="shared" si="27"/>
        <v xml:space="preserve"> </v>
      </c>
      <c r="AJ729" s="1158"/>
      <c r="AK729" s="1159"/>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 customHeight="1">
      <c r="B730" s="1189"/>
      <c r="C730" s="1190"/>
      <c r="D730" s="1190"/>
      <c r="E730" s="1190"/>
      <c r="F730" s="1191"/>
      <c r="G730" s="1146"/>
      <c r="H730" s="1147"/>
      <c r="I730" s="1147"/>
      <c r="J730" s="1148"/>
      <c r="K730" s="1226"/>
      <c r="L730" s="1226"/>
      <c r="M730" s="1226"/>
      <c r="N730" s="1226"/>
      <c r="O730" s="1226"/>
      <c r="P730" s="1145">
        <f t="shared" si="26"/>
        <v>0</v>
      </c>
      <c r="Q730" s="1145"/>
      <c r="R730" s="1145"/>
      <c r="S730" s="1145"/>
      <c r="T730" s="1145"/>
      <c r="U730" s="1174">
        <v>0</v>
      </c>
      <c r="V730" s="1175"/>
      <c r="W730" s="1175"/>
      <c r="X730" s="1176"/>
      <c r="Y730" s="1145">
        <f t="shared" si="28"/>
        <v>0</v>
      </c>
      <c r="Z730" s="1145"/>
      <c r="AA730" s="1145"/>
      <c r="AB730" s="1145"/>
      <c r="AC730" s="1145"/>
      <c r="AD730" s="1170">
        <v>0</v>
      </c>
      <c r="AE730" s="1171"/>
      <c r="AF730" s="1171"/>
      <c r="AG730" s="1171"/>
      <c r="AH730" s="1172"/>
      <c r="AI730" s="1157" t="str">
        <f t="shared" si="27"/>
        <v xml:space="preserve"> </v>
      </c>
      <c r="AJ730" s="1158"/>
      <c r="AK730" s="1159"/>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2.75">
      <c r="B731" s="1189"/>
      <c r="C731" s="1190"/>
      <c r="D731" s="1190"/>
      <c r="E731" s="1190"/>
      <c r="F731" s="1191"/>
      <c r="G731" s="1146"/>
      <c r="H731" s="1147"/>
      <c r="I731" s="1147"/>
      <c r="J731" s="1148"/>
      <c r="K731" s="1226"/>
      <c r="L731" s="1226"/>
      <c r="M731" s="1226"/>
      <c r="N731" s="1226"/>
      <c r="O731" s="1226"/>
      <c r="P731" s="1145">
        <f t="shared" si="26"/>
        <v>0</v>
      </c>
      <c r="Q731" s="1145"/>
      <c r="R731" s="1145"/>
      <c r="S731" s="1145"/>
      <c r="T731" s="1145"/>
      <c r="U731" s="1174">
        <v>0</v>
      </c>
      <c r="V731" s="1175"/>
      <c r="W731" s="1175"/>
      <c r="X731" s="1176"/>
      <c r="Y731" s="1145">
        <f t="shared" si="28"/>
        <v>0</v>
      </c>
      <c r="Z731" s="1145"/>
      <c r="AA731" s="1145"/>
      <c r="AB731" s="1145"/>
      <c r="AC731" s="1145"/>
      <c r="AD731" s="1170">
        <v>0</v>
      </c>
      <c r="AE731" s="1171"/>
      <c r="AF731" s="1171"/>
      <c r="AG731" s="1171"/>
      <c r="AH731" s="1172"/>
      <c r="AI731" s="1157" t="str">
        <f t="shared" si="27"/>
        <v xml:space="preserve"> </v>
      </c>
      <c r="AJ731" s="1158"/>
      <c r="AK731" s="1159"/>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2.75">
      <c r="B732" s="1189"/>
      <c r="C732" s="1190"/>
      <c r="D732" s="1190"/>
      <c r="E732" s="1190"/>
      <c r="F732" s="1191"/>
      <c r="G732" s="1146"/>
      <c r="H732" s="1147"/>
      <c r="I732" s="1147"/>
      <c r="J732" s="1148"/>
      <c r="K732" s="1226"/>
      <c r="L732" s="1226"/>
      <c r="M732" s="1226"/>
      <c r="N732" s="1226"/>
      <c r="O732" s="1226"/>
      <c r="P732" s="1145">
        <f t="shared" si="26"/>
        <v>0</v>
      </c>
      <c r="Q732" s="1145"/>
      <c r="R732" s="1145"/>
      <c r="S732" s="1145"/>
      <c r="T732" s="1145"/>
      <c r="U732" s="1174">
        <v>0</v>
      </c>
      <c r="V732" s="1175"/>
      <c r="W732" s="1175"/>
      <c r="X732" s="1176"/>
      <c r="Y732" s="1145">
        <f t="shared" si="28"/>
        <v>0</v>
      </c>
      <c r="Z732" s="1145"/>
      <c r="AA732" s="1145"/>
      <c r="AB732" s="1145"/>
      <c r="AC732" s="1145"/>
      <c r="AD732" s="1170">
        <v>0</v>
      </c>
      <c r="AE732" s="1171"/>
      <c r="AF732" s="1171"/>
      <c r="AG732" s="1171"/>
      <c r="AH732" s="1172"/>
      <c r="AI732" s="1157" t="str">
        <f t="shared" si="27"/>
        <v xml:space="preserve"> </v>
      </c>
      <c r="AJ732" s="1158"/>
      <c r="AK732" s="1159"/>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2.75">
      <c r="B733" s="1189"/>
      <c r="C733" s="1190"/>
      <c r="D733" s="1190"/>
      <c r="E733" s="1190"/>
      <c r="F733" s="1191"/>
      <c r="G733" s="1146"/>
      <c r="H733" s="1147"/>
      <c r="I733" s="1147"/>
      <c r="J733" s="1148"/>
      <c r="K733" s="1226"/>
      <c r="L733" s="1226"/>
      <c r="M733" s="1226"/>
      <c r="N733" s="1226"/>
      <c r="O733" s="1226"/>
      <c r="P733" s="1145">
        <f t="shared" si="26"/>
        <v>0</v>
      </c>
      <c r="Q733" s="1145"/>
      <c r="R733" s="1145"/>
      <c r="S733" s="1145"/>
      <c r="T733" s="1145"/>
      <c r="U733" s="1174">
        <v>0</v>
      </c>
      <c r="V733" s="1175"/>
      <c r="W733" s="1175"/>
      <c r="X733" s="1176"/>
      <c r="Y733" s="1145">
        <f t="shared" si="28"/>
        <v>0</v>
      </c>
      <c r="Z733" s="1145"/>
      <c r="AA733" s="1145"/>
      <c r="AB733" s="1145"/>
      <c r="AC733" s="1145"/>
      <c r="AD733" s="1170">
        <v>0</v>
      </c>
      <c r="AE733" s="1171"/>
      <c r="AF733" s="1171"/>
      <c r="AG733" s="1171"/>
      <c r="AH733" s="1172"/>
      <c r="AI733" s="1533" t="str">
        <f t="shared" si="27"/>
        <v xml:space="preserve"> </v>
      </c>
      <c r="AJ733" s="1534"/>
      <c r="AK733" s="1535"/>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2.75">
      <c r="B734" s="1186" t="s">
        <v>133</v>
      </c>
      <c r="C734" s="1187"/>
      <c r="D734" s="1187"/>
      <c r="E734" s="1187"/>
      <c r="F734" s="1188"/>
      <c r="G734" s="1425">
        <f>SUM(G709:J733)</f>
        <v>80</v>
      </c>
      <c r="H734" s="1426"/>
      <c r="I734" s="1426"/>
      <c r="J734" s="1427"/>
      <c r="K734" s="1186" t="s">
        <v>132</v>
      </c>
      <c r="L734" s="1187"/>
      <c r="M734" s="1187"/>
      <c r="N734" s="1187"/>
      <c r="O734" s="1188"/>
      <c r="P734" s="1193">
        <f>SUM(P709:T733)</f>
        <v>84385</v>
      </c>
      <c r="Q734" s="1137"/>
      <c r="R734" s="1137"/>
      <c r="S734" s="1137"/>
      <c r="T734" s="1194"/>
      <c r="Y734" s="1428" t="s">
        <v>1033</v>
      </c>
      <c r="Z734" s="1429"/>
      <c r="AA734" s="1429"/>
      <c r="AB734" s="1429"/>
      <c r="AC734" s="1430"/>
      <c r="AD734" s="1537">
        <f>AV675</f>
        <v>0.3987500000000001</v>
      </c>
      <c r="AE734" s="1538"/>
      <c r="AF734" s="1538"/>
      <c r="AG734" s="1538"/>
      <c r="AH734" s="1539"/>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2.75">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1146</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562" t="s">
        <v>672</v>
      </c>
      <c r="AG736" s="1562"/>
      <c r="AH736" s="15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96" ht="12.75" customHeight="1">
      <c r="B737" s="96" t="s">
        <v>1144</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96" ht="12.75" customHeight="1">
      <c r="B738" s="96" t="s">
        <v>1145</v>
      </c>
      <c r="C738" s="93"/>
      <c r="D738" s="93"/>
      <c r="E738" s="93"/>
      <c r="F738" s="93"/>
      <c r="G738" s="539"/>
      <c r="H738" s="539"/>
      <c r="I738" s="539"/>
      <c r="J738" s="539"/>
      <c r="K738" s="93"/>
      <c r="L738" s="93"/>
      <c r="M738" s="93"/>
      <c r="N738" s="93"/>
      <c r="O738" s="93"/>
      <c r="P738" s="310"/>
      <c r="Q738" s="310"/>
      <c r="R738" s="310"/>
      <c r="S738" s="310"/>
      <c r="T738" s="310"/>
      <c r="Y738" s="540"/>
      <c r="Z738" s="540"/>
      <c r="AA738" s="540"/>
      <c r="AG738" s="542"/>
      <c r="AH738" s="54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row>
    <row r="739" spans="1:96"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96" ht="12.75" customHeight="1">
      <c r="A740" s="54" t="s">
        <v>657</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96" ht="13.7"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96" ht="12.75" customHeight="1">
      <c r="A742" s="54"/>
      <c r="B742" s="95"/>
      <c r="C742" s="96" t="s">
        <v>1169</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96" ht="12.75">
      <c r="A743" s="54"/>
      <c r="B743" s="95"/>
      <c r="C743" s="96" t="s">
        <v>1170</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96" ht="12.75" customHeight="1">
      <c r="A744" s="554"/>
      <c r="B744" s="95"/>
      <c r="C744" s="96" t="s">
        <v>1172</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96" ht="12.75" customHeight="1">
      <c r="A745" s="554"/>
      <c r="B745" s="95"/>
      <c r="C745" s="96" t="s">
        <v>1171</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96" ht="12.75" customHeight="1">
      <c r="A746" s="54"/>
      <c r="B746" s="95"/>
      <c r="C746" s="96" t="s">
        <v>1135</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96" ht="12.75" customHeight="1">
      <c r="A747" s="54"/>
      <c r="B747" s="95"/>
      <c r="C747" s="96" t="s">
        <v>1136</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96" ht="12.75" customHeight="1">
      <c r="A748" s="54"/>
      <c r="B748" s="95"/>
      <c r="C748" s="96" t="s">
        <v>1137</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96"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96" ht="12.75" customHeight="1">
      <c r="J750" s="1127" t="s">
        <v>434</v>
      </c>
      <c r="K750" s="1128"/>
      <c r="L750" s="1128"/>
      <c r="M750" s="1128"/>
      <c r="N750" s="1129"/>
      <c r="O750" s="1424" t="s">
        <v>306</v>
      </c>
      <c r="P750" s="1424"/>
      <c r="Q750" s="1424"/>
      <c r="R750" s="1424"/>
      <c r="S750" s="1424"/>
      <c r="T750" s="1424" t="s">
        <v>521</v>
      </c>
      <c r="U750" s="1424"/>
      <c r="V750" s="1424"/>
      <c r="W750" s="1424"/>
      <c r="X750" s="1424"/>
      <c r="Y750" s="1424" t="s">
        <v>307</v>
      </c>
      <c r="Z750" s="1424"/>
      <c r="AA750" s="1424"/>
      <c r="AB750" s="1424"/>
      <c r="AC750" s="1424"/>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96" ht="12.75" customHeight="1">
      <c r="J751" s="1130"/>
      <c r="K751" s="1131"/>
      <c r="L751" s="1131"/>
      <c r="M751" s="1131"/>
      <c r="N751" s="1132"/>
      <c r="O751" s="1424"/>
      <c r="P751" s="1424"/>
      <c r="Q751" s="1424"/>
      <c r="R751" s="1424"/>
      <c r="S751" s="1424"/>
      <c r="T751" s="1424"/>
      <c r="U751" s="1424"/>
      <c r="V751" s="1424"/>
      <c r="W751" s="1424"/>
      <c r="X751" s="1424"/>
      <c r="Y751" s="1424"/>
      <c r="Z751" s="1424"/>
      <c r="AA751" s="1424"/>
      <c r="AB751" s="1424"/>
      <c r="AC751" s="1424"/>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96" ht="12.75" customHeight="1">
      <c r="J752" s="1130"/>
      <c r="K752" s="1131"/>
      <c r="L752" s="1131"/>
      <c r="M752" s="1131"/>
      <c r="N752" s="1132"/>
      <c r="O752" s="1424"/>
      <c r="P752" s="1424"/>
      <c r="Q752" s="1424"/>
      <c r="R752" s="1424"/>
      <c r="S752" s="1424"/>
      <c r="T752" s="1424"/>
      <c r="U752" s="1424"/>
      <c r="V752" s="1424"/>
      <c r="W752" s="1424"/>
      <c r="X752" s="1424"/>
      <c r="Y752" s="1424"/>
      <c r="Z752" s="1424"/>
      <c r="AA752" s="1424"/>
      <c r="AB752" s="1424"/>
      <c r="AC752" s="1424"/>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133"/>
      <c r="K753" s="1134"/>
      <c r="L753" s="1134"/>
      <c r="M753" s="1134"/>
      <c r="N753" s="1135"/>
      <c r="O753" s="1424"/>
      <c r="P753" s="1424"/>
      <c r="Q753" s="1424"/>
      <c r="R753" s="1424"/>
      <c r="S753" s="1424"/>
      <c r="T753" s="1424"/>
      <c r="U753" s="1424"/>
      <c r="V753" s="1424"/>
      <c r="W753" s="1424"/>
      <c r="X753" s="1424"/>
      <c r="Y753" s="1424"/>
      <c r="Z753" s="1424"/>
      <c r="AA753" s="1424"/>
      <c r="AB753" s="1424"/>
      <c r="AC753" s="1424"/>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189" t="s">
        <v>174</v>
      </c>
      <c r="K754" s="1190"/>
      <c r="L754" s="1190"/>
      <c r="M754" s="1190"/>
      <c r="N754" s="1191"/>
      <c r="O754" s="1192">
        <v>1</v>
      </c>
      <c r="P754" s="1192"/>
      <c r="Q754" s="1192"/>
      <c r="R754" s="1192"/>
      <c r="S754" s="1192"/>
      <c r="T754" s="1226">
        <v>1392</v>
      </c>
      <c r="U754" s="1226"/>
      <c r="V754" s="1226"/>
      <c r="W754" s="1226"/>
      <c r="X754" s="1226"/>
      <c r="Y754" s="1145">
        <f>T754*O754</f>
        <v>1392</v>
      </c>
      <c r="Z754" s="1145"/>
      <c r="AA754" s="1145"/>
      <c r="AB754" s="1145"/>
      <c r="AC754" s="1145"/>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189"/>
      <c r="K755" s="1190"/>
      <c r="L755" s="1190"/>
      <c r="M755" s="1190"/>
      <c r="N755" s="1191"/>
      <c r="O755" s="1192"/>
      <c r="P755" s="1192"/>
      <c r="Q755" s="1192"/>
      <c r="R755" s="1192"/>
      <c r="S755" s="1192"/>
      <c r="T755" s="1226"/>
      <c r="U755" s="1226"/>
      <c r="V755" s="1226"/>
      <c r="W755" s="1226"/>
      <c r="X755" s="1226"/>
      <c r="Y755" s="1145">
        <f>T755*O755</f>
        <v>0</v>
      </c>
      <c r="Z755" s="1145"/>
      <c r="AA755" s="1145"/>
      <c r="AB755" s="1145"/>
      <c r="AC755" s="1145"/>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189"/>
      <c r="K756" s="1190"/>
      <c r="L756" s="1190"/>
      <c r="M756" s="1190"/>
      <c r="N756" s="1191"/>
      <c r="O756" s="1192"/>
      <c r="P756" s="1192"/>
      <c r="Q756" s="1192"/>
      <c r="R756" s="1192"/>
      <c r="S756" s="1192"/>
      <c r="T756" s="1226"/>
      <c r="U756" s="1226"/>
      <c r="V756" s="1226"/>
      <c r="W756" s="1226"/>
      <c r="X756" s="1226"/>
      <c r="Y756" s="1145">
        <f>T756*O756</f>
        <v>0</v>
      </c>
      <c r="Z756" s="1145"/>
      <c r="AA756" s="1145"/>
      <c r="AB756" s="1145"/>
      <c r="AC756" s="1145"/>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189"/>
      <c r="K757" s="1190"/>
      <c r="L757" s="1190"/>
      <c r="M757" s="1190"/>
      <c r="N757" s="1191"/>
      <c r="O757" s="1192"/>
      <c r="P757" s="1192"/>
      <c r="Q757" s="1192"/>
      <c r="R757" s="1192"/>
      <c r="S757" s="1192"/>
      <c r="T757" s="1226"/>
      <c r="U757" s="1226"/>
      <c r="V757" s="1226"/>
      <c r="W757" s="1226"/>
      <c r="X757" s="1226"/>
      <c r="Y757" s="1145">
        <f>T757*O757</f>
        <v>0</v>
      </c>
      <c r="Z757" s="1145"/>
      <c r="AA757" s="1145"/>
      <c r="AB757" s="1145"/>
      <c r="AC757" s="1145"/>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186" t="s">
        <v>133</v>
      </c>
      <c r="K758" s="1187"/>
      <c r="L758" s="1187"/>
      <c r="M758" s="1187"/>
      <c r="N758" s="1188"/>
      <c r="O758" s="1431">
        <f>SUM(O754:S757)</f>
        <v>1</v>
      </c>
      <c r="P758" s="1432"/>
      <c r="Q758" s="1432"/>
      <c r="R758" s="1432"/>
      <c r="S758" s="1433"/>
      <c r="T758" s="1420" t="s">
        <v>132</v>
      </c>
      <c r="U758" s="1421"/>
      <c r="V758" s="1421"/>
      <c r="W758" s="1421"/>
      <c r="X758" s="1422"/>
      <c r="Y758" s="1193">
        <f>SUM(Y754:AC757)</f>
        <v>1392</v>
      </c>
      <c r="Z758" s="1434"/>
      <c r="AA758" s="1434"/>
      <c r="AB758" s="1434"/>
      <c r="AC758" s="1435"/>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436" t="s">
        <v>755</v>
      </c>
      <c r="K760" s="1436"/>
      <c r="L760" s="95"/>
      <c r="M760" s="66" t="s">
        <v>1133</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1134</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667</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127" t="s">
        <v>434</v>
      </c>
      <c r="K764" s="1128"/>
      <c r="L764" s="1128"/>
      <c r="M764" s="1128"/>
      <c r="N764" s="1129"/>
      <c r="O764" s="1424" t="s">
        <v>306</v>
      </c>
      <c r="P764" s="1424"/>
      <c r="Q764" s="1424"/>
      <c r="R764" s="1424"/>
      <c r="S764" s="1424"/>
      <c r="T764" s="1424" t="s">
        <v>521</v>
      </c>
      <c r="U764" s="1424"/>
      <c r="V764" s="1424"/>
      <c r="W764" s="1424"/>
      <c r="X764" s="1424"/>
      <c r="Y764" s="1424" t="s">
        <v>307</v>
      </c>
      <c r="Z764" s="1424"/>
      <c r="AA764" s="1424"/>
      <c r="AB764" s="1424"/>
      <c r="AC764" s="1424"/>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130"/>
      <c r="K765" s="1131"/>
      <c r="L765" s="1131"/>
      <c r="M765" s="1131"/>
      <c r="N765" s="1132"/>
      <c r="O765" s="1424"/>
      <c r="P765" s="1424"/>
      <c r="Q765" s="1424"/>
      <c r="R765" s="1424"/>
      <c r="S765" s="1424"/>
      <c r="T765" s="1424"/>
      <c r="U765" s="1424"/>
      <c r="V765" s="1424"/>
      <c r="W765" s="1424"/>
      <c r="X765" s="1424"/>
      <c r="Y765" s="1424"/>
      <c r="Z765" s="1424"/>
      <c r="AA765" s="1424"/>
      <c r="AB765" s="1424"/>
      <c r="AC765" s="1424"/>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130"/>
      <c r="K766" s="1131"/>
      <c r="L766" s="1131"/>
      <c r="M766" s="1131"/>
      <c r="N766" s="1132"/>
      <c r="O766" s="1424"/>
      <c r="P766" s="1424"/>
      <c r="Q766" s="1424"/>
      <c r="R766" s="1424"/>
      <c r="S766" s="1424"/>
      <c r="T766" s="1424"/>
      <c r="U766" s="1424"/>
      <c r="V766" s="1424"/>
      <c r="W766" s="1424"/>
      <c r="X766" s="1424"/>
      <c r="Y766" s="1424"/>
      <c r="Z766" s="1424"/>
      <c r="AA766" s="1424"/>
      <c r="AB766" s="1424"/>
      <c r="AC766" s="1424"/>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133"/>
      <c r="K767" s="1134"/>
      <c r="L767" s="1134"/>
      <c r="M767" s="1134"/>
      <c r="N767" s="1135"/>
      <c r="O767" s="1424"/>
      <c r="P767" s="1424"/>
      <c r="Q767" s="1424"/>
      <c r="R767" s="1424"/>
      <c r="S767" s="1424"/>
      <c r="T767" s="1424"/>
      <c r="U767" s="1424"/>
      <c r="V767" s="1424"/>
      <c r="W767" s="1424"/>
      <c r="X767" s="1424"/>
      <c r="Y767" s="1424"/>
      <c r="Z767" s="1424"/>
      <c r="AA767" s="1424"/>
      <c r="AB767" s="1424"/>
      <c r="AC767" s="1424"/>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189"/>
      <c r="K768" s="1190"/>
      <c r="L768" s="1190"/>
      <c r="M768" s="1190"/>
      <c r="N768" s="1191"/>
      <c r="O768" s="1192"/>
      <c r="P768" s="1192"/>
      <c r="Q768" s="1192"/>
      <c r="R768" s="1192"/>
      <c r="S768" s="1192"/>
      <c r="T768" s="1226"/>
      <c r="U768" s="1226"/>
      <c r="V768" s="1226"/>
      <c r="W768" s="1226"/>
      <c r="X768" s="1226"/>
      <c r="Y768" s="1145">
        <f>T768*O768</f>
        <v>0</v>
      </c>
      <c r="Z768" s="1145"/>
      <c r="AA768" s="1145"/>
      <c r="AB768" s="1145"/>
      <c r="AC768" s="1145"/>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189"/>
      <c r="K769" s="1190"/>
      <c r="L769" s="1190"/>
      <c r="M769" s="1190"/>
      <c r="N769" s="1191"/>
      <c r="O769" s="1192"/>
      <c r="P769" s="1192"/>
      <c r="Q769" s="1192"/>
      <c r="R769" s="1192"/>
      <c r="S769" s="1192"/>
      <c r="T769" s="1226"/>
      <c r="U769" s="1226"/>
      <c r="V769" s="1226"/>
      <c r="W769" s="1226"/>
      <c r="X769" s="1226"/>
      <c r="Y769" s="1145">
        <f t="shared" ref="Y769:Y777" si="29">T769*O769</f>
        <v>0</v>
      </c>
      <c r="Z769" s="1145"/>
      <c r="AA769" s="1145"/>
      <c r="AB769" s="1145"/>
      <c r="AC769" s="1145"/>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189"/>
      <c r="K770" s="1190"/>
      <c r="L770" s="1190"/>
      <c r="M770" s="1190"/>
      <c r="N770" s="1191"/>
      <c r="O770" s="1192"/>
      <c r="P770" s="1192"/>
      <c r="Q770" s="1192"/>
      <c r="R770" s="1192"/>
      <c r="S770" s="1192"/>
      <c r="T770" s="1226"/>
      <c r="U770" s="1226"/>
      <c r="V770" s="1226"/>
      <c r="W770" s="1226"/>
      <c r="X770" s="1226"/>
      <c r="Y770" s="1145">
        <f t="shared" si="29"/>
        <v>0</v>
      </c>
      <c r="Z770" s="1145"/>
      <c r="AA770" s="1145"/>
      <c r="AB770" s="1145"/>
      <c r="AC770" s="1145"/>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189"/>
      <c r="K771" s="1190"/>
      <c r="L771" s="1190"/>
      <c r="M771" s="1190"/>
      <c r="N771" s="1191"/>
      <c r="O771" s="1192"/>
      <c r="P771" s="1192"/>
      <c r="Q771" s="1192"/>
      <c r="R771" s="1192"/>
      <c r="S771" s="1192"/>
      <c r="T771" s="1226"/>
      <c r="U771" s="1226"/>
      <c r="V771" s="1226"/>
      <c r="W771" s="1226"/>
      <c r="X771" s="1226"/>
      <c r="Y771" s="1145">
        <f t="shared" si="29"/>
        <v>0</v>
      </c>
      <c r="Z771" s="1145"/>
      <c r="AA771" s="1145"/>
      <c r="AB771" s="1145"/>
      <c r="AC771" s="1145"/>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189"/>
      <c r="K772" s="1190"/>
      <c r="L772" s="1190"/>
      <c r="M772" s="1190"/>
      <c r="N772" s="1191"/>
      <c r="O772" s="1192"/>
      <c r="P772" s="1192"/>
      <c r="Q772" s="1192"/>
      <c r="R772" s="1192"/>
      <c r="S772" s="1192"/>
      <c r="T772" s="1226"/>
      <c r="U772" s="1226"/>
      <c r="V772" s="1226"/>
      <c r="W772" s="1226"/>
      <c r="X772" s="1226"/>
      <c r="Y772" s="1145">
        <f t="shared" si="29"/>
        <v>0</v>
      </c>
      <c r="Z772" s="1145"/>
      <c r="AA772" s="1145"/>
      <c r="AB772" s="1145"/>
      <c r="AC772" s="1145"/>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189"/>
      <c r="K773" s="1190"/>
      <c r="L773" s="1190"/>
      <c r="M773" s="1190"/>
      <c r="N773" s="1191"/>
      <c r="O773" s="1192"/>
      <c r="P773" s="1192"/>
      <c r="Q773" s="1192"/>
      <c r="R773" s="1192"/>
      <c r="S773" s="1192"/>
      <c r="T773" s="1226"/>
      <c r="U773" s="1226"/>
      <c r="V773" s="1226"/>
      <c r="W773" s="1226"/>
      <c r="X773" s="1226"/>
      <c r="Y773" s="1145">
        <f t="shared" si="29"/>
        <v>0</v>
      </c>
      <c r="Z773" s="1145"/>
      <c r="AA773" s="1145"/>
      <c r="AB773" s="1145"/>
      <c r="AC773" s="1145"/>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189"/>
      <c r="K774" s="1190"/>
      <c r="L774" s="1190"/>
      <c r="M774" s="1190"/>
      <c r="N774" s="1191"/>
      <c r="O774" s="1192"/>
      <c r="P774" s="1192"/>
      <c r="Q774" s="1192"/>
      <c r="R774" s="1192"/>
      <c r="S774" s="1192"/>
      <c r="T774" s="1226"/>
      <c r="U774" s="1226"/>
      <c r="V774" s="1226"/>
      <c r="W774" s="1226"/>
      <c r="X774" s="1226"/>
      <c r="Y774" s="1145">
        <f t="shared" si="29"/>
        <v>0</v>
      </c>
      <c r="Z774" s="1145"/>
      <c r="AA774" s="1145"/>
      <c r="AB774" s="1145"/>
      <c r="AC774" s="1145"/>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189"/>
      <c r="K775" s="1190"/>
      <c r="L775" s="1190"/>
      <c r="M775" s="1190"/>
      <c r="N775" s="1191"/>
      <c r="O775" s="1192"/>
      <c r="P775" s="1192"/>
      <c r="Q775" s="1192"/>
      <c r="R775" s="1192"/>
      <c r="S775" s="1192"/>
      <c r="T775" s="1226"/>
      <c r="U775" s="1226"/>
      <c r="V775" s="1226"/>
      <c r="W775" s="1226"/>
      <c r="X775" s="1226"/>
      <c r="Y775" s="1145">
        <f t="shared" si="29"/>
        <v>0</v>
      </c>
      <c r="Z775" s="1145"/>
      <c r="AA775" s="1145"/>
      <c r="AB775" s="1145"/>
      <c r="AC775" s="1145"/>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189"/>
      <c r="K776" s="1190"/>
      <c r="L776" s="1190"/>
      <c r="M776" s="1190"/>
      <c r="N776" s="1191"/>
      <c r="O776" s="1192"/>
      <c r="P776" s="1192"/>
      <c r="Q776" s="1192"/>
      <c r="R776" s="1192"/>
      <c r="S776" s="1192"/>
      <c r="T776" s="1226"/>
      <c r="U776" s="1226"/>
      <c r="V776" s="1226"/>
      <c r="W776" s="1226"/>
      <c r="X776" s="1226"/>
      <c r="Y776" s="1145">
        <f t="shared" si="29"/>
        <v>0</v>
      </c>
      <c r="Z776" s="1145"/>
      <c r="AA776" s="1145"/>
      <c r="AB776" s="1145"/>
      <c r="AC776" s="1145"/>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189"/>
      <c r="K777" s="1190"/>
      <c r="L777" s="1190"/>
      <c r="M777" s="1190"/>
      <c r="N777" s="1191"/>
      <c r="O777" s="1192"/>
      <c r="P777" s="1192"/>
      <c r="Q777" s="1192"/>
      <c r="R777" s="1192"/>
      <c r="S777" s="1192"/>
      <c r="T777" s="1226"/>
      <c r="U777" s="1226"/>
      <c r="V777" s="1226"/>
      <c r="W777" s="1226"/>
      <c r="X777" s="1226"/>
      <c r="Y777" s="1145">
        <f t="shared" si="29"/>
        <v>0</v>
      </c>
      <c r="Z777" s="1145"/>
      <c r="AA777" s="1145"/>
      <c r="AB777" s="1145"/>
      <c r="AC777" s="1145"/>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186" t="s">
        <v>133</v>
      </c>
      <c r="K778" s="1187"/>
      <c r="L778" s="1187"/>
      <c r="M778" s="1187"/>
      <c r="N778" s="1188"/>
      <c r="O778" s="1419">
        <f>SUM(O768:S777)</f>
        <v>0</v>
      </c>
      <c r="P778" s="1419"/>
      <c r="Q778" s="1419"/>
      <c r="R778" s="1419"/>
      <c r="S778" s="1419"/>
      <c r="T778" s="1420" t="s">
        <v>132</v>
      </c>
      <c r="U778" s="1421"/>
      <c r="V778" s="1421"/>
      <c r="W778" s="1421"/>
      <c r="X778" s="1422"/>
      <c r="Y778" s="1193">
        <f>SUM(Y768:AC777)</f>
        <v>0</v>
      </c>
      <c r="Z778" s="1137"/>
      <c r="AA778" s="1137"/>
      <c r="AB778" s="1137"/>
      <c r="AC778" s="1194"/>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715</v>
      </c>
      <c r="AO779" s="55"/>
      <c r="AP779" s="55"/>
      <c r="AQ779" s="55"/>
      <c r="AR779" s="55"/>
      <c r="AS779" s="55"/>
      <c r="AT779" s="55"/>
      <c r="AU779" s="55"/>
      <c r="AV779" s="55"/>
      <c r="AW779" s="55"/>
      <c r="AX779" s="55"/>
      <c r="AY779" s="55"/>
      <c r="AZ779" s="55"/>
      <c r="BA779" s="1401" t="s">
        <v>545</v>
      </c>
      <c r="BB779" s="1402"/>
      <c r="BC779" s="62"/>
      <c r="BD779" s="62"/>
      <c r="BE779" s="62"/>
      <c r="BF779" s="55" t="s">
        <v>717</v>
      </c>
      <c r="BG779" s="55"/>
      <c r="BH779" s="55"/>
      <c r="BI779" s="55"/>
      <c r="BJ779" s="55"/>
      <c r="BK779" s="55"/>
      <c r="BL779" s="55"/>
      <c r="BM779" s="55"/>
      <c r="BN779" s="55"/>
      <c r="BO779" s="1398" t="str">
        <f>T191</f>
        <v>Sonoma</v>
      </c>
      <c r="BP779" s="1399"/>
      <c r="BQ779" s="1399"/>
      <c r="BR779" s="1399"/>
      <c r="BS779" s="1399"/>
      <c r="BT779" s="1399"/>
      <c r="BU779" s="1400"/>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2.75">
      <c r="J780" s="80"/>
      <c r="K780" s="81"/>
      <c r="L780" s="81"/>
      <c r="M780" s="81"/>
      <c r="N780" s="81"/>
      <c r="O780" s="81"/>
      <c r="P780" s="81"/>
      <c r="Q780" s="81"/>
      <c r="R780" s="81"/>
      <c r="S780" s="81"/>
      <c r="T780" s="81"/>
      <c r="U780" s="81"/>
      <c r="V780" s="81"/>
      <c r="W780" s="81"/>
      <c r="X780" s="90" t="s">
        <v>172</v>
      </c>
      <c r="Y780" s="1252">
        <f>P734+Y758+Y778</f>
        <v>85777</v>
      </c>
      <c r="Z780" s="1252"/>
      <c r="AA780" s="1252"/>
      <c r="AB780" s="1252"/>
      <c r="AC780" s="1252"/>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2.75">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52">
        <f>(P734+Y758+Y778)*12</f>
        <v>1029324</v>
      </c>
      <c r="Z781" s="1252"/>
      <c r="AA781" s="1252"/>
      <c r="AB781" s="1252"/>
      <c r="AC781" s="1252"/>
      <c r="AD781" s="15"/>
      <c r="AE781" s="15"/>
      <c r="AF781" s="15"/>
      <c r="AG781" s="15"/>
      <c r="AH781" s="15"/>
      <c r="AI781" s="15"/>
      <c r="AJ781" s="15"/>
      <c r="AK781" s="15"/>
      <c r="AL781" s="15"/>
      <c r="AM781" s="56"/>
      <c r="AN781" s="56"/>
      <c r="AO781" s="24"/>
      <c r="AP781" s="24"/>
      <c r="AQ781" s="24"/>
      <c r="AR781" s="24"/>
      <c r="AS781" s="24"/>
      <c r="BA781" s="110" t="s">
        <v>545</v>
      </c>
      <c r="BC781" s="58"/>
      <c r="BD781" s="58"/>
      <c r="BE781" s="58"/>
      <c r="BF781" s="58"/>
      <c r="BG781" s="58"/>
    </row>
    <row r="782" spans="1:96" s="55" customFormat="1" ht="12.75">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544</v>
      </c>
      <c r="BB782" s="57" t="s">
        <v>1589</v>
      </c>
      <c r="BC782" s="58"/>
      <c r="BD782" s="58"/>
      <c r="BE782" s="58"/>
      <c r="BF782" s="58"/>
      <c r="BG782" s="58"/>
      <c r="BI782" s="57" t="s">
        <v>1594</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670</v>
      </c>
      <c r="B783" s="54"/>
      <c r="C783" s="54" t="s">
        <v>693</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1062</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545</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2.75">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163"/>
      <c r="AA786" s="1164"/>
      <c r="AB786" s="1164"/>
      <c r="AC786" s="1164"/>
      <c r="AD786" s="1164"/>
      <c r="AE786" s="1165"/>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2.75">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166"/>
      <c r="AA787" s="1164"/>
      <c r="AB787" s="1164"/>
      <c r="AC787" s="1164"/>
      <c r="AD787" s="1164"/>
      <c r="AE787" s="1165"/>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2.75">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23">
        <v>0</v>
      </c>
      <c r="AA788" s="1236"/>
      <c r="AB788" s="1236"/>
      <c r="AC788" s="1236"/>
      <c r="AD788" s="1236"/>
      <c r="AE788" s="1322"/>
      <c r="AF788" s="15"/>
      <c r="AG788" s="15"/>
      <c r="AH788" s="15"/>
      <c r="AI788" s="15"/>
      <c r="AJ788" s="15"/>
      <c r="AK788" s="15"/>
      <c r="AL788" s="15"/>
      <c r="AR788" s="24"/>
      <c r="AS788" s="24"/>
      <c r="AT788" s="60"/>
      <c r="AU788" s="60"/>
      <c r="AV788" s="60"/>
      <c r="AW788" s="60"/>
      <c r="AX788" s="60"/>
      <c r="AY788" s="60"/>
      <c r="AZ788" s="60"/>
      <c r="BA788" s="60"/>
      <c r="BB788" s="60"/>
      <c r="BC788" s="112" t="s">
        <v>716</v>
      </c>
      <c r="BD788" s="113" t="s">
        <v>352</v>
      </c>
      <c r="BE788" s="113" t="s">
        <v>174</v>
      </c>
      <c r="BF788" s="113" t="s">
        <v>175</v>
      </c>
      <c r="BG788" s="113" t="s">
        <v>536</v>
      </c>
      <c r="BH788" s="60"/>
      <c r="BI788" s="60"/>
      <c r="BJ788" s="112" t="s">
        <v>716</v>
      </c>
      <c r="BK788" s="113" t="s">
        <v>352</v>
      </c>
      <c r="BL788" s="113" t="s">
        <v>174</v>
      </c>
      <c r="BM788" s="113" t="s">
        <v>175</v>
      </c>
      <c r="BN788" s="113" t="s">
        <v>536</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25">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30">
        <f>'Subsidy Contract Calculation'!I30</f>
        <v>0</v>
      </c>
      <c r="AA789" s="1231"/>
      <c r="AB789" s="1231"/>
      <c r="AC789" s="1231"/>
      <c r="AD789" s="1231"/>
      <c r="AE789" s="1232"/>
      <c r="AF789" s="15"/>
      <c r="AG789" s="15"/>
      <c r="AH789" s="15"/>
      <c r="AI789" s="15"/>
      <c r="AJ789" s="15"/>
      <c r="AK789" s="15"/>
      <c r="AL789" s="15"/>
      <c r="AR789" s="24"/>
      <c r="AS789" s="24"/>
      <c r="AT789" s="60"/>
      <c r="AU789" s="60"/>
      <c r="AV789" s="60"/>
      <c r="AW789" s="60"/>
      <c r="AX789" s="60"/>
      <c r="AY789" s="60"/>
      <c r="AZ789" s="60"/>
      <c r="BA789" s="60"/>
      <c r="BB789" s="40" t="s">
        <v>719</v>
      </c>
      <c r="BC789" s="562">
        <v>303706</v>
      </c>
      <c r="BD789" s="562">
        <v>350170</v>
      </c>
      <c r="BE789" s="562">
        <v>422400</v>
      </c>
      <c r="BF789" s="562">
        <v>540672</v>
      </c>
      <c r="BG789" s="562">
        <v>602342</v>
      </c>
      <c r="BH789" s="60"/>
      <c r="BI789" s="40" t="s">
        <v>719</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720</v>
      </c>
      <c r="BC790" s="560">
        <v>237558</v>
      </c>
      <c r="BD790" s="560">
        <v>273902</v>
      </c>
      <c r="BE790" s="560">
        <v>330400</v>
      </c>
      <c r="BF790" s="560">
        <v>422912</v>
      </c>
      <c r="BG790" s="560">
        <v>471150</v>
      </c>
      <c r="BH790" s="60"/>
      <c r="BI790" s="40" t="s">
        <v>720</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671</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746</v>
      </c>
      <c r="BC792" s="560">
        <v>237558</v>
      </c>
      <c r="BD792" s="560">
        <v>273902</v>
      </c>
      <c r="BE792" s="560">
        <v>330400</v>
      </c>
      <c r="BF792" s="560">
        <v>422912</v>
      </c>
      <c r="BG792" s="560">
        <v>471150</v>
      </c>
      <c r="BH792" s="60"/>
      <c r="BI792" s="40" t="s">
        <v>746</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25">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60">
        <f>81*10*52</f>
        <v>42120</v>
      </c>
      <c r="AA793" s="1161"/>
      <c r="AB793" s="1161"/>
      <c r="AC793" s="1161"/>
      <c r="AD793" s="1161"/>
      <c r="AE793" s="1162"/>
      <c r="AF793" s="15"/>
      <c r="AG793" s="15"/>
      <c r="AH793" s="15"/>
      <c r="AI793" s="15"/>
      <c r="AJ793" s="15"/>
      <c r="AK793" s="15"/>
      <c r="AL793" s="15"/>
      <c r="AR793" s="24"/>
      <c r="AS793" s="24"/>
      <c r="AT793" s="60"/>
      <c r="AU793" s="60"/>
      <c r="AV793" s="60"/>
      <c r="AW793" s="60"/>
      <c r="AX793" s="60"/>
      <c r="AY793" s="60"/>
      <c r="AZ793" s="60"/>
      <c r="BA793" s="60"/>
      <c r="BB793" s="40" t="s">
        <v>747</v>
      </c>
      <c r="BC793" s="562">
        <v>237558</v>
      </c>
      <c r="BD793" s="562">
        <v>273902</v>
      </c>
      <c r="BE793" s="562">
        <v>330400</v>
      </c>
      <c r="BF793" s="562">
        <v>422912</v>
      </c>
      <c r="BG793" s="562">
        <v>471150</v>
      </c>
      <c r="BH793" s="60"/>
      <c r="BI793" s="40" t="s">
        <v>747</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60"/>
      <c r="AA794" s="1161"/>
      <c r="AB794" s="1161"/>
      <c r="AC794" s="1161"/>
      <c r="AD794" s="1161"/>
      <c r="AE794" s="1162"/>
      <c r="AF794" s="15"/>
      <c r="AG794" s="15"/>
      <c r="AH794" s="15"/>
      <c r="AI794" s="15"/>
      <c r="AJ794" s="15"/>
      <c r="AK794" s="15"/>
      <c r="AL794" s="15"/>
      <c r="AR794" s="24"/>
      <c r="AS794" s="24"/>
      <c r="AT794" s="60"/>
      <c r="AU794" s="60"/>
      <c r="AV794" s="60"/>
      <c r="AW794" s="60"/>
      <c r="AX794" s="60"/>
      <c r="AY794" s="60"/>
      <c r="AZ794" s="60"/>
      <c r="BA794" s="60"/>
      <c r="BB794" s="40" t="s">
        <v>748</v>
      </c>
      <c r="BC794" s="560">
        <v>237558</v>
      </c>
      <c r="BD794" s="560">
        <v>273902</v>
      </c>
      <c r="BE794" s="560">
        <v>330400</v>
      </c>
      <c r="BF794" s="560">
        <v>422912</v>
      </c>
      <c r="BG794" s="560">
        <v>471150</v>
      </c>
      <c r="BH794" s="60"/>
      <c r="BI794" s="40" t="s">
        <v>748</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60"/>
      <c r="AA795" s="1161"/>
      <c r="AB795" s="1161"/>
      <c r="AC795" s="1161"/>
      <c r="AD795" s="1161"/>
      <c r="AE795" s="1162"/>
      <c r="AF795" s="15"/>
      <c r="AG795" s="15"/>
      <c r="AH795" s="15"/>
      <c r="AI795" s="15"/>
      <c r="AJ795" s="15"/>
      <c r="AK795" s="15"/>
      <c r="AL795" s="15"/>
      <c r="AR795" s="24"/>
      <c r="AS795" s="24"/>
      <c r="AT795" s="60"/>
      <c r="AU795" s="60"/>
      <c r="AV795" s="60"/>
      <c r="AW795" s="60"/>
      <c r="AX795" s="60"/>
      <c r="AY795" s="60"/>
      <c r="AZ795" s="60"/>
      <c r="BA795" s="60"/>
      <c r="BB795" s="40" t="s">
        <v>749</v>
      </c>
      <c r="BC795" s="562">
        <v>312909</v>
      </c>
      <c r="BD795" s="562">
        <v>360781</v>
      </c>
      <c r="BE795" s="562">
        <v>435200</v>
      </c>
      <c r="BF795" s="562">
        <v>557056</v>
      </c>
      <c r="BG795" s="562">
        <v>620595</v>
      </c>
      <c r="BH795" s="60"/>
      <c r="BI795" s="40" t="s">
        <v>749</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227" t="s">
        <v>361</v>
      </c>
      <c r="Q796" s="1228"/>
      <c r="R796" s="1228"/>
      <c r="S796" s="1228"/>
      <c r="T796" s="1228"/>
      <c r="U796" s="1228"/>
      <c r="V796" s="1228"/>
      <c r="W796" s="1228"/>
      <c r="X796" s="1228"/>
      <c r="Y796" s="1229"/>
      <c r="Z796" s="1160"/>
      <c r="AA796" s="1161"/>
      <c r="AB796" s="1161"/>
      <c r="AC796" s="1161"/>
      <c r="AD796" s="1161"/>
      <c r="AE796" s="1162"/>
      <c r="AF796" s="15"/>
      <c r="AG796" s="15"/>
      <c r="AH796" s="15"/>
      <c r="AI796" s="15"/>
      <c r="AJ796" s="15"/>
      <c r="AK796" s="15"/>
      <c r="AL796" s="15"/>
      <c r="AS796" s="24"/>
      <c r="AT796" s="60"/>
      <c r="AU796" s="60"/>
      <c r="AV796" s="60"/>
      <c r="AW796" s="60"/>
      <c r="AX796" s="60"/>
      <c r="AY796" s="60"/>
      <c r="AZ796" s="60"/>
      <c r="BA796" s="60"/>
      <c r="BB796" s="40" t="s">
        <v>750</v>
      </c>
      <c r="BC796" s="560">
        <v>237558</v>
      </c>
      <c r="BD796" s="560">
        <v>273902</v>
      </c>
      <c r="BE796" s="560">
        <v>330400</v>
      </c>
      <c r="BF796" s="560">
        <v>422912</v>
      </c>
      <c r="BG796" s="560">
        <v>471150</v>
      </c>
      <c r="BH796" s="60"/>
      <c r="BI796" s="40" t="s">
        <v>750</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30">
        <f>SUM(Z793:AE796)</f>
        <v>42120</v>
      </c>
      <c r="AA797" s="1231"/>
      <c r="AB797" s="1231"/>
      <c r="AC797" s="1231"/>
      <c r="AD797" s="1231"/>
      <c r="AE797" s="1232"/>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751</v>
      </c>
      <c r="BC797" s="562">
        <v>237558</v>
      </c>
      <c r="BD797" s="562">
        <v>273902</v>
      </c>
      <c r="BE797" s="562">
        <v>330400</v>
      </c>
      <c r="BF797" s="562">
        <v>422912</v>
      </c>
      <c r="BG797" s="562">
        <v>471150</v>
      </c>
      <c r="BH797" s="60"/>
      <c r="BI797" s="40" t="s">
        <v>751</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727</v>
      </c>
      <c r="Z798" s="1230">
        <f>Z797+Y781+Z789</f>
        <v>1071444</v>
      </c>
      <c r="AA798" s="1231"/>
      <c r="AB798" s="1231"/>
      <c r="AC798" s="1231"/>
      <c r="AD798" s="1231"/>
      <c r="AE798" s="1232"/>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753</v>
      </c>
      <c r="BC798" s="560">
        <v>237558</v>
      </c>
      <c r="BD798" s="560">
        <v>273902</v>
      </c>
      <c r="BE798" s="560">
        <v>330400</v>
      </c>
      <c r="BF798" s="560">
        <v>422912</v>
      </c>
      <c r="BG798" s="560">
        <v>471150</v>
      </c>
      <c r="BH798" s="60"/>
      <c r="BI798" s="40" t="s">
        <v>753</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756</v>
      </c>
      <c r="BC799" s="562">
        <v>237558</v>
      </c>
      <c r="BD799" s="562">
        <v>273902</v>
      </c>
      <c r="BE799" s="562">
        <v>330400</v>
      </c>
      <c r="BF799" s="562">
        <v>422912</v>
      </c>
      <c r="BG799" s="562">
        <v>471150</v>
      </c>
      <c r="BH799" s="60"/>
      <c r="BI799" s="40" t="s">
        <v>756</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673</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757</v>
      </c>
      <c r="BC800" s="560">
        <v>237558</v>
      </c>
      <c r="BD800" s="560">
        <v>273902</v>
      </c>
      <c r="BE800" s="560">
        <v>330400</v>
      </c>
      <c r="BF800" s="560">
        <v>422912</v>
      </c>
      <c r="BG800" s="560">
        <v>471150</v>
      </c>
      <c r="BH800" s="60"/>
      <c r="BI800" s="40" t="s">
        <v>757</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935</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759</v>
      </c>
      <c r="BC801" s="562">
        <v>237558</v>
      </c>
      <c r="BD801" s="562">
        <v>273902</v>
      </c>
      <c r="BE801" s="562">
        <v>330400</v>
      </c>
      <c r="BF801" s="562">
        <v>422912</v>
      </c>
      <c r="BG801" s="562">
        <v>471150</v>
      </c>
      <c r="BH801" s="60"/>
      <c r="BI801" s="40" t="s">
        <v>759</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760</v>
      </c>
      <c r="BC802" s="560">
        <v>237558</v>
      </c>
      <c r="BD802" s="560">
        <v>273902</v>
      </c>
      <c r="BE802" s="560">
        <v>330400</v>
      </c>
      <c r="BF802" s="560">
        <v>422912</v>
      </c>
      <c r="BG802" s="560">
        <v>471150</v>
      </c>
      <c r="BH802" s="60"/>
      <c r="BI802" s="40" t="s">
        <v>760</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257" t="s">
        <v>134</v>
      </c>
      <c r="N803" s="1257"/>
      <c r="O803" s="1257"/>
      <c r="P803" s="1258"/>
      <c r="Q803" s="1169" t="s">
        <v>313</v>
      </c>
      <c r="R803" s="1169"/>
      <c r="S803" s="1169"/>
      <c r="T803" s="1169"/>
      <c r="U803" s="1169" t="s">
        <v>314</v>
      </c>
      <c r="V803" s="1169"/>
      <c r="W803" s="1169"/>
      <c r="X803" s="1169"/>
      <c r="Y803" s="1169" t="s">
        <v>315</v>
      </c>
      <c r="Z803" s="1169"/>
      <c r="AA803" s="1169"/>
      <c r="AB803" s="1169"/>
      <c r="AC803" s="1169" t="s">
        <v>390</v>
      </c>
      <c r="AD803" s="1169"/>
      <c r="AE803" s="1169"/>
      <c r="AF803" s="1169"/>
      <c r="AG803" s="1386" t="s">
        <v>362</v>
      </c>
      <c r="AH803" s="1386"/>
      <c r="AI803" s="1386"/>
      <c r="AJ803" s="1386"/>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259"/>
      <c r="N804" s="1259"/>
      <c r="O804" s="1259"/>
      <c r="P804" s="1260"/>
      <c r="Q804" s="1169"/>
      <c r="R804" s="1169"/>
      <c r="S804" s="1169"/>
      <c r="T804" s="1169"/>
      <c r="U804" s="1169"/>
      <c r="V804" s="1169"/>
      <c r="W804" s="1169"/>
      <c r="X804" s="1169"/>
      <c r="Y804" s="1169"/>
      <c r="Z804" s="1169"/>
      <c r="AA804" s="1169"/>
      <c r="AB804" s="1169"/>
      <c r="AC804" s="1169"/>
      <c r="AD804" s="1169"/>
      <c r="AE804" s="1169"/>
      <c r="AF804" s="1169"/>
      <c r="AG804" s="1386"/>
      <c r="AH804" s="1386"/>
      <c r="AI804" s="1386"/>
      <c r="AJ804" s="1386"/>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250" t="s">
        <v>46</v>
      </c>
      <c r="D805" s="1251"/>
      <c r="E805" s="1251"/>
      <c r="F805" s="1251"/>
      <c r="G805" s="1251"/>
      <c r="H805" s="1251"/>
      <c r="I805" s="84"/>
      <c r="J805" s="84"/>
      <c r="K805" s="84"/>
      <c r="L805" s="85"/>
      <c r="M805" s="1180"/>
      <c r="N805" s="1180"/>
      <c r="O805" s="1180"/>
      <c r="P805" s="1180"/>
      <c r="Q805" s="1180"/>
      <c r="R805" s="1180"/>
      <c r="S805" s="1180"/>
      <c r="T805" s="1180"/>
      <c r="U805" s="1180">
        <v>20</v>
      </c>
      <c r="V805" s="1180"/>
      <c r="W805" s="1180"/>
      <c r="X805" s="1180"/>
      <c r="Y805" s="1180">
        <v>24</v>
      </c>
      <c r="Z805" s="1180"/>
      <c r="AA805" s="1180"/>
      <c r="AB805" s="1180"/>
      <c r="AC805" s="1253">
        <v>28</v>
      </c>
      <c r="AD805" s="1254"/>
      <c r="AE805" s="1254"/>
      <c r="AF805" s="1255"/>
      <c r="AG805" s="1253"/>
      <c r="AH805" s="1254"/>
      <c r="AI805" s="1254"/>
      <c r="AJ805" s="1255"/>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81" t="s">
        <v>47</v>
      </c>
      <c r="D806" s="1182"/>
      <c r="E806" s="1182"/>
      <c r="F806" s="1182"/>
      <c r="G806" s="1182"/>
      <c r="H806" s="1182"/>
      <c r="I806" s="81"/>
      <c r="J806" s="81"/>
      <c r="K806" s="81"/>
      <c r="L806" s="82"/>
      <c r="M806" s="1180"/>
      <c r="N806" s="1180"/>
      <c r="O806" s="1180"/>
      <c r="P806" s="1180"/>
      <c r="Q806" s="1180"/>
      <c r="R806" s="1180"/>
      <c r="S806" s="1180"/>
      <c r="T806" s="1180"/>
      <c r="U806" s="1180">
        <v>9</v>
      </c>
      <c r="V806" s="1180"/>
      <c r="W806" s="1180"/>
      <c r="X806" s="1180"/>
      <c r="Y806" s="1180">
        <v>11</v>
      </c>
      <c r="Z806" s="1180"/>
      <c r="AA806" s="1180"/>
      <c r="AB806" s="1180"/>
      <c r="AC806" s="1253">
        <v>13</v>
      </c>
      <c r="AD806" s="1254"/>
      <c r="AE806" s="1254"/>
      <c r="AF806" s="1255"/>
      <c r="AG806" s="1253"/>
      <c r="AH806" s="1254"/>
      <c r="AI806" s="1254"/>
      <c r="AJ806" s="1255"/>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81" t="s">
        <v>48</v>
      </c>
      <c r="D807" s="1182"/>
      <c r="E807" s="1182"/>
      <c r="F807" s="1182"/>
      <c r="G807" s="1182"/>
      <c r="H807" s="1182"/>
      <c r="I807" s="100"/>
      <c r="J807" s="100"/>
      <c r="K807" s="100"/>
      <c r="L807" s="101"/>
      <c r="M807" s="1180"/>
      <c r="N807" s="1180"/>
      <c r="O807" s="1180"/>
      <c r="P807" s="1180"/>
      <c r="Q807" s="1180"/>
      <c r="R807" s="1180"/>
      <c r="S807" s="1180"/>
      <c r="T807" s="1180"/>
      <c r="U807" s="1180">
        <v>7</v>
      </c>
      <c r="V807" s="1180"/>
      <c r="W807" s="1180"/>
      <c r="X807" s="1180"/>
      <c r="Y807" s="1180">
        <v>8</v>
      </c>
      <c r="Z807" s="1180"/>
      <c r="AA807" s="1180"/>
      <c r="AB807" s="1180"/>
      <c r="AC807" s="1253">
        <v>9</v>
      </c>
      <c r="AD807" s="1254"/>
      <c r="AE807" s="1254"/>
      <c r="AF807" s="1255"/>
      <c r="AG807" s="1253"/>
      <c r="AH807" s="1254"/>
      <c r="AI807" s="1254"/>
      <c r="AJ807" s="1255"/>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81" t="s">
        <v>873</v>
      </c>
      <c r="D808" s="1182"/>
      <c r="E808" s="1182"/>
      <c r="F808" s="1182"/>
      <c r="G808" s="1182"/>
      <c r="H808" s="1182"/>
      <c r="I808" s="100"/>
      <c r="J808" s="100"/>
      <c r="K808" s="100"/>
      <c r="L808" s="101"/>
      <c r="M808" s="1180"/>
      <c r="N808" s="1180"/>
      <c r="O808" s="1180"/>
      <c r="P808" s="1180"/>
      <c r="Q808" s="1180"/>
      <c r="R808" s="1180"/>
      <c r="S808" s="1180"/>
      <c r="T808" s="1180"/>
      <c r="U808" s="1180"/>
      <c r="V808" s="1180"/>
      <c r="W808" s="1180"/>
      <c r="X808" s="1180"/>
      <c r="Y808" s="1180"/>
      <c r="Z808" s="1180"/>
      <c r="AA808" s="1180"/>
      <c r="AB808" s="1180"/>
      <c r="AC808" s="1253"/>
      <c r="AD808" s="1254"/>
      <c r="AE808" s="1254"/>
      <c r="AF808" s="1255"/>
      <c r="AG808" s="1253"/>
      <c r="AH808" s="1254"/>
      <c r="AI808" s="1254"/>
      <c r="AJ808" s="1255"/>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81" t="s">
        <v>535</v>
      </c>
      <c r="D809" s="1182"/>
      <c r="E809" s="1182"/>
      <c r="F809" s="1182"/>
      <c r="G809" s="1182"/>
      <c r="H809" s="1182"/>
      <c r="I809" s="100"/>
      <c r="J809" s="100"/>
      <c r="K809" s="100"/>
      <c r="L809" s="101"/>
      <c r="M809" s="1180"/>
      <c r="N809" s="1180"/>
      <c r="O809" s="1180"/>
      <c r="P809" s="1180"/>
      <c r="Q809" s="1180"/>
      <c r="R809" s="1180"/>
      <c r="S809" s="1180"/>
      <c r="T809" s="1180"/>
      <c r="U809" s="1180">
        <v>30</v>
      </c>
      <c r="V809" s="1180"/>
      <c r="W809" s="1180"/>
      <c r="X809" s="1180"/>
      <c r="Y809" s="1180">
        <v>33</v>
      </c>
      <c r="Z809" s="1180"/>
      <c r="AA809" s="1180"/>
      <c r="AB809" s="1180"/>
      <c r="AC809" s="1253">
        <v>36</v>
      </c>
      <c r="AD809" s="1254"/>
      <c r="AE809" s="1254"/>
      <c r="AF809" s="1255"/>
      <c r="AG809" s="1253"/>
      <c r="AH809" s="1254"/>
      <c r="AI809" s="1254"/>
      <c r="AJ809" s="1255"/>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249" t="s">
        <v>897</v>
      </c>
      <c r="D810" s="1182"/>
      <c r="E810" s="1182"/>
      <c r="F810" s="1182"/>
      <c r="G810" s="1182"/>
      <c r="H810" s="1182"/>
      <c r="I810" s="100"/>
      <c r="J810" s="100"/>
      <c r="K810" s="100"/>
      <c r="L810" s="101"/>
      <c r="M810" s="1180"/>
      <c r="N810" s="1180"/>
      <c r="O810" s="1180"/>
      <c r="P810" s="1180"/>
      <c r="Q810" s="1180"/>
      <c r="R810" s="1180"/>
      <c r="S810" s="1180"/>
      <c r="T810" s="1180"/>
      <c r="U810" s="1180"/>
      <c r="V810" s="1180"/>
      <c r="W810" s="1180"/>
      <c r="X810" s="1180"/>
      <c r="Y810" s="1180"/>
      <c r="Z810" s="1180"/>
      <c r="AA810" s="1180"/>
      <c r="AB810" s="1180"/>
      <c r="AC810" s="1253"/>
      <c r="AD810" s="1254"/>
      <c r="AE810" s="1254"/>
      <c r="AF810" s="1255"/>
      <c r="AG810" s="1253"/>
      <c r="AH810" s="1254"/>
      <c r="AI810" s="1254"/>
      <c r="AJ810" s="1255"/>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183" t="s">
        <v>361</v>
      </c>
      <c r="G811" s="1184"/>
      <c r="H811" s="1184"/>
      <c r="I811" s="1184"/>
      <c r="J811" s="1184"/>
      <c r="K811" s="1184"/>
      <c r="L811" s="1185"/>
      <c r="M811" s="1180"/>
      <c r="N811" s="1180"/>
      <c r="O811" s="1180"/>
      <c r="P811" s="1180"/>
      <c r="Q811" s="1180"/>
      <c r="R811" s="1180"/>
      <c r="S811" s="1180"/>
      <c r="T811" s="1180"/>
      <c r="U811" s="1180"/>
      <c r="V811" s="1180"/>
      <c r="W811" s="1180"/>
      <c r="X811" s="1180"/>
      <c r="Y811" s="1180"/>
      <c r="Z811" s="1180"/>
      <c r="AA811" s="1180"/>
      <c r="AB811" s="1180"/>
      <c r="AC811" s="1253"/>
      <c r="AD811" s="1254"/>
      <c r="AE811" s="1254"/>
      <c r="AF811" s="1255"/>
      <c r="AG811" s="1253"/>
      <c r="AH811" s="1254"/>
      <c r="AI811" s="1254"/>
      <c r="AJ811" s="1255"/>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186" t="s">
        <v>132</v>
      </c>
      <c r="D812" s="1187"/>
      <c r="E812" s="1187"/>
      <c r="F812" s="1187"/>
      <c r="G812" s="1187"/>
      <c r="H812" s="1187"/>
      <c r="I812" s="1187"/>
      <c r="J812" s="1187"/>
      <c r="K812" s="1187"/>
      <c r="L812" s="1188"/>
      <c r="M812" s="1256">
        <f>SUM(M805:P811)</f>
        <v>0</v>
      </c>
      <c r="N812" s="1256"/>
      <c r="O812" s="1256"/>
      <c r="P812" s="1256"/>
      <c r="Q812" s="1256">
        <f>SUM(Q805:T811)</f>
        <v>0</v>
      </c>
      <c r="R812" s="1256"/>
      <c r="S812" s="1256"/>
      <c r="T812" s="1256"/>
      <c r="U812" s="1256">
        <f>SUM(U805:X811)</f>
        <v>66</v>
      </c>
      <c r="V812" s="1256"/>
      <c r="W812" s="1256"/>
      <c r="X812" s="1256"/>
      <c r="Y812" s="1256">
        <f>SUM(Y805:AB811)</f>
        <v>76</v>
      </c>
      <c r="Z812" s="1256"/>
      <c r="AA812" s="1256"/>
      <c r="AB812" s="1256"/>
      <c r="AC812" s="1256">
        <f>SUM(AC805:AF811)</f>
        <v>86</v>
      </c>
      <c r="AD812" s="1256"/>
      <c r="AE812" s="1256"/>
      <c r="AF812" s="1256"/>
      <c r="AG812" s="1256">
        <f>SUM(AG805:AJ811)</f>
        <v>0</v>
      </c>
      <c r="AH812" s="1256"/>
      <c r="AI812" s="1256"/>
      <c r="AJ812" s="1256"/>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898</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899</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366" t="s">
        <v>1716</v>
      </c>
      <c r="D817" s="1367"/>
      <c r="E817" s="1367"/>
      <c r="F817" s="1367"/>
      <c r="G817" s="1367"/>
      <c r="H817" s="1367"/>
      <c r="I817" s="1367"/>
      <c r="J817" s="1367"/>
      <c r="K817" s="1367"/>
      <c r="L817" s="1367"/>
      <c r="M817" s="1367"/>
      <c r="N817" s="1367"/>
      <c r="O817" s="1367"/>
      <c r="P817" s="1367"/>
      <c r="Q817" s="1367"/>
      <c r="R817" s="1367"/>
      <c r="S817" s="1367"/>
      <c r="T817" s="1367"/>
      <c r="U817" s="1367"/>
      <c r="V817" s="1367"/>
      <c r="W817" s="1367"/>
      <c r="X817" s="1367"/>
      <c r="Y817" s="1367"/>
      <c r="Z817" s="1367"/>
      <c r="AA817" s="1367"/>
      <c r="AB817" s="1367"/>
      <c r="AC817" s="1367"/>
      <c r="AD817" s="1367"/>
      <c r="AE817" s="1367"/>
      <c r="AF817" s="1367"/>
      <c r="AG817" s="1367"/>
      <c r="AH817" s="1367"/>
      <c r="AI817" s="1367"/>
      <c r="AJ817" s="1368"/>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25">
      <c r="A818" s="15"/>
      <c r="B818" s="419"/>
      <c r="C818" s="192" t="s">
        <v>1468</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25">
      <c r="A820" s="54" t="s">
        <v>543</v>
      </c>
      <c r="B820" s="15"/>
      <c r="C820" s="54" t="s">
        <v>871</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245">
        <v>855</v>
      </c>
      <c r="X822" s="1245"/>
      <c r="Y822" s="1245"/>
      <c r="Z822" s="1245"/>
      <c r="AA822" s="1245"/>
      <c r="AB822" s="1245"/>
      <c r="AC822" s="1245"/>
      <c r="AD822" s="15"/>
      <c r="AE822" s="15"/>
      <c r="AF822" s="15"/>
      <c r="AG822" s="15"/>
      <c r="AH822" s="15"/>
      <c r="AI822" s="15"/>
      <c r="AJ822" s="15"/>
      <c r="AK822" s="15"/>
      <c r="AL822" s="15"/>
      <c r="AS822" s="24"/>
      <c r="AT822" s="60"/>
      <c r="AU822" s="60"/>
      <c r="AV822" s="60"/>
      <c r="AW822" s="60"/>
      <c r="AX822" s="60"/>
      <c r="AY822" s="60"/>
      <c r="AZ822" s="60"/>
      <c r="BA822" s="60"/>
      <c r="BB822" s="40" t="s">
        <v>718</v>
      </c>
      <c r="BC822" s="560">
        <v>237558</v>
      </c>
      <c r="BD822" s="560">
        <v>273902</v>
      </c>
      <c r="BE822" s="560">
        <v>330400</v>
      </c>
      <c r="BF822" s="560">
        <v>422912</v>
      </c>
      <c r="BG822" s="560">
        <v>471150</v>
      </c>
      <c r="BH822" s="60"/>
      <c r="BI822" s="40" t="s">
        <v>718</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245">
        <v>5168</v>
      </c>
      <c r="X823" s="1245"/>
      <c r="Y823" s="1245"/>
      <c r="Z823" s="1245"/>
      <c r="AA823" s="1245"/>
      <c r="AB823" s="1245"/>
      <c r="AC823" s="1245"/>
      <c r="AD823" s="15"/>
      <c r="AE823" s="15"/>
      <c r="AF823" s="15"/>
      <c r="AG823" s="15"/>
      <c r="AH823" s="15"/>
      <c r="AI823" s="15"/>
      <c r="AJ823" s="15"/>
      <c r="AK823" s="15"/>
      <c r="AL823" s="15"/>
      <c r="AS823" s="24"/>
      <c r="AT823" s="60"/>
      <c r="AZ823" s="60"/>
      <c r="BA823" s="60"/>
      <c r="BB823" s="40" t="s">
        <v>775</v>
      </c>
      <c r="BC823" s="562">
        <v>237558</v>
      </c>
      <c r="BD823" s="562">
        <v>273902</v>
      </c>
      <c r="BE823" s="562">
        <v>330400</v>
      </c>
      <c r="BF823" s="562">
        <v>422912</v>
      </c>
      <c r="BG823" s="562">
        <v>471150</v>
      </c>
      <c r="BH823" s="60"/>
      <c r="BI823" s="40" t="s">
        <v>775</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245">
        <v>10000</v>
      </c>
      <c r="X824" s="1245"/>
      <c r="Y824" s="1245"/>
      <c r="Z824" s="1245"/>
      <c r="AA824" s="1245"/>
      <c r="AB824" s="1245"/>
      <c r="AC824" s="1245"/>
      <c r="AD824" s="15"/>
      <c r="AE824" s="15"/>
      <c r="AF824" s="15"/>
      <c r="AG824" s="15"/>
      <c r="AH824" s="15"/>
      <c r="AI824" s="15"/>
      <c r="AJ824" s="15"/>
      <c r="AK824" s="15"/>
      <c r="AL824" s="15"/>
      <c r="AS824" s="24"/>
      <c r="AT824" s="60"/>
      <c r="AV824" s="1168">
        <f>ROUNDDOWN(AP908*2,2)</f>
        <v>0</v>
      </c>
      <c r="AW824" s="1168"/>
      <c r="AX824" s="1168"/>
      <c r="AY824" s="1168"/>
      <c r="AZ824" s="60"/>
      <c r="BA824" s="60"/>
      <c r="BB824" s="40" t="s">
        <v>776</v>
      </c>
      <c r="BC824" s="560">
        <v>237558</v>
      </c>
      <c r="BD824" s="560">
        <v>273902</v>
      </c>
      <c r="BE824" s="560">
        <v>330400</v>
      </c>
      <c r="BF824" s="560">
        <v>422912</v>
      </c>
      <c r="BG824" s="560">
        <v>471150</v>
      </c>
      <c r="BH824" s="60"/>
      <c r="BI824" s="40" t="s">
        <v>776</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245"/>
      <c r="X825" s="1245"/>
      <c r="Y825" s="1245"/>
      <c r="Z825" s="1245"/>
      <c r="AA825" s="1245"/>
      <c r="AB825" s="1245"/>
      <c r="AC825" s="1245"/>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777</v>
      </c>
      <c r="BC825" s="562">
        <v>237558</v>
      </c>
      <c r="BD825" s="562">
        <v>273902</v>
      </c>
      <c r="BE825" s="562">
        <v>330400</v>
      </c>
      <c r="BF825" s="562">
        <v>422912</v>
      </c>
      <c r="BG825" s="562">
        <v>471150</v>
      </c>
      <c r="BH825" s="60"/>
      <c r="BI825" s="40" t="s">
        <v>777</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25">
      <c r="A826" s="15"/>
      <c r="B826" s="15"/>
      <c r="C826" s="15"/>
      <c r="D826" s="15"/>
      <c r="E826" s="15"/>
      <c r="F826" s="15"/>
      <c r="G826" s="15"/>
      <c r="H826" s="15"/>
      <c r="I826" s="15"/>
      <c r="J826" s="80" t="s">
        <v>181</v>
      </c>
      <c r="K826" s="81"/>
      <c r="L826" s="81"/>
      <c r="M826" s="1183" t="s">
        <v>1670</v>
      </c>
      <c r="N826" s="1184"/>
      <c r="O826" s="1184"/>
      <c r="P826" s="1184"/>
      <c r="Q826" s="1184"/>
      <c r="R826" s="1184"/>
      <c r="S826" s="1184"/>
      <c r="T826" s="1184"/>
      <c r="U826" s="1184"/>
      <c r="V826" s="1185"/>
      <c r="W826" s="1245">
        <f>5000+2784+3531+1608+6800</f>
        <v>19723</v>
      </c>
      <c r="X826" s="1245"/>
      <c r="Y826" s="1245"/>
      <c r="Z826" s="1245"/>
      <c r="AA826" s="1245"/>
      <c r="AB826" s="1245"/>
      <c r="AC826" s="1245"/>
      <c r="AD826" s="15"/>
      <c r="AE826" s="15"/>
      <c r="AF826" s="15"/>
      <c r="AG826" s="15"/>
      <c r="AH826" s="15"/>
      <c r="AI826" s="15"/>
      <c r="AJ826" s="15"/>
      <c r="AK826" s="15"/>
      <c r="AL826" s="15"/>
      <c r="AM826" s="56">
        <f>IF(AD981&gt;1,0.025,0)</f>
        <v>0</v>
      </c>
      <c r="AN826" s="56"/>
      <c r="AO826" s="24"/>
      <c r="AP826" s="24"/>
      <c r="AQ826" s="24"/>
      <c r="AR826" s="24"/>
      <c r="AS826" s="24"/>
      <c r="AT826" s="60"/>
      <c r="AU826" s="60"/>
      <c r="AV826" s="60"/>
      <c r="AW826" s="60"/>
      <c r="AX826" s="60"/>
      <c r="AY826" s="60"/>
      <c r="AZ826" s="60"/>
      <c r="BA826" s="60"/>
      <c r="BB826" s="40" t="s">
        <v>778</v>
      </c>
      <c r="BC826" s="560">
        <v>412418</v>
      </c>
      <c r="BD826" s="560">
        <v>475514</v>
      </c>
      <c r="BE826" s="560">
        <v>573600</v>
      </c>
      <c r="BF826" s="560">
        <v>734208</v>
      </c>
      <c r="BG826" s="560">
        <v>817954</v>
      </c>
      <c r="BH826" s="60"/>
      <c r="BI826" s="40" t="s">
        <v>778</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30">
        <f>SUM(W822:AC826)</f>
        <v>35746</v>
      </c>
      <c r="X827" s="1231"/>
      <c r="Y827" s="1231"/>
      <c r="Z827" s="1231"/>
      <c r="AA827" s="1231"/>
      <c r="AB827" s="1231"/>
      <c r="AC827" s="1232"/>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186" t="s">
        <v>374</v>
      </c>
      <c r="K829" s="1187"/>
      <c r="L829" s="1187"/>
      <c r="M829" s="1187"/>
      <c r="N829" s="1187"/>
      <c r="O829" s="1187"/>
      <c r="P829" s="1187"/>
      <c r="Q829" s="1187"/>
      <c r="R829" s="1187"/>
      <c r="S829" s="1187"/>
      <c r="T829" s="1187"/>
      <c r="U829" s="1187"/>
      <c r="V829" s="1188"/>
      <c r="W829" s="1160">
        <v>35292</v>
      </c>
      <c r="X829" s="1161"/>
      <c r="Y829" s="1161"/>
      <c r="Z829" s="1161"/>
      <c r="AA829" s="1161"/>
      <c r="AB829" s="1161"/>
      <c r="AC829" s="1162"/>
      <c r="AD829" s="15"/>
      <c r="AE829" s="15"/>
      <c r="AF829" s="15"/>
      <c r="AG829" s="15"/>
      <c r="AH829" s="15"/>
      <c r="AI829" s="15"/>
      <c r="AJ829" s="15"/>
      <c r="AK829" s="15"/>
      <c r="AL829" s="15"/>
      <c r="AM829" s="56">
        <f>IF(AD981&gt;1,0.05,0)</f>
        <v>0</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789</v>
      </c>
      <c r="BC830" s="560">
        <v>253663</v>
      </c>
      <c r="BD830" s="560">
        <v>292471</v>
      </c>
      <c r="BE830" s="560">
        <v>352800</v>
      </c>
      <c r="BF830" s="560">
        <v>451584</v>
      </c>
      <c r="BG830" s="560">
        <v>503093</v>
      </c>
      <c r="BH830" s="60"/>
      <c r="BI830" s="40" t="s">
        <v>789</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25">
      <c r="A831" s="15"/>
      <c r="B831" s="15"/>
      <c r="C831" s="54" t="s">
        <v>640</v>
      </c>
      <c r="D831" s="15"/>
      <c r="E831" s="15"/>
      <c r="F831" s="15"/>
      <c r="G831" s="15"/>
      <c r="H831" s="15"/>
      <c r="I831" s="15"/>
      <c r="J831" s="80" t="s">
        <v>381</v>
      </c>
      <c r="K831" s="81"/>
      <c r="L831" s="81"/>
      <c r="M831" s="81"/>
      <c r="N831" s="81"/>
      <c r="O831" s="81"/>
      <c r="P831" s="81"/>
      <c r="Q831" s="81"/>
      <c r="R831" s="81"/>
      <c r="S831" s="81"/>
      <c r="T831" s="81"/>
      <c r="U831" s="81"/>
      <c r="V831" s="82"/>
      <c r="W831" s="1403"/>
      <c r="X831" s="1403"/>
      <c r="Y831" s="1403"/>
      <c r="Z831" s="1403"/>
      <c r="AA831" s="1403"/>
      <c r="AB831" s="1403"/>
      <c r="AC831" s="1403"/>
      <c r="AD831" s="15"/>
      <c r="AE831" s="15"/>
      <c r="AF831" s="15"/>
      <c r="AG831" s="15"/>
      <c r="AH831" s="15"/>
      <c r="AI831" s="15"/>
      <c r="AJ831" s="15"/>
      <c r="AK831" s="15"/>
      <c r="AL831" s="15"/>
      <c r="AM831" s="134"/>
      <c r="AN831" s="134"/>
      <c r="AO831" s="24"/>
      <c r="AP831" s="24"/>
      <c r="AQ831" s="24"/>
      <c r="AR831" s="24"/>
      <c r="AS831" s="24"/>
      <c r="AT831" s="1167"/>
      <c r="AU831" s="1167"/>
      <c r="AV831" s="1167"/>
      <c r="AW831" s="1167"/>
      <c r="AX831" s="1167"/>
      <c r="AY831" s="1167"/>
      <c r="AZ831" s="60"/>
      <c r="BA831" s="60"/>
      <c r="BB831" s="40" t="s">
        <v>790</v>
      </c>
      <c r="BC831" s="561">
        <v>282423</v>
      </c>
      <c r="BD831" s="561">
        <v>325631</v>
      </c>
      <c r="BE831" s="561">
        <v>392800</v>
      </c>
      <c r="BF831" s="561">
        <v>502784</v>
      </c>
      <c r="BG831" s="561">
        <v>560133</v>
      </c>
      <c r="BH831" s="60"/>
      <c r="BI831" s="40" t="s">
        <v>790</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25">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403">
        <v>5410</v>
      </c>
      <c r="X832" s="1403"/>
      <c r="Y832" s="1403"/>
      <c r="Z832" s="1403"/>
      <c r="AA832" s="1403"/>
      <c r="AB832" s="1403"/>
      <c r="AC832" s="1403"/>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791</v>
      </c>
      <c r="BC832" s="560">
        <v>253663</v>
      </c>
      <c r="BD832" s="560">
        <v>292471</v>
      </c>
      <c r="BE832" s="560">
        <v>352800</v>
      </c>
      <c r="BF832" s="560">
        <v>451584</v>
      </c>
      <c r="BG832" s="560">
        <v>503093</v>
      </c>
      <c r="BH832" s="60"/>
      <c r="BI832" s="40" t="s">
        <v>791</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25">
      <c r="A833" s="15"/>
      <c r="B833" s="15"/>
      <c r="C833" s="15"/>
      <c r="D833" s="15"/>
      <c r="E833" s="15"/>
      <c r="F833" s="15"/>
      <c r="G833" s="15"/>
      <c r="H833" s="15"/>
      <c r="I833" s="15"/>
      <c r="J833" s="80" t="s">
        <v>535</v>
      </c>
      <c r="K833" s="81"/>
      <c r="L833" s="81"/>
      <c r="M833" s="81"/>
      <c r="N833" s="81"/>
      <c r="O833" s="81"/>
      <c r="P833" s="81"/>
      <c r="Q833" s="81"/>
      <c r="R833" s="81"/>
      <c r="S833" s="81"/>
      <c r="T833" s="81"/>
      <c r="U833" s="81"/>
      <c r="V833" s="82"/>
      <c r="W833" s="1403">
        <v>12623</v>
      </c>
      <c r="X833" s="1403"/>
      <c r="Y833" s="1403"/>
      <c r="Z833" s="1403"/>
      <c r="AA833" s="1403"/>
      <c r="AB833" s="1403"/>
      <c r="AC833" s="1403"/>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792</v>
      </c>
      <c r="BC833" s="562">
        <v>237558</v>
      </c>
      <c r="BD833" s="562">
        <v>273902</v>
      </c>
      <c r="BE833" s="562">
        <v>330400</v>
      </c>
      <c r="BF833" s="562">
        <v>422912</v>
      </c>
      <c r="BG833" s="562">
        <v>471150</v>
      </c>
      <c r="BH833" s="60"/>
      <c r="BI833" s="40" t="s">
        <v>792</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701</v>
      </c>
      <c r="K834" s="81"/>
      <c r="L834" s="81"/>
      <c r="M834" s="81"/>
      <c r="N834" s="81"/>
      <c r="O834" s="81"/>
      <c r="P834" s="81"/>
      <c r="Q834" s="81"/>
      <c r="R834" s="81"/>
      <c r="S834" s="81"/>
      <c r="T834" s="81"/>
      <c r="U834" s="81"/>
      <c r="V834" s="82"/>
      <c r="W834" s="1403">
        <f>63563+63563</f>
        <v>127126</v>
      </c>
      <c r="X834" s="1403"/>
      <c r="Y834" s="1403"/>
      <c r="Z834" s="1403"/>
      <c r="AA834" s="1403"/>
      <c r="AB834" s="1403"/>
      <c r="AC834" s="1403"/>
      <c r="AD834" s="15"/>
      <c r="AE834" s="15"/>
      <c r="AF834" s="15"/>
      <c r="AG834" s="15"/>
      <c r="AH834" s="15"/>
      <c r="AI834" s="15"/>
      <c r="AJ834" s="15"/>
      <c r="AK834" s="15"/>
      <c r="AL834" s="15"/>
      <c r="AM834" s="1418">
        <f>SUM(AM801:AM829)</f>
        <v>0</v>
      </c>
      <c r="AN834" s="1418"/>
      <c r="AO834" s="24"/>
      <c r="AP834" s="24"/>
      <c r="AQ834" s="24"/>
      <c r="BB834" s="40" t="s">
        <v>793</v>
      </c>
      <c r="BC834" s="560">
        <v>237558</v>
      </c>
      <c r="BD834" s="560">
        <v>273902</v>
      </c>
      <c r="BE834" s="560">
        <v>330400</v>
      </c>
      <c r="BF834" s="560">
        <v>422912</v>
      </c>
      <c r="BG834" s="560">
        <v>471150</v>
      </c>
      <c r="BH834" s="60"/>
      <c r="BI834" s="40" t="s">
        <v>793</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25">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17">
        <f>SUM(W831:AC834)</f>
        <v>145159</v>
      </c>
      <c r="X835" s="1417"/>
      <c r="Y835" s="1417"/>
      <c r="Z835" s="1417"/>
      <c r="AA835" s="1417"/>
      <c r="AB835" s="1417"/>
      <c r="AC835" s="1417"/>
      <c r="AD835" s="15"/>
      <c r="AE835" s="15"/>
      <c r="AF835" s="15"/>
      <c r="AG835" s="15"/>
      <c r="AH835" s="15"/>
      <c r="AI835" s="15"/>
      <c r="AJ835" s="15"/>
      <c r="AK835" s="15"/>
      <c r="AL835" s="15"/>
      <c r="AM835" s="56"/>
      <c r="AN835" s="56"/>
      <c r="AO835" s="24"/>
      <c r="AP835" s="24"/>
      <c r="AQ835" s="24"/>
      <c r="BB835" s="40" t="s">
        <v>794</v>
      </c>
      <c r="BC835" s="562">
        <v>237558</v>
      </c>
      <c r="BD835" s="562">
        <v>273902</v>
      </c>
      <c r="BE835" s="562">
        <v>330400</v>
      </c>
      <c r="BF835" s="562">
        <v>422912</v>
      </c>
      <c r="BG835" s="562">
        <v>471150</v>
      </c>
      <c r="BH835" s="60"/>
      <c r="BI835" s="40" t="s">
        <v>794</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795</v>
      </c>
      <c r="BC836" s="560">
        <v>293352</v>
      </c>
      <c r="BD836" s="560">
        <v>338232</v>
      </c>
      <c r="BE836" s="560">
        <v>408000</v>
      </c>
      <c r="BF836" s="560">
        <v>522240</v>
      </c>
      <c r="BG836" s="560">
        <v>581808</v>
      </c>
      <c r="BH836" s="60"/>
      <c r="BI836" s="40" t="s">
        <v>795</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700</v>
      </c>
      <c r="K837" s="81"/>
      <c r="L837" s="81"/>
      <c r="M837" s="81"/>
      <c r="N837" s="81"/>
      <c r="O837" s="81"/>
      <c r="P837" s="81"/>
      <c r="Q837" s="81"/>
      <c r="R837" s="81"/>
      <c r="S837" s="81"/>
      <c r="T837" s="81"/>
      <c r="U837" s="81"/>
      <c r="V837" s="82"/>
      <c r="W837" s="1404">
        <v>30000</v>
      </c>
      <c r="X837" s="1405"/>
      <c r="Y837" s="1405"/>
      <c r="Z837" s="1405"/>
      <c r="AA837" s="1405"/>
      <c r="AB837" s="1405"/>
      <c r="AC837" s="1406"/>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699</v>
      </c>
      <c r="K838" s="81"/>
      <c r="L838" s="81"/>
      <c r="M838" s="81"/>
      <c r="N838" s="81"/>
      <c r="O838" s="81"/>
      <c r="P838" s="81"/>
      <c r="Q838" s="81"/>
      <c r="R838" s="81"/>
      <c r="S838" s="81"/>
      <c r="T838" s="81"/>
      <c r="U838" s="81"/>
      <c r="V838" s="82"/>
      <c r="W838" s="1404">
        <v>30000</v>
      </c>
      <c r="X838" s="1405"/>
      <c r="Y838" s="1405"/>
      <c r="Z838" s="1405"/>
      <c r="AA838" s="1405"/>
      <c r="AB838" s="1405"/>
      <c r="AC838" s="1406"/>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183" t="s">
        <v>1669</v>
      </c>
      <c r="N839" s="1184"/>
      <c r="O839" s="1184"/>
      <c r="P839" s="1184"/>
      <c r="Q839" s="1184"/>
      <c r="R839" s="1184"/>
      <c r="S839" s="1184"/>
      <c r="T839" s="1184"/>
      <c r="U839" s="1184"/>
      <c r="V839" s="1185"/>
      <c r="W839" s="1404">
        <f>15000+16704</f>
        <v>31704</v>
      </c>
      <c r="X839" s="1405"/>
      <c r="Y839" s="1405"/>
      <c r="Z839" s="1405"/>
      <c r="AA839" s="1405"/>
      <c r="AB839" s="1405"/>
      <c r="AC839" s="1406"/>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550">
        <f>SUM(W837:AC839)</f>
        <v>91704</v>
      </c>
      <c r="X840" s="1551"/>
      <c r="Y840" s="1551"/>
      <c r="Z840" s="1551"/>
      <c r="AA840" s="1551"/>
      <c r="AB840" s="1551"/>
      <c r="AC840" s="1552"/>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404">
        <v>18440</v>
      </c>
      <c r="X841" s="1405"/>
      <c r="Y841" s="1405"/>
      <c r="Z841" s="1405"/>
      <c r="AA841" s="1405"/>
      <c r="AB841" s="1405"/>
      <c r="AC841" s="1406"/>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698</v>
      </c>
      <c r="K843" s="81"/>
      <c r="L843" s="81"/>
      <c r="M843" s="81"/>
      <c r="N843" s="81"/>
      <c r="O843" s="81"/>
      <c r="P843" s="81"/>
      <c r="Q843" s="81"/>
      <c r="R843" s="81"/>
      <c r="S843" s="81"/>
      <c r="T843" s="81"/>
      <c r="U843" s="81"/>
      <c r="V843" s="82"/>
      <c r="W843" s="1245">
        <v>10000</v>
      </c>
      <c r="X843" s="1245"/>
      <c r="Y843" s="1245"/>
      <c r="Z843" s="1245"/>
      <c r="AA843" s="1245"/>
      <c r="AB843" s="1245"/>
      <c r="AC843" s="1245"/>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599</v>
      </c>
      <c r="K844" s="81"/>
      <c r="L844" s="81"/>
      <c r="M844" s="81"/>
      <c r="N844" s="81"/>
      <c r="O844" s="81"/>
      <c r="P844" s="81"/>
      <c r="Q844" s="81"/>
      <c r="R844" s="81"/>
      <c r="S844" s="81"/>
      <c r="T844" s="81"/>
      <c r="U844" s="81"/>
      <c r="V844" s="82"/>
      <c r="W844" s="1245">
        <f>15000+10000+7500</f>
        <v>32500</v>
      </c>
      <c r="X844" s="1245"/>
      <c r="Y844" s="1245"/>
      <c r="Z844" s="1245"/>
      <c r="AA844" s="1245"/>
      <c r="AB844" s="1245"/>
      <c r="AC844" s="1245"/>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598</v>
      </c>
      <c r="K845" s="81"/>
      <c r="L845" s="81"/>
      <c r="M845" s="81"/>
      <c r="N845" s="81"/>
      <c r="O845" s="81"/>
      <c r="P845" s="81"/>
      <c r="Q845" s="81"/>
      <c r="R845" s="81"/>
      <c r="S845" s="81"/>
      <c r="T845" s="81"/>
      <c r="U845" s="81"/>
      <c r="V845" s="82"/>
      <c r="W845" s="1245">
        <v>44138</v>
      </c>
      <c r="X845" s="1245"/>
      <c r="Y845" s="1245"/>
      <c r="Z845" s="1245"/>
      <c r="AA845" s="1245"/>
      <c r="AB845" s="1245"/>
      <c r="AC845" s="1245"/>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597</v>
      </c>
      <c r="K846" s="81"/>
      <c r="L846" s="81"/>
      <c r="M846" s="81"/>
      <c r="N846" s="81"/>
      <c r="O846" s="81"/>
      <c r="P846" s="81"/>
      <c r="Q846" s="81"/>
      <c r="R846" s="81"/>
      <c r="S846" s="81"/>
      <c r="T846" s="81"/>
      <c r="U846" s="81"/>
      <c r="V846" s="82"/>
      <c r="W846" s="1245">
        <v>1495</v>
      </c>
      <c r="X846" s="1245"/>
      <c r="Y846" s="1245"/>
      <c r="Z846" s="1245"/>
      <c r="AA846" s="1245"/>
      <c r="AB846" s="1245"/>
      <c r="AC846" s="1245"/>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596</v>
      </c>
      <c r="K847" s="81"/>
      <c r="L847" s="81"/>
      <c r="M847" s="81"/>
      <c r="N847" s="81"/>
      <c r="O847" s="81"/>
      <c r="P847" s="81"/>
      <c r="Q847" s="81"/>
      <c r="R847" s="81"/>
      <c r="S847" s="81"/>
      <c r="T847" s="81"/>
      <c r="U847" s="81"/>
      <c r="V847" s="82"/>
      <c r="W847" s="1245">
        <f>14879+4933</f>
        <v>19812</v>
      </c>
      <c r="X847" s="1245"/>
      <c r="Y847" s="1245"/>
      <c r="Z847" s="1245"/>
      <c r="AA847" s="1245"/>
      <c r="AB847" s="1245"/>
      <c r="AC847" s="1245"/>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595</v>
      </c>
      <c r="K848" s="81"/>
      <c r="L848" s="81"/>
      <c r="M848" s="81"/>
      <c r="N848" s="81"/>
      <c r="O848" s="81"/>
      <c r="P848" s="81"/>
      <c r="Q848" s="81"/>
      <c r="R848" s="81"/>
      <c r="S848" s="81"/>
      <c r="T848" s="81"/>
      <c r="U848" s="81"/>
      <c r="V848" s="82"/>
      <c r="W848" s="1245"/>
      <c r="X848" s="1245"/>
      <c r="Y848" s="1245"/>
      <c r="Z848" s="1245"/>
      <c r="AA848" s="1245"/>
      <c r="AB848" s="1245"/>
      <c r="AC848" s="1245"/>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183" t="s">
        <v>1668</v>
      </c>
      <c r="N849" s="1184"/>
      <c r="O849" s="1184"/>
      <c r="P849" s="1184"/>
      <c r="Q849" s="1184"/>
      <c r="R849" s="1184"/>
      <c r="S849" s="1184"/>
      <c r="T849" s="1184"/>
      <c r="U849" s="1184"/>
      <c r="V849" s="1185"/>
      <c r="W849" s="1245">
        <v>15000</v>
      </c>
      <c r="X849" s="1245"/>
      <c r="Y849" s="1245"/>
      <c r="Z849" s="1245"/>
      <c r="AA849" s="1245"/>
      <c r="AB849" s="1245"/>
      <c r="AC849" s="1245"/>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52">
        <f>SUM(W843:AC849)</f>
        <v>122945</v>
      </c>
      <c r="X850" s="1252"/>
      <c r="Y850" s="1252"/>
      <c r="Z850" s="1252"/>
      <c r="AA850" s="1252"/>
      <c r="AB850" s="1252"/>
      <c r="AC850" s="1252"/>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474</v>
      </c>
      <c r="J852" s="80" t="s">
        <v>181</v>
      </c>
      <c r="K852" s="81"/>
      <c r="L852" s="81"/>
      <c r="M852" s="1365" t="s">
        <v>361</v>
      </c>
      <c r="N852" s="1184"/>
      <c r="O852" s="1184"/>
      <c r="P852" s="1184"/>
      <c r="Q852" s="1184"/>
      <c r="R852" s="1184"/>
      <c r="S852" s="1184"/>
      <c r="T852" s="1184"/>
      <c r="U852" s="1184"/>
      <c r="V852" s="1185"/>
      <c r="W852" s="1160"/>
      <c r="X852" s="1161"/>
      <c r="Y852" s="1161"/>
      <c r="Z852" s="1161"/>
      <c r="AA852" s="1161"/>
      <c r="AB852" s="1161"/>
      <c r="AC852" s="1162"/>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J853" s="80" t="s">
        <v>181</v>
      </c>
      <c r="K853" s="81"/>
      <c r="L853" s="81"/>
      <c r="M853" s="1365" t="s">
        <v>361</v>
      </c>
      <c r="N853" s="1184"/>
      <c r="O853" s="1184"/>
      <c r="P853" s="1184"/>
      <c r="Q853" s="1184"/>
      <c r="R853" s="1184"/>
      <c r="S853" s="1184"/>
      <c r="T853" s="1184"/>
      <c r="U853" s="1184"/>
      <c r="V853" s="1185"/>
      <c r="W853" s="1160"/>
      <c r="X853" s="1161"/>
      <c r="Y853" s="1161"/>
      <c r="Z853" s="1161"/>
      <c r="AA853" s="1161"/>
      <c r="AB853" s="1161"/>
      <c r="AC853" s="1162"/>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365" t="s">
        <v>361</v>
      </c>
      <c r="N854" s="1184"/>
      <c r="O854" s="1184"/>
      <c r="P854" s="1184"/>
      <c r="Q854" s="1184"/>
      <c r="R854" s="1184"/>
      <c r="S854" s="1184"/>
      <c r="T854" s="1184"/>
      <c r="U854" s="1184"/>
      <c r="V854" s="1185"/>
      <c r="W854" s="1160"/>
      <c r="X854" s="1161"/>
      <c r="Y854" s="1161"/>
      <c r="Z854" s="1161"/>
      <c r="AA854" s="1161"/>
      <c r="AB854" s="1161"/>
      <c r="AC854" s="1162"/>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365" t="s">
        <v>361</v>
      </c>
      <c r="N855" s="1184"/>
      <c r="O855" s="1184"/>
      <c r="P855" s="1184"/>
      <c r="Q855" s="1184"/>
      <c r="R855" s="1184"/>
      <c r="S855" s="1184"/>
      <c r="T855" s="1184"/>
      <c r="U855" s="1184"/>
      <c r="V855" s="1185"/>
      <c r="W855" s="1160"/>
      <c r="X855" s="1161"/>
      <c r="Y855" s="1161"/>
      <c r="Z855" s="1161"/>
      <c r="AA855" s="1161"/>
      <c r="AB855" s="1161"/>
      <c r="AC855" s="1162"/>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365" t="s">
        <v>361</v>
      </c>
      <c r="N856" s="1184"/>
      <c r="O856" s="1184"/>
      <c r="P856" s="1184"/>
      <c r="Q856" s="1184"/>
      <c r="R856" s="1184"/>
      <c r="S856" s="1184"/>
      <c r="T856" s="1184"/>
      <c r="U856" s="1184"/>
      <c r="V856" s="1185"/>
      <c r="W856" s="1160"/>
      <c r="X856" s="1161"/>
      <c r="Y856" s="1161"/>
      <c r="Z856" s="1161"/>
      <c r="AA856" s="1161"/>
      <c r="AB856" s="1161"/>
      <c r="AC856" s="1162"/>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30">
        <f>SUM(W852:AC856)</f>
        <v>0</v>
      </c>
      <c r="X857" s="1231"/>
      <c r="Y857" s="1231"/>
      <c r="Z857" s="1231"/>
      <c r="AA857" s="1231"/>
      <c r="AB857" s="1231"/>
      <c r="AC857" s="1232"/>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30">
        <f>W827+W835+W840+W841+W850+W857+W829</f>
        <v>449286</v>
      </c>
      <c r="AD861" s="1231"/>
      <c r="AE861" s="1231"/>
      <c r="AF861" s="1231"/>
      <c r="AG861" s="1231"/>
      <c r="AH861" s="1232"/>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588</v>
      </c>
      <c r="AC862" s="1547">
        <f>O778+O758+G734</f>
        <v>81</v>
      </c>
      <c r="AD862" s="1548"/>
      <c r="AE862" s="1548"/>
      <c r="AF862" s="1548"/>
      <c r="AG862" s="1548"/>
      <c r="AH862" s="1549"/>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c r="E863" s="1186" t="s">
        <v>36</v>
      </c>
      <c r="F863" s="1187"/>
      <c r="G863" s="1187"/>
      <c r="H863" s="1187"/>
      <c r="I863" s="1187"/>
      <c r="J863" s="1187"/>
      <c r="K863" s="1187"/>
      <c r="L863" s="1187"/>
      <c r="M863" s="1187"/>
      <c r="N863" s="1187"/>
      <c r="O863" s="1187"/>
      <c r="P863" s="1187"/>
      <c r="Q863" s="1187"/>
      <c r="R863" s="1187"/>
      <c r="S863" s="1187"/>
      <c r="T863" s="1187"/>
      <c r="U863" s="1187"/>
      <c r="V863" s="1187"/>
      <c r="W863" s="1187"/>
      <c r="X863" s="1187"/>
      <c r="Y863" s="1187"/>
      <c r="Z863" s="1187"/>
      <c r="AA863" s="1187"/>
      <c r="AB863" s="1188"/>
      <c r="AC863" s="1232">
        <f>IF(ISERROR((ROUNDDOWN(AC861/AC862,0))),0,(ROUNDDOWN(AC861/AC862,0)))</f>
        <v>5546</v>
      </c>
      <c r="AD863" s="1252"/>
      <c r="AE863" s="1252"/>
      <c r="AF863" s="1252"/>
      <c r="AG863" s="1252"/>
      <c r="AH863" s="1252"/>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c r="D864" s="3"/>
      <c r="E864" s="80"/>
      <c r="F864" s="81"/>
      <c r="G864" s="81"/>
      <c r="H864" s="81"/>
      <c r="I864" s="81"/>
      <c r="J864" s="81"/>
      <c r="K864" s="81"/>
      <c r="L864" s="81"/>
      <c r="M864" s="81"/>
      <c r="N864" s="81"/>
      <c r="O864" s="81"/>
      <c r="P864" s="81"/>
      <c r="Q864" s="81"/>
      <c r="R864" s="81"/>
      <c r="S864" s="81"/>
      <c r="T864" s="81"/>
      <c r="U864" s="81"/>
      <c r="V864" s="81"/>
      <c r="W864" s="81"/>
      <c r="X864" s="81"/>
      <c r="Y864" s="81"/>
      <c r="Z864" s="81"/>
      <c r="AA864" s="81"/>
      <c r="AB864" s="90" t="s">
        <v>872</v>
      </c>
      <c r="AC864" s="1162">
        <f>ROUNDUP((AC861+AC867+AC868+AB618)/12*3,0)</f>
        <v>234640</v>
      </c>
      <c r="AD864" s="1245"/>
      <c r="AE864" s="1245"/>
      <c r="AF864" s="1245"/>
      <c r="AG864" s="1245"/>
      <c r="AH864" s="1245"/>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1474</v>
      </c>
      <c r="AC865" s="1162"/>
      <c r="AD865" s="1245"/>
      <c r="AE865" s="1245"/>
      <c r="AF865" s="1245"/>
      <c r="AG865" s="1245"/>
      <c r="AH865" s="1245"/>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587</v>
      </c>
      <c r="AC866" s="1160">
        <v>15000</v>
      </c>
      <c r="AD866" s="1161"/>
      <c r="AE866" s="1161"/>
      <c r="AF866" s="1161"/>
      <c r="AG866" s="1161"/>
      <c r="AH866" s="1162"/>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60">
        <f>300*AC862</f>
        <v>24300</v>
      </c>
      <c r="AD867" s="1161"/>
      <c r="AE867" s="1161"/>
      <c r="AF867" s="1161"/>
      <c r="AG867" s="1161"/>
      <c r="AH867" s="1162"/>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60">
        <v>539</v>
      </c>
      <c r="AD868" s="1161"/>
      <c r="AE868" s="1161"/>
      <c r="AF868" s="1161"/>
      <c r="AG868" s="1161"/>
      <c r="AH868" s="1162"/>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13" t="s">
        <v>1107</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245"/>
      <c r="AD869" s="1245"/>
      <c r="AE869" s="1245"/>
      <c r="AF869" s="1245"/>
      <c r="AG869" s="1245"/>
      <c r="AH869" s="124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13" t="s">
        <v>1107</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245"/>
      <c r="AD870" s="1245"/>
      <c r="AE870" s="1245"/>
      <c r="AF870" s="1245"/>
      <c r="AG870" s="1245"/>
      <c r="AH870" s="124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694</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60"/>
      <c r="AA874" s="1161"/>
      <c r="AB874" s="1161"/>
      <c r="AC874" s="1161"/>
      <c r="AD874" s="1161"/>
      <c r="AE874" s="1162"/>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60"/>
      <c r="AA875" s="1161"/>
      <c r="AB875" s="1161"/>
      <c r="AC875" s="1161"/>
      <c r="AD875" s="1161"/>
      <c r="AE875" s="1162"/>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60"/>
      <c r="AA876" s="1161"/>
      <c r="AB876" s="1161"/>
      <c r="AC876" s="1161"/>
      <c r="AD876" s="1161"/>
      <c r="AE876" s="1162"/>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30">
        <f>Z874-(Z875+Z876)</f>
        <v>0</v>
      </c>
      <c r="AA877" s="1231"/>
      <c r="AB877" s="1231"/>
      <c r="AC877" s="1231"/>
      <c r="AD877" s="1231"/>
      <c r="AE877" s="1232"/>
      <c r="AM877" s="65"/>
      <c r="AO877" s="56" t="s">
        <v>184</v>
      </c>
      <c r="AP877" s="186">
        <v>20</v>
      </c>
      <c r="AQ877" s="1155">
        <f>IF(AD955&gt;0,0.2,0)</f>
        <v>0</v>
      </c>
      <c r="AR877" s="1155"/>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16">
        <f>IF(AD958&gt;0,0.05,0)</f>
        <v>0</v>
      </c>
      <c r="AR878" s="1416"/>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156">
        <f>IF(AD962&gt;0,0.07,0)</f>
        <v>0</v>
      </c>
      <c r="AR879" s="1156"/>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156">
        <f>IF(AD966&gt;0,0.02,0)</f>
        <v>0</v>
      </c>
      <c r="AR880" s="1156"/>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156">
        <f>IF(AD968&gt;0,0.02,0)</f>
        <v>0</v>
      </c>
      <c r="AR881" s="1156"/>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1210</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155">
        <f>AN891</f>
        <v>0</v>
      </c>
      <c r="AR882" s="1156"/>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173"/>
      <c r="AR883" s="1173"/>
      <c r="AS883" s="1173"/>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10"/>
      <c r="AR884" s="1410"/>
      <c r="AS884" s="1410"/>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264" t="s">
        <v>104</v>
      </c>
      <c r="B885" s="1264"/>
      <c r="C885" s="1264"/>
      <c r="D885" s="1264"/>
      <c r="E885" s="1264"/>
      <c r="F885" s="1264"/>
      <c r="G885" s="1264"/>
      <c r="H885" s="1264"/>
      <c r="I885" s="1264"/>
      <c r="J885" s="1264"/>
      <c r="K885" s="1264"/>
      <c r="L885" s="1264"/>
      <c r="M885" s="1264"/>
      <c r="N885" s="1264"/>
      <c r="O885" s="1264"/>
      <c r="P885" s="1264"/>
      <c r="Q885" s="1264"/>
      <c r="R885" s="1264"/>
      <c r="S885" s="1264"/>
      <c r="T885" s="1264"/>
      <c r="U885" s="1264"/>
      <c r="V885" s="1264"/>
      <c r="W885" s="1264"/>
      <c r="X885" s="1264"/>
      <c r="Y885" s="1264"/>
      <c r="Z885" s="1264"/>
      <c r="AA885" s="1264"/>
      <c r="AB885" s="1264"/>
      <c r="AC885" s="1264"/>
      <c r="AD885" s="1264"/>
      <c r="AE885" s="1264"/>
      <c r="AF885" s="1264"/>
      <c r="AG885" s="1264"/>
      <c r="AH885" s="1264"/>
      <c r="AI885" s="1264"/>
      <c r="AJ885" s="1264"/>
      <c r="AK885" s="1264"/>
      <c r="AL885" s="1264"/>
      <c r="AM885" s="65"/>
      <c r="AO885" s="56" t="s">
        <v>327</v>
      </c>
      <c r="AP885" s="186">
        <v>10</v>
      </c>
      <c r="AQ885" s="1156">
        <f>IF(AD981&gt;0,0.1,0)</f>
        <v>0</v>
      </c>
      <c r="AR885" s="1156"/>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265"/>
      <c r="B886" s="1265"/>
      <c r="C886" s="1265"/>
      <c r="D886" s="1265"/>
      <c r="E886" s="1265"/>
      <c r="F886" s="1265"/>
      <c r="G886" s="1265"/>
      <c r="H886" s="1265"/>
      <c r="I886" s="1265"/>
      <c r="J886" s="1265"/>
      <c r="K886" s="1265"/>
      <c r="L886" s="1265"/>
      <c r="M886" s="1265"/>
      <c r="N886" s="1265"/>
      <c r="O886" s="1265"/>
      <c r="P886" s="1265"/>
      <c r="Q886" s="1265"/>
      <c r="R886" s="1265"/>
      <c r="S886" s="1265"/>
      <c r="T886" s="1265"/>
      <c r="U886" s="1265"/>
      <c r="V886" s="1265"/>
      <c r="W886" s="1265"/>
      <c r="X886" s="1265"/>
      <c r="Y886" s="1265"/>
      <c r="Z886" s="1265"/>
      <c r="AA886" s="1265"/>
      <c r="AB886" s="1265"/>
      <c r="AC886" s="1265"/>
      <c r="AD886" s="1265"/>
      <c r="AE886" s="1265"/>
      <c r="AF886" s="1265"/>
      <c r="AG886" s="1265"/>
      <c r="AH886" s="1265"/>
      <c r="AI886" s="1265"/>
      <c r="AJ886" s="1265"/>
      <c r="AK886" s="1265"/>
      <c r="AL886" s="1265"/>
      <c r="AM886" s="65"/>
      <c r="AO886" s="56"/>
      <c r="AP886" s="186"/>
      <c r="AQ886" s="1155">
        <f>SUM(AQ877:AQ885)</f>
        <v>0</v>
      </c>
      <c r="AR886" s="1156"/>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155">
        <f>SUM(AQ877:AR881)+AQ885</f>
        <v>0</v>
      </c>
      <c r="AR888" s="1156"/>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362" t="s">
        <v>906</v>
      </c>
      <c r="G890" s="1363"/>
      <c r="H890" s="1363"/>
      <c r="I890" s="1363"/>
      <c r="J890" s="1363"/>
      <c r="K890" s="1363"/>
      <c r="L890" s="1363"/>
      <c r="M890" s="1363"/>
      <c r="N890" s="1363"/>
      <c r="O890" s="1363"/>
      <c r="P890" s="1363"/>
      <c r="Q890" s="1363"/>
      <c r="R890" s="1363"/>
      <c r="S890" s="1363"/>
      <c r="T890" s="1364"/>
      <c r="U890" s="1287" t="s">
        <v>35</v>
      </c>
      <c r="V890" s="1288"/>
      <c r="W890" s="1288"/>
      <c r="X890" s="1288"/>
      <c r="Y890" s="1288"/>
      <c r="Z890" s="1288"/>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289" t="s">
        <v>936</v>
      </c>
      <c r="G891" s="1290"/>
      <c r="H891" s="1290"/>
      <c r="I891" s="1290"/>
      <c r="J891" s="1290"/>
      <c r="K891" s="1290"/>
      <c r="L891" s="1290"/>
      <c r="M891" s="1290"/>
      <c r="N891" s="1290"/>
      <c r="O891" s="1290"/>
      <c r="P891" s="1290"/>
      <c r="Q891" s="1290"/>
      <c r="R891" s="1290"/>
      <c r="S891" s="1290"/>
      <c r="T891" s="1545"/>
      <c r="U891" s="1289"/>
      <c r="V891" s="1290"/>
      <c r="W891" s="1290"/>
      <c r="X891" s="1290"/>
      <c r="Y891" s="1290"/>
      <c r="Z891" s="1290"/>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291"/>
      <c r="G892" s="1292"/>
      <c r="H892" s="1292"/>
      <c r="I892" s="1292"/>
      <c r="J892" s="1292"/>
      <c r="K892" s="1292"/>
      <c r="L892" s="1292"/>
      <c r="M892" s="1292"/>
      <c r="N892" s="1292"/>
      <c r="O892" s="1292"/>
      <c r="P892" s="1292"/>
      <c r="Q892" s="1292"/>
      <c r="R892" s="1292"/>
      <c r="S892" s="1292"/>
      <c r="T892" s="1546"/>
      <c r="U892" s="1291"/>
      <c r="V892" s="1292"/>
      <c r="W892" s="1292"/>
      <c r="X892" s="1292"/>
      <c r="Y892" s="1292"/>
      <c r="Z892" s="1292"/>
      <c r="AA892" s="177"/>
      <c r="AB892" s="1233" t="s">
        <v>437</v>
      </c>
      <c r="AC892" s="1233"/>
      <c r="AD892" s="1233"/>
      <c r="AE892" s="1233"/>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869</v>
      </c>
      <c r="G893" s="84"/>
      <c r="H893" s="84"/>
      <c r="I893" s="84"/>
      <c r="J893" s="84"/>
      <c r="K893" s="84"/>
      <c r="L893" s="84"/>
      <c r="M893" s="84"/>
      <c r="N893" s="84"/>
      <c r="O893" s="84"/>
      <c r="P893" s="84"/>
      <c r="Q893" s="84"/>
      <c r="R893" s="84"/>
      <c r="S893" s="84"/>
      <c r="T893" s="85"/>
      <c r="U893" s="1261" t="s">
        <v>622</v>
      </c>
      <c r="V893" s="1262"/>
      <c r="W893" s="1262"/>
      <c r="X893" s="1262"/>
      <c r="Y893" s="1262"/>
      <c r="Z893" s="1263"/>
      <c r="AA893" s="1214">
        <f>AE545</f>
        <v>13984199</v>
      </c>
      <c r="AB893" s="1215"/>
      <c r="AC893" s="1215"/>
      <c r="AD893" s="1215"/>
      <c r="AE893" s="1215"/>
      <c r="AF893" s="1216"/>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761</v>
      </c>
      <c r="G894" s="84"/>
      <c r="H894" s="84"/>
      <c r="I894" s="84"/>
      <c r="J894" s="84"/>
      <c r="K894" s="84"/>
      <c r="L894" s="84"/>
      <c r="M894" s="84"/>
      <c r="N894" s="84"/>
      <c r="O894" s="84"/>
      <c r="P894" s="84"/>
      <c r="Q894" s="84"/>
      <c r="R894" s="84"/>
      <c r="S894" s="84"/>
      <c r="T894" s="85"/>
      <c r="U894" s="1261" t="s">
        <v>672</v>
      </c>
      <c r="V894" s="1262"/>
      <c r="W894" s="1262"/>
      <c r="X894" s="1262"/>
      <c r="Y894" s="1262"/>
      <c r="Z894" s="1263"/>
      <c r="AA894" s="1214"/>
      <c r="AB894" s="1215"/>
      <c r="AC894" s="1215"/>
      <c r="AD894" s="1215"/>
      <c r="AE894" s="1215"/>
      <c r="AF894" s="1216"/>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916</v>
      </c>
      <c r="G895" s="81"/>
      <c r="H895" s="81"/>
      <c r="I895" s="81"/>
      <c r="J895" s="81"/>
      <c r="K895" s="81"/>
      <c r="L895" s="81"/>
      <c r="M895" s="81"/>
      <c r="N895" s="81"/>
      <c r="O895" s="81"/>
      <c r="P895" s="81"/>
      <c r="Q895" s="81"/>
      <c r="R895" s="81"/>
      <c r="S895" s="81"/>
      <c r="T895" s="82"/>
      <c r="U895" s="1261" t="s">
        <v>672</v>
      </c>
      <c r="V895" s="1262"/>
      <c r="W895" s="1262"/>
      <c r="X895" s="1262"/>
      <c r="Y895" s="1262"/>
      <c r="Z895" s="1263"/>
      <c r="AA895" s="1214"/>
      <c r="AB895" s="1215"/>
      <c r="AC895" s="1215"/>
      <c r="AD895" s="1215"/>
      <c r="AE895" s="1215"/>
      <c r="AF895" s="1216"/>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764</v>
      </c>
      <c r="G896" s="81"/>
      <c r="H896" s="81"/>
      <c r="I896" s="81"/>
      <c r="J896" s="81"/>
      <c r="K896" s="81"/>
      <c r="L896" s="81"/>
      <c r="M896" s="81"/>
      <c r="N896" s="81"/>
      <c r="O896" s="81"/>
      <c r="P896" s="81"/>
      <c r="Q896" s="81"/>
      <c r="R896" s="81"/>
      <c r="S896" s="81"/>
      <c r="T896" s="82"/>
      <c r="U896" s="1261" t="s">
        <v>672</v>
      </c>
      <c r="V896" s="1262"/>
      <c r="W896" s="1262"/>
      <c r="X896" s="1262"/>
      <c r="Y896" s="1262"/>
      <c r="Z896" s="1263"/>
      <c r="AA896" s="1214"/>
      <c r="AB896" s="1215"/>
      <c r="AC896" s="1215"/>
      <c r="AD896" s="1215"/>
      <c r="AE896" s="1215"/>
      <c r="AF896" s="1216"/>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900</v>
      </c>
      <c r="G897" s="81"/>
      <c r="H897" s="81"/>
      <c r="I897" s="81"/>
      <c r="J897" s="81"/>
      <c r="K897" s="81"/>
      <c r="L897" s="81"/>
      <c r="M897" s="81"/>
      <c r="N897" s="81"/>
      <c r="O897" s="81"/>
      <c r="P897" s="81"/>
      <c r="Q897" s="81"/>
      <c r="R897" s="81"/>
      <c r="S897" s="81"/>
      <c r="T897" s="82"/>
      <c r="U897" s="1261" t="s">
        <v>672</v>
      </c>
      <c r="V897" s="1262"/>
      <c r="W897" s="1262"/>
      <c r="X897" s="1262"/>
      <c r="Y897" s="1262"/>
      <c r="Z897" s="1263"/>
      <c r="AA897" s="1214"/>
      <c r="AB897" s="1215"/>
      <c r="AC897" s="1215"/>
      <c r="AD897" s="1215"/>
      <c r="AE897" s="1215"/>
      <c r="AF897" s="1216"/>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901</v>
      </c>
      <c r="G898" s="81"/>
      <c r="H898" s="81"/>
      <c r="I898" s="81"/>
      <c r="J898" s="81"/>
      <c r="K898" s="81"/>
      <c r="L898" s="81"/>
      <c r="M898" s="81"/>
      <c r="N898" s="81"/>
      <c r="O898" s="81"/>
      <c r="P898" s="81"/>
      <c r="Q898" s="81"/>
      <c r="R898" s="81"/>
      <c r="S898" s="81"/>
      <c r="T898" s="82"/>
      <c r="U898" s="1261" t="s">
        <v>672</v>
      </c>
      <c r="V898" s="1262"/>
      <c r="W898" s="1262"/>
      <c r="X898" s="1262"/>
      <c r="Y898" s="1262"/>
      <c r="Z898" s="1263"/>
      <c r="AA898" s="1214"/>
      <c r="AB898" s="1215"/>
      <c r="AC898" s="1215"/>
      <c r="AD898" s="1215"/>
      <c r="AE898" s="1215"/>
      <c r="AF898" s="1216"/>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902</v>
      </c>
      <c r="G899" s="81"/>
      <c r="H899" s="81"/>
      <c r="I899" s="81"/>
      <c r="J899" s="81"/>
      <c r="K899" s="81"/>
      <c r="L899" s="81"/>
      <c r="M899" s="81"/>
      <c r="N899" s="81"/>
      <c r="O899" s="81"/>
      <c r="P899" s="81"/>
      <c r="Q899" s="81"/>
      <c r="R899" s="81"/>
      <c r="S899" s="81"/>
      <c r="T899" s="82"/>
      <c r="U899" s="1261" t="s">
        <v>672</v>
      </c>
      <c r="V899" s="1262"/>
      <c r="W899" s="1262"/>
      <c r="X899" s="1262"/>
      <c r="Y899" s="1262"/>
      <c r="Z899" s="1263"/>
      <c r="AA899" s="1214"/>
      <c r="AB899" s="1215"/>
      <c r="AC899" s="1215"/>
      <c r="AD899" s="1215"/>
      <c r="AE899" s="1215"/>
      <c r="AF899" s="1216"/>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763</v>
      </c>
      <c r="G900" s="81"/>
      <c r="H900" s="81"/>
      <c r="I900" s="81"/>
      <c r="J900" s="81"/>
      <c r="K900" s="81"/>
      <c r="L900" s="81"/>
      <c r="M900" s="81"/>
      <c r="N900" s="81"/>
      <c r="O900" s="81"/>
      <c r="P900" s="81"/>
      <c r="Q900" s="81"/>
      <c r="R900" s="81"/>
      <c r="S900" s="81"/>
      <c r="T900" s="82"/>
      <c r="U900" s="1261" t="s">
        <v>672</v>
      </c>
      <c r="V900" s="1262"/>
      <c r="W900" s="1262"/>
      <c r="X900" s="1262"/>
      <c r="Y900" s="1262"/>
      <c r="Z900" s="1263"/>
      <c r="AA900" s="1214"/>
      <c r="AB900" s="1215"/>
      <c r="AC900" s="1215"/>
      <c r="AD900" s="1215"/>
      <c r="AE900" s="1215"/>
      <c r="AF900" s="1216"/>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765</v>
      </c>
      <c r="G901" s="81"/>
      <c r="H901" s="81"/>
      <c r="I901" s="81"/>
      <c r="J901" s="81"/>
      <c r="K901" s="81"/>
      <c r="L901" s="81"/>
      <c r="M901" s="81"/>
      <c r="N901" s="81"/>
      <c r="O901" s="81"/>
      <c r="P901" s="81"/>
      <c r="Q901" s="81"/>
      <c r="R901" s="81"/>
      <c r="S901" s="81"/>
      <c r="T901" s="82"/>
      <c r="U901" s="1261" t="s">
        <v>672</v>
      </c>
      <c r="V901" s="1262"/>
      <c r="W901" s="1262"/>
      <c r="X901" s="1262"/>
      <c r="Y901" s="1262"/>
      <c r="Z901" s="1263"/>
      <c r="AA901" s="1214"/>
      <c r="AB901" s="1215"/>
      <c r="AC901" s="1215"/>
      <c r="AD901" s="1215"/>
      <c r="AE901" s="1215"/>
      <c r="AF901" s="1216"/>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762</v>
      </c>
      <c r="G902" s="81"/>
      <c r="H902" s="81"/>
      <c r="I902" s="81"/>
      <c r="J902" s="81"/>
      <c r="K902" s="81"/>
      <c r="L902" s="81"/>
      <c r="M902" s="81"/>
      <c r="N902" s="81"/>
      <c r="O902" s="81"/>
      <c r="P902" s="81"/>
      <c r="Q902" s="81"/>
      <c r="R902" s="81"/>
      <c r="S902" s="81"/>
      <c r="T902" s="82"/>
      <c r="U902" s="1261" t="s">
        <v>672</v>
      </c>
      <c r="V902" s="1262"/>
      <c r="W902" s="1262"/>
      <c r="X902" s="1262"/>
      <c r="Y902" s="1262"/>
      <c r="Z902" s="1263"/>
      <c r="AA902" s="1214"/>
      <c r="AB902" s="1215"/>
      <c r="AC902" s="1215"/>
      <c r="AD902" s="1215"/>
      <c r="AE902" s="1215"/>
      <c r="AF902" s="1216"/>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917</v>
      </c>
      <c r="G903" s="81"/>
      <c r="H903" s="81"/>
      <c r="I903" s="81"/>
      <c r="J903" s="81"/>
      <c r="K903" s="81"/>
      <c r="L903" s="81"/>
      <c r="M903" s="81"/>
      <c r="N903" s="81"/>
      <c r="O903" s="81"/>
      <c r="P903" s="81"/>
      <c r="Q903" s="81"/>
      <c r="R903" s="81"/>
      <c r="S903" s="81"/>
      <c r="T903" s="82"/>
      <c r="U903" s="1261" t="s">
        <v>672</v>
      </c>
      <c r="V903" s="1262"/>
      <c r="W903" s="1262"/>
      <c r="X903" s="1262"/>
      <c r="Y903" s="1262"/>
      <c r="Z903" s="1263"/>
      <c r="AA903" s="1214"/>
      <c r="AB903" s="1215"/>
      <c r="AC903" s="1215"/>
      <c r="AD903" s="1215"/>
      <c r="AE903" s="1215"/>
      <c r="AF903" s="1216"/>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918</v>
      </c>
      <c r="G904" s="81"/>
      <c r="H904" s="81"/>
      <c r="I904" s="81"/>
      <c r="J904" s="81"/>
      <c r="K904" s="81"/>
      <c r="L904" s="81"/>
      <c r="M904" s="81"/>
      <c r="N904" s="81"/>
      <c r="O904" s="81"/>
      <c r="P904" s="81"/>
      <c r="Q904" s="81"/>
      <c r="R904" s="81"/>
      <c r="S904" s="81"/>
      <c r="T904" s="82"/>
      <c r="U904" s="1261" t="s">
        <v>672</v>
      </c>
      <c r="V904" s="1262"/>
      <c r="W904" s="1262"/>
      <c r="X904" s="1262"/>
      <c r="Y904" s="1262"/>
      <c r="Z904" s="1263"/>
      <c r="AA904" s="1214"/>
      <c r="AB904" s="1215"/>
      <c r="AC904" s="1215"/>
      <c r="AD904" s="1215"/>
      <c r="AE904" s="1215"/>
      <c r="AF904" s="1216"/>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1182</v>
      </c>
      <c r="G905" s="156"/>
      <c r="H905" s="156"/>
      <c r="I905" s="156"/>
      <c r="J905" s="156"/>
      <c r="K905" s="156"/>
      <c r="L905" s="156"/>
      <c r="M905" s="156"/>
      <c r="N905" s="156"/>
      <c r="O905" s="156"/>
      <c r="P905" s="156"/>
      <c r="Q905" s="156"/>
      <c r="R905" s="156"/>
      <c r="S905" s="156"/>
      <c r="T905" s="369"/>
      <c r="U905" s="1261" t="s">
        <v>672</v>
      </c>
      <c r="V905" s="1262"/>
      <c r="W905" s="1262"/>
      <c r="X905" s="1262"/>
      <c r="Y905" s="1262"/>
      <c r="Z905" s="1263"/>
      <c r="AA905" s="1214"/>
      <c r="AB905" s="1215"/>
      <c r="AC905" s="1215"/>
      <c r="AD905" s="1215"/>
      <c r="AE905" s="1215"/>
      <c r="AF905" s="1216"/>
      <c r="AM905" s="1411">
        <f>G734+O778</f>
        <v>80</v>
      </c>
      <c r="AN905" s="1412"/>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922</v>
      </c>
      <c r="G906" s="81"/>
      <c r="H906" s="81"/>
      <c r="I906" s="81"/>
      <c r="J906" s="81"/>
      <c r="K906" s="81"/>
      <c r="L906" s="81"/>
      <c r="M906" s="81"/>
      <c r="N906" s="81"/>
      <c r="O906" s="81"/>
      <c r="P906" s="1261" t="s">
        <v>755</v>
      </c>
      <c r="Q906" s="1262"/>
      <c r="R906" s="1262"/>
      <c r="S906" s="1262"/>
      <c r="T906" s="1263"/>
      <c r="U906" s="1261" t="s">
        <v>672</v>
      </c>
      <c r="V906" s="1262"/>
      <c r="W906" s="1262"/>
      <c r="X906" s="1262"/>
      <c r="Y906" s="1262"/>
      <c r="Z906" s="1263"/>
      <c r="AA906" s="1214"/>
      <c r="AB906" s="1215"/>
      <c r="AC906" s="1215"/>
      <c r="AD906" s="1215"/>
      <c r="AE906" s="1215"/>
      <c r="AF906" s="1216"/>
      <c r="AM906" s="56"/>
      <c r="AN906" s="24"/>
      <c r="AO906" s="1387">
        <f>ROUNDDOWN(X990/I990,2)</f>
        <v>0.75</v>
      </c>
      <c r="AP906" s="1388"/>
      <c r="AQ906" s="1388"/>
      <c r="AR906" s="1389"/>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227" t="s">
        <v>361</v>
      </c>
      <c r="J907" s="1319"/>
      <c r="K907" s="1319"/>
      <c r="L907" s="1319"/>
      <c r="M907" s="1319"/>
      <c r="N907" s="1319"/>
      <c r="O907" s="1319"/>
      <c r="P907" s="1319"/>
      <c r="Q907" s="1319"/>
      <c r="R907" s="1319"/>
      <c r="S907" s="1319"/>
      <c r="T907" s="1320"/>
      <c r="U907" s="1261" t="s">
        <v>672</v>
      </c>
      <c r="V907" s="1262"/>
      <c r="W907" s="1262"/>
      <c r="X907" s="1262"/>
      <c r="Y907" s="1262"/>
      <c r="Z907" s="1263"/>
      <c r="AA907" s="1214"/>
      <c r="AB907" s="1215"/>
      <c r="AC907" s="1215"/>
      <c r="AD907" s="1215"/>
      <c r="AE907" s="1215"/>
      <c r="AF907" s="1216"/>
      <c r="AM907" s="56"/>
      <c r="AN907" s="56"/>
      <c r="AO907" s="1374">
        <f>ROUNDDOWN(X993/I993,2)</f>
        <v>0.25</v>
      </c>
      <c r="AP907" s="1375"/>
      <c r="AQ907" s="1375"/>
      <c r="AR907" s="1376"/>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227" t="s">
        <v>361</v>
      </c>
      <c r="J908" s="1319"/>
      <c r="K908" s="1319"/>
      <c r="L908" s="1319"/>
      <c r="M908" s="1319"/>
      <c r="N908" s="1319"/>
      <c r="O908" s="1319"/>
      <c r="P908" s="1319"/>
      <c r="Q908" s="1319"/>
      <c r="R908" s="1319"/>
      <c r="S908" s="1319"/>
      <c r="T908" s="1320"/>
      <c r="U908" s="1261" t="s">
        <v>672</v>
      </c>
      <c r="V908" s="1262"/>
      <c r="W908" s="1262"/>
      <c r="X908" s="1262"/>
      <c r="Y908" s="1262"/>
      <c r="Z908" s="1263"/>
      <c r="AA908" s="1214"/>
      <c r="AB908" s="1215"/>
      <c r="AC908" s="1215"/>
      <c r="AD908" s="1215"/>
      <c r="AE908" s="1215"/>
      <c r="AF908" s="1216"/>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227" t="s">
        <v>361</v>
      </c>
      <c r="J909" s="1319"/>
      <c r="K909" s="1319"/>
      <c r="L909" s="1319"/>
      <c r="M909" s="1319"/>
      <c r="N909" s="1319"/>
      <c r="O909" s="1319"/>
      <c r="P909" s="1319"/>
      <c r="Q909" s="1319"/>
      <c r="R909" s="1319"/>
      <c r="S909" s="1319"/>
      <c r="T909" s="1320"/>
      <c r="U909" s="1261" t="s">
        <v>672</v>
      </c>
      <c r="V909" s="1262"/>
      <c r="W909" s="1262"/>
      <c r="X909" s="1262"/>
      <c r="Y909" s="1262"/>
      <c r="Z909" s="1263"/>
      <c r="AA909" s="1214"/>
      <c r="AB909" s="1215"/>
      <c r="AC909" s="1215"/>
      <c r="AD909" s="1215"/>
      <c r="AE909" s="1215"/>
      <c r="AF909" s="1216"/>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315" t="s">
        <v>361</v>
      </c>
      <c r="J910" s="1228"/>
      <c r="K910" s="1228"/>
      <c r="L910" s="1228"/>
      <c r="M910" s="1228"/>
      <c r="N910" s="1228"/>
      <c r="O910" s="1228"/>
      <c r="P910" s="1228"/>
      <c r="Q910" s="1228"/>
      <c r="R910" s="1228"/>
      <c r="S910" s="1228"/>
      <c r="T910" s="1229"/>
      <c r="U910" s="1261" t="s">
        <v>672</v>
      </c>
      <c r="V910" s="1262"/>
      <c r="W910" s="1262"/>
      <c r="X910" s="1262"/>
      <c r="Y910" s="1262"/>
      <c r="Z910" s="1263"/>
      <c r="AA910" s="1214"/>
      <c r="AB910" s="1215"/>
      <c r="AC910" s="1215"/>
      <c r="AD910" s="1215"/>
      <c r="AE910" s="1215"/>
      <c r="AF910" s="1216"/>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315" t="s">
        <v>361</v>
      </c>
      <c r="J911" s="1228"/>
      <c r="K911" s="1228"/>
      <c r="L911" s="1228"/>
      <c r="M911" s="1228"/>
      <c r="N911" s="1228"/>
      <c r="O911" s="1228"/>
      <c r="P911" s="1228"/>
      <c r="Q911" s="1228"/>
      <c r="R911" s="1228"/>
      <c r="S911" s="1228"/>
      <c r="T911" s="1229"/>
      <c r="U911" s="1261" t="s">
        <v>672</v>
      </c>
      <c r="V911" s="1262"/>
      <c r="W911" s="1262"/>
      <c r="X911" s="1262"/>
      <c r="Y911" s="1262"/>
      <c r="Z911" s="1263"/>
      <c r="AA911" s="1214"/>
      <c r="AB911" s="1215"/>
      <c r="AC911" s="1215"/>
      <c r="AD911" s="1215"/>
      <c r="AE911" s="1215"/>
      <c r="AF911" s="1216"/>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315" t="s">
        <v>361</v>
      </c>
      <c r="J912" s="1228"/>
      <c r="K912" s="1228"/>
      <c r="L912" s="1228"/>
      <c r="M912" s="1228"/>
      <c r="N912" s="1228"/>
      <c r="O912" s="1228"/>
      <c r="P912" s="1228"/>
      <c r="Q912" s="1228"/>
      <c r="R912" s="1228"/>
      <c r="S912" s="1228"/>
      <c r="T912" s="1229"/>
      <c r="U912" s="1261" t="s">
        <v>672</v>
      </c>
      <c r="V912" s="1262"/>
      <c r="W912" s="1262"/>
      <c r="X912" s="1262"/>
      <c r="Y912" s="1262"/>
      <c r="Z912" s="1263"/>
      <c r="AA912" s="1214"/>
      <c r="AB912" s="1215"/>
      <c r="AC912" s="1215"/>
      <c r="AD912" s="1215"/>
      <c r="AE912" s="1215"/>
      <c r="AF912" s="1216"/>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657</v>
      </c>
      <c r="C914" s="54" t="s">
        <v>845</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321"/>
      <c r="N917" s="1236"/>
      <c r="O917" s="1236"/>
      <c r="P917" s="1236"/>
      <c r="Q917" s="1236"/>
      <c r="R917" s="1236"/>
      <c r="S917" s="1322"/>
      <c r="U917" s="107" t="s">
        <v>12</v>
      </c>
      <c r="V917" s="81"/>
      <c r="W917" s="81"/>
      <c r="X917" s="81"/>
      <c r="Y917" s="81"/>
      <c r="Z917" s="81"/>
      <c r="AA917" s="81"/>
      <c r="AB917" s="81"/>
      <c r="AC917" s="81"/>
      <c r="AD917" s="82"/>
      <c r="AE917" s="1321"/>
      <c r="AF917" s="1236"/>
      <c r="AG917" s="1236"/>
      <c r="AH917" s="1236"/>
      <c r="AI917" s="1236"/>
      <c r="AJ917" s="1236"/>
      <c r="AK917" s="1322"/>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316"/>
      <c r="N918" s="1317"/>
      <c r="O918" s="1317"/>
      <c r="P918" s="1317"/>
      <c r="Q918" s="1317"/>
      <c r="R918" s="1317"/>
      <c r="S918" s="1318"/>
      <c r="U918" s="107" t="s">
        <v>13</v>
      </c>
      <c r="V918" s="81"/>
      <c r="W918" s="81"/>
      <c r="X918" s="81"/>
      <c r="Y918" s="81"/>
      <c r="Z918" s="81"/>
      <c r="AA918" s="81"/>
      <c r="AB918" s="81"/>
      <c r="AC918" s="81"/>
      <c r="AD918" s="82"/>
      <c r="AE918" s="1316"/>
      <c r="AF918" s="1317"/>
      <c r="AG918" s="1317"/>
      <c r="AH918" s="1317"/>
      <c r="AI918" s="1317"/>
      <c r="AJ918" s="1317"/>
      <c r="AK918" s="1318"/>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1008</v>
      </c>
      <c r="D919" s="81"/>
      <c r="E919" s="81"/>
      <c r="M919" s="1380" t="s">
        <v>333</v>
      </c>
      <c r="N919" s="1381"/>
      <c r="O919" s="1381"/>
      <c r="P919" s="1381"/>
      <c r="Q919" s="1381"/>
      <c r="R919" s="1381"/>
      <c r="S919" s="1382"/>
      <c r="U919" s="107" t="s">
        <v>1008</v>
      </c>
      <c r="V919" s="81"/>
      <c r="W919" s="81"/>
      <c r="AE919" s="1380" t="s">
        <v>333</v>
      </c>
      <c r="AF919" s="1381"/>
      <c r="AG919" s="1381"/>
      <c r="AH919" s="1381"/>
      <c r="AI919" s="1381"/>
      <c r="AJ919" s="1381"/>
      <c r="AK919" s="1382"/>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377"/>
      <c r="N920" s="1378"/>
      <c r="O920" s="1378"/>
      <c r="P920" s="1378"/>
      <c r="Q920" s="1378"/>
      <c r="R920" s="1378"/>
      <c r="S920" s="1379"/>
      <c r="U920" s="107" t="s">
        <v>14</v>
      </c>
      <c r="V920" s="81"/>
      <c r="W920" s="81"/>
      <c r="X920" s="81"/>
      <c r="Y920" s="81"/>
      <c r="Z920" s="81"/>
      <c r="AA920" s="81"/>
      <c r="AB920" s="81"/>
      <c r="AC920" s="81"/>
      <c r="AD920" s="82"/>
      <c r="AE920" s="1377"/>
      <c r="AF920" s="1378"/>
      <c r="AG920" s="1378"/>
      <c r="AH920" s="1378"/>
      <c r="AI920" s="1378"/>
      <c r="AJ920" s="1378"/>
      <c r="AK920" s="1379"/>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163"/>
      <c r="N921" s="1164"/>
      <c r="O921" s="1164"/>
      <c r="P921" s="1164"/>
      <c r="Q921" s="1164"/>
      <c r="R921" s="1164"/>
      <c r="S921" s="1165"/>
      <c r="U921" s="107" t="s">
        <v>15</v>
      </c>
      <c r="V921" s="81"/>
      <c r="W921" s="81"/>
      <c r="X921" s="81"/>
      <c r="Y921" s="81"/>
      <c r="Z921" s="81"/>
      <c r="AA921" s="81"/>
      <c r="AB921" s="81"/>
      <c r="AC921" s="81"/>
      <c r="AD921" s="82"/>
      <c r="AE921" s="1163"/>
      <c r="AF921" s="1164"/>
      <c r="AG921" s="1164"/>
      <c r="AH921" s="1164"/>
      <c r="AI921" s="1164"/>
      <c r="AJ921" s="1164"/>
      <c r="AK921" s="11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14"/>
      <c r="N922" s="1215"/>
      <c r="O922" s="1215"/>
      <c r="P922" s="1215"/>
      <c r="Q922" s="1215"/>
      <c r="R922" s="1215"/>
      <c r="S922" s="1216"/>
      <c r="U922" s="107" t="s">
        <v>16</v>
      </c>
      <c r="V922" s="81"/>
      <c r="W922" s="81"/>
      <c r="X922" s="81"/>
      <c r="Y922" s="81"/>
      <c r="Z922" s="81"/>
      <c r="AA922" s="81"/>
      <c r="AB922" s="81"/>
      <c r="AC922" s="81"/>
      <c r="AD922" s="82"/>
      <c r="AE922" s="1214"/>
      <c r="AF922" s="1215"/>
      <c r="AG922" s="1215"/>
      <c r="AH922" s="1215"/>
      <c r="AI922" s="1215"/>
      <c r="AJ922" s="1215"/>
      <c r="AK922" s="1216"/>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14"/>
      <c r="N923" s="1215"/>
      <c r="O923" s="1215"/>
      <c r="P923" s="1215"/>
      <c r="Q923" s="1215"/>
      <c r="R923" s="1215"/>
      <c r="S923" s="1216"/>
      <c r="U923" s="107" t="s">
        <v>17</v>
      </c>
      <c r="V923" s="81"/>
      <c r="W923" s="81"/>
      <c r="X923" s="81"/>
      <c r="Y923" s="81"/>
      <c r="Z923" s="81"/>
      <c r="AA923" s="81"/>
      <c r="AB923" s="81"/>
      <c r="AC923" s="81"/>
      <c r="AD923" s="82"/>
      <c r="AE923" s="1214"/>
      <c r="AF923" s="1215"/>
      <c r="AG923" s="1215"/>
      <c r="AH923" s="1215"/>
      <c r="AI923" s="1215"/>
      <c r="AJ923" s="1215"/>
      <c r="AK923" s="1216"/>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651</v>
      </c>
      <c r="D924" s="81"/>
      <c r="E924" s="81"/>
      <c r="F924" s="81"/>
      <c r="G924" s="81"/>
      <c r="H924" s="81"/>
      <c r="I924" s="81"/>
      <c r="J924" s="81"/>
      <c r="K924" s="81"/>
      <c r="L924" s="82"/>
      <c r="M924" s="1312"/>
      <c r="N924" s="1313"/>
      <c r="O924" s="1313"/>
      <c r="P924" s="1313"/>
      <c r="Q924" s="1313"/>
      <c r="R924" s="1313"/>
      <c r="S924" s="1314"/>
      <c r="U924" s="107" t="s">
        <v>651</v>
      </c>
      <c r="V924" s="81"/>
      <c r="W924" s="81"/>
      <c r="X924" s="81"/>
      <c r="Y924" s="81"/>
      <c r="Z924" s="81"/>
      <c r="AA924" s="81"/>
      <c r="AB924" s="81"/>
      <c r="AC924" s="81"/>
      <c r="AD924" s="82"/>
      <c r="AE924" s="1312"/>
      <c r="AF924" s="1313"/>
      <c r="AG924" s="1313"/>
      <c r="AH924" s="1313"/>
      <c r="AI924" s="1313"/>
      <c r="AJ924" s="1313"/>
      <c r="AK924" s="1314"/>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667</v>
      </c>
      <c r="C926" s="106" t="s">
        <v>734</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652</v>
      </c>
      <c r="G929" s="81"/>
      <c r="H929" s="81"/>
      <c r="I929" s="81"/>
      <c r="J929" s="81"/>
      <c r="K929" s="81"/>
      <c r="L929" s="82"/>
      <c r="M929" s="1219"/>
      <c r="N929" s="1220"/>
      <c r="O929" s="1220"/>
      <c r="P929" s="1220"/>
      <c r="Q929" s="1220"/>
      <c r="R929" s="1220"/>
      <c r="S929" s="1221"/>
      <c r="T929" s="107" t="s">
        <v>904</v>
      </c>
      <c r="U929" s="81"/>
      <c r="V929" s="81"/>
      <c r="W929" s="81"/>
      <c r="X929" s="81"/>
      <c r="Y929" s="81"/>
      <c r="Z929" s="82"/>
      <c r="AA929" s="1219"/>
      <c r="AB929" s="1220"/>
      <c r="AC929" s="1220"/>
      <c r="AD929" s="1220"/>
      <c r="AE929" s="1220"/>
      <c r="AF929" s="1220"/>
      <c r="AG929" s="1221"/>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653</v>
      </c>
      <c r="G930" s="81"/>
      <c r="H930" s="81"/>
      <c r="I930" s="81"/>
      <c r="J930" s="81"/>
      <c r="K930" s="81"/>
      <c r="L930" s="82"/>
      <c r="M930" s="1219"/>
      <c r="N930" s="1220"/>
      <c r="O930" s="1220"/>
      <c r="P930" s="1220"/>
      <c r="Q930" s="1220"/>
      <c r="R930" s="1220"/>
      <c r="S930" s="1221"/>
      <c r="T930" s="107" t="s">
        <v>903</v>
      </c>
      <c r="U930" s="81"/>
      <c r="V930" s="81"/>
      <c r="W930" s="81"/>
      <c r="X930" s="81"/>
      <c r="Y930" s="81"/>
      <c r="Z930" s="82"/>
      <c r="AA930" s="1219"/>
      <c r="AB930" s="1220"/>
      <c r="AC930" s="1220"/>
      <c r="AD930" s="1220"/>
      <c r="AE930" s="1220"/>
      <c r="AF930" s="1220"/>
      <c r="AG930" s="1221"/>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1034</v>
      </c>
      <c r="G931" s="81"/>
      <c r="H931" s="81"/>
      <c r="I931" s="81"/>
      <c r="J931" s="81"/>
      <c r="K931" s="81"/>
      <c r="L931" s="82"/>
      <c r="M931" s="1383" t="s">
        <v>672</v>
      </c>
      <c r="N931" s="1384"/>
      <c r="O931" s="1384"/>
      <c r="P931" s="1384"/>
      <c r="Q931" s="1384"/>
      <c r="R931" s="1384"/>
      <c r="S931" s="1385"/>
      <c r="T931" s="80" t="s">
        <v>364</v>
      </c>
      <c r="U931" s="81"/>
      <c r="V931" s="81"/>
      <c r="W931" s="81"/>
      <c r="X931" s="81"/>
      <c r="Y931" s="81"/>
      <c r="Z931" s="82"/>
      <c r="AA931" s="1219"/>
      <c r="AB931" s="1220"/>
      <c r="AC931" s="1220"/>
      <c r="AD931" s="1220"/>
      <c r="AE931" s="1220"/>
      <c r="AF931" s="1220"/>
      <c r="AG931" s="1221"/>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654</v>
      </c>
      <c r="G932" s="81"/>
      <c r="H932" s="81"/>
      <c r="I932" s="81"/>
      <c r="J932" s="81"/>
      <c r="K932" s="81"/>
      <c r="L932" s="82"/>
      <c r="M932" s="1219"/>
      <c r="N932" s="1220"/>
      <c r="O932" s="1220"/>
      <c r="P932" s="1220"/>
      <c r="Q932" s="1220"/>
      <c r="R932" s="1220"/>
      <c r="S932" s="1221"/>
      <c r="T932" s="80" t="s">
        <v>365</v>
      </c>
      <c r="U932" s="81"/>
      <c r="V932" s="81"/>
      <c r="W932" s="81"/>
      <c r="X932" s="81"/>
      <c r="Y932" s="81"/>
      <c r="Z932" s="82"/>
      <c r="AA932" s="1219"/>
      <c r="AB932" s="1220"/>
      <c r="AC932" s="1220"/>
      <c r="AD932" s="1220"/>
      <c r="AE932" s="1220"/>
      <c r="AF932" s="1220"/>
      <c r="AG932" s="1221"/>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540</v>
      </c>
      <c r="G933" s="81"/>
      <c r="H933" s="81"/>
      <c r="I933" s="81"/>
      <c r="J933" s="81"/>
      <c r="K933" s="81"/>
      <c r="L933" s="82"/>
      <c r="M933" s="1219"/>
      <c r="N933" s="1220"/>
      <c r="O933" s="1220"/>
      <c r="P933" s="1220"/>
      <c r="Q933" s="1220"/>
      <c r="R933" s="1220"/>
      <c r="S933" s="1221"/>
      <c r="T933" s="80" t="s">
        <v>421</v>
      </c>
      <c r="U933" s="81"/>
      <c r="V933" s="81"/>
      <c r="W933" s="81"/>
      <c r="X933" s="81"/>
      <c r="Y933" s="81"/>
      <c r="Z933" s="82"/>
      <c r="AA933" s="1219"/>
      <c r="AB933" s="1220"/>
      <c r="AC933" s="1220"/>
      <c r="AD933" s="1220"/>
      <c r="AE933" s="1220"/>
      <c r="AF933" s="1220"/>
      <c r="AG933" s="1221"/>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1008</v>
      </c>
      <c r="G934" s="76"/>
      <c r="H934" s="76"/>
      <c r="I934" s="76"/>
      <c r="J934" s="76"/>
      <c r="K934" s="76"/>
      <c r="L934" s="98"/>
      <c r="M934" s="1380" t="s">
        <v>333</v>
      </c>
      <c r="N934" s="1381"/>
      <c r="O934" s="1381"/>
      <c r="P934" s="1381"/>
      <c r="Q934" s="1381"/>
      <c r="R934" s="1381"/>
      <c r="S934" s="1382"/>
      <c r="T934" s="1369"/>
      <c r="U934" s="1370"/>
      <c r="V934" s="1370"/>
      <c r="W934" s="1370"/>
      <c r="X934" s="1370"/>
      <c r="Y934" s="1370"/>
      <c r="Z934" s="1371"/>
      <c r="AA934" s="1219"/>
      <c r="AB934" s="1220"/>
      <c r="AC934" s="1220"/>
      <c r="AD934" s="1220"/>
      <c r="AE934" s="1220"/>
      <c r="AF934" s="1220"/>
      <c r="AG934" s="1221"/>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541</v>
      </c>
      <c r="G935" s="76"/>
      <c r="H935" s="76"/>
      <c r="I935" s="76"/>
      <c r="J935" s="76"/>
      <c r="K935" s="76"/>
      <c r="L935" s="98"/>
      <c r="M935" s="1219"/>
      <c r="N935" s="1220"/>
      <c r="O935" s="1220"/>
      <c r="P935" s="1220"/>
      <c r="Q935" s="1220"/>
      <c r="R935" s="1220"/>
      <c r="S935" s="1221"/>
      <c r="T935" s="1369"/>
      <c r="U935" s="1370"/>
      <c r="V935" s="1370"/>
      <c r="W935" s="1370"/>
      <c r="X935" s="1370"/>
      <c r="Y935" s="1370"/>
      <c r="Z935" s="1371"/>
      <c r="AA935" s="1219"/>
      <c r="AB935" s="1220"/>
      <c r="AC935" s="1220"/>
      <c r="AD935" s="1220"/>
      <c r="AE935" s="1220"/>
      <c r="AF935" s="1220"/>
      <c r="AG935" s="1221"/>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372" t="s">
        <v>755</v>
      </c>
      <c r="P936" s="1373"/>
      <c r="Q936" s="146"/>
      <c r="R936" s="146"/>
      <c r="S936" s="147"/>
      <c r="T936" s="75" t="s">
        <v>181</v>
      </c>
      <c r="U936" s="76"/>
      <c r="V936" s="76"/>
      <c r="W936" s="1365" t="s">
        <v>361</v>
      </c>
      <c r="X936" s="1184"/>
      <c r="Y936" s="1184"/>
      <c r="Z936" s="1184"/>
      <c r="AA936" s="1184"/>
      <c r="AB936" s="1184"/>
      <c r="AC936" s="1184"/>
      <c r="AD936" s="1184"/>
      <c r="AE936" s="1184"/>
      <c r="AF936" s="1184"/>
      <c r="AG936" s="118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250" t="s">
        <v>37</v>
      </c>
      <c r="G937" s="1251"/>
      <c r="H937" s="1251"/>
      <c r="I937" s="1251"/>
      <c r="J937" s="1251"/>
      <c r="K937" s="1251"/>
      <c r="L937" s="1251"/>
      <c r="M937" s="1219"/>
      <c r="N937" s="1220"/>
      <c r="O937" s="1220"/>
      <c r="P937" s="1220"/>
      <c r="Q937" s="1220"/>
      <c r="R937" s="1220"/>
      <c r="S937" s="1221"/>
      <c r="T937" s="83"/>
      <c r="U937" s="84"/>
      <c r="V937" s="84"/>
      <c r="W937" s="84"/>
      <c r="X937" s="84"/>
      <c r="Y937" s="84"/>
      <c r="Z937" s="212" t="s">
        <v>145</v>
      </c>
      <c r="AA937" s="1407"/>
      <c r="AB937" s="1408"/>
      <c r="AC937" s="1408"/>
      <c r="AD937" s="1408"/>
      <c r="AE937" s="1408"/>
      <c r="AF937" s="1408"/>
      <c r="AG937" s="1409"/>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2.75">
      <c r="A941" s="1264" t="s">
        <v>625</v>
      </c>
      <c r="B941" s="1264"/>
      <c r="C941" s="1264"/>
      <c r="D941" s="1264"/>
      <c r="E941" s="1264"/>
      <c r="F941" s="1264"/>
      <c r="G941" s="1264"/>
      <c r="H941" s="1264"/>
      <c r="I941" s="1264"/>
      <c r="J941" s="1264"/>
      <c r="K941" s="1264"/>
      <c r="L941" s="1264"/>
      <c r="M941" s="1264"/>
      <c r="N941" s="1264"/>
      <c r="O941" s="1264"/>
      <c r="P941" s="1264"/>
      <c r="Q941" s="1264"/>
      <c r="R941" s="1264"/>
      <c r="S941" s="1264"/>
      <c r="T941" s="1264"/>
      <c r="U941" s="1264"/>
      <c r="V941" s="1264"/>
      <c r="W941" s="1264"/>
      <c r="X941" s="1264"/>
      <c r="Y941" s="1264"/>
      <c r="Z941" s="1264"/>
      <c r="AA941" s="1264"/>
      <c r="AB941" s="1264"/>
      <c r="AC941" s="1264"/>
      <c r="AD941" s="1264"/>
      <c r="AE941" s="1264"/>
      <c r="AF941" s="1264"/>
      <c r="AG941" s="1264"/>
      <c r="AH941" s="1264"/>
      <c r="AI941" s="1264"/>
      <c r="AJ941" s="1264"/>
      <c r="AK941" s="1264"/>
      <c r="AL941" s="1264"/>
      <c r="AM941" s="56"/>
      <c r="AN941" s="56"/>
      <c r="AO941" s="24"/>
      <c r="AP941" s="24"/>
      <c r="AQ941" s="24"/>
      <c r="AR941" s="24"/>
      <c r="AS941" s="24"/>
      <c r="AT941" s="1167"/>
      <c r="AU941" s="1167"/>
      <c r="AV941" s="1167"/>
      <c r="AW941" s="1167"/>
      <c r="AX941" s="1167"/>
      <c r="AY941" s="1167"/>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5" thickBot="1">
      <c r="A942" s="1265"/>
      <c r="B942" s="1265"/>
      <c r="C942" s="1265"/>
      <c r="D942" s="1265"/>
      <c r="E942" s="1265"/>
      <c r="F942" s="1265"/>
      <c r="G942" s="1265"/>
      <c r="H942" s="1265"/>
      <c r="I942" s="1265"/>
      <c r="J942" s="1265"/>
      <c r="K942" s="1265"/>
      <c r="L942" s="1265"/>
      <c r="M942" s="1265"/>
      <c r="N942" s="1265"/>
      <c r="O942" s="1265"/>
      <c r="P942" s="1265"/>
      <c r="Q942" s="1265"/>
      <c r="R942" s="1265"/>
      <c r="S942" s="1265"/>
      <c r="T942" s="1265"/>
      <c r="U942" s="1265"/>
      <c r="V942" s="1265"/>
      <c r="W942" s="1265"/>
      <c r="X942" s="1265"/>
      <c r="Y942" s="1265"/>
      <c r="Z942" s="1265"/>
      <c r="AA942" s="1265"/>
      <c r="AB942" s="1265"/>
      <c r="AC942" s="1265"/>
      <c r="AD942" s="1265"/>
      <c r="AE942" s="1265"/>
      <c r="AF942" s="1265"/>
      <c r="AG942" s="1265"/>
      <c r="AH942" s="1265"/>
      <c r="AI942" s="1265"/>
      <c r="AJ942" s="1265"/>
      <c r="AK942" s="1265"/>
      <c r="AL942" s="1265"/>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5"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2.75">
      <c r="A944" s="53" t="s">
        <v>345</v>
      </c>
      <c r="B944" s="29"/>
      <c r="C944" s="53" t="s">
        <v>696</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2.75">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2.75">
      <c r="A946" s="108"/>
      <c r="B946" s="1222" t="s">
        <v>721</v>
      </c>
      <c r="C946" s="1222"/>
      <c r="D946" s="1222"/>
      <c r="E946" s="1222"/>
      <c r="F946" s="1222"/>
      <c r="G946" s="1222"/>
      <c r="H946" s="1222"/>
      <c r="I946" s="1222"/>
      <c r="J946" s="1222"/>
      <c r="K946" s="1222"/>
      <c r="L946" s="1222" t="s">
        <v>722</v>
      </c>
      <c r="M946" s="1222"/>
      <c r="N946" s="1222"/>
      <c r="O946" s="1222"/>
      <c r="P946" s="1222"/>
      <c r="Q946" s="1222"/>
      <c r="R946" s="1222"/>
      <c r="S946" s="1222"/>
      <c r="T946" s="1222"/>
      <c r="U946" s="1222"/>
      <c r="V946" s="1222" t="s">
        <v>723</v>
      </c>
      <c r="W946" s="1222"/>
      <c r="X946" s="1222"/>
      <c r="Y946" s="1222"/>
      <c r="Z946" s="1222"/>
      <c r="AA946" s="1222"/>
      <c r="AB946" s="1222"/>
      <c r="AC946" s="1222"/>
      <c r="AD946" s="1553" t="s">
        <v>724</v>
      </c>
      <c r="AE946" s="1554"/>
      <c r="AF946" s="1554"/>
      <c r="AG946" s="1554"/>
      <c r="AH946" s="1554"/>
      <c r="AI946" s="1554"/>
      <c r="AJ946" s="1554"/>
      <c r="AK946" s="1555"/>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217" t="s">
        <v>716</v>
      </c>
      <c r="C947" s="1218"/>
      <c r="D947" s="1218"/>
      <c r="E947" s="1218"/>
      <c r="F947" s="1218"/>
      <c r="G947" s="1218"/>
      <c r="H947" s="1218"/>
      <c r="I947" s="1218"/>
      <c r="J947" s="1218"/>
      <c r="K947" s="1218"/>
      <c r="L947" s="1223">
        <f>IF(ISNA(IF($BA$779="4%",(INDEX($BC$789:$BG$846,MATCH($BO$779,$BB$789:$BB$846,0),MATCH(B947,$BC$788:$BG$788,0))),(INDEX($BJ$789:$BN$846,MATCH($BO$779,$BI$789:$BI$846,0),MATCH(B947,$BJ$788:$BN$788,0))))),0,IF($BA$779="4%",(INDEX($BC$789:$BG$846,MATCH($BO$779,$BB$789:$BB$846,0),MATCH(B947,$BC$788:$BG$788,0))),(INDEX($BJ$789:$BN$846,MATCH($BO$779,$BI$789:$BI$846,0),MATCH(B947,$BJ$788:$BN$788,0)))))</f>
        <v>293352</v>
      </c>
      <c r="M947" s="1224"/>
      <c r="N947" s="1224"/>
      <c r="O947" s="1224"/>
      <c r="P947" s="1224"/>
      <c r="Q947" s="1224"/>
      <c r="R947" s="1224"/>
      <c r="S947" s="1224"/>
      <c r="T947" s="1224"/>
      <c r="U947" s="1225"/>
      <c r="V947" s="1344">
        <f>BA635</f>
        <v>0</v>
      </c>
      <c r="W947" s="1344"/>
      <c r="X947" s="1344"/>
      <c r="Y947" s="1344"/>
      <c r="Z947" s="1344"/>
      <c r="AA947" s="1344"/>
      <c r="AB947" s="1344"/>
      <c r="AC947" s="1344"/>
      <c r="AD947" s="1341">
        <f>IF(ISERROR((L947*V947)),0,(L947*V947))</f>
        <v>0</v>
      </c>
      <c r="AE947" s="1342"/>
      <c r="AF947" s="1342"/>
      <c r="AG947" s="1342"/>
      <c r="AH947" s="1342"/>
      <c r="AI947" s="1342"/>
      <c r="AJ947" s="1342"/>
      <c r="AK947" s="1343"/>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2.75">
      <c r="B948" s="1217" t="s">
        <v>352</v>
      </c>
      <c r="C948" s="1217"/>
      <c r="D948" s="1217"/>
      <c r="E948" s="1217"/>
      <c r="F948" s="1217"/>
      <c r="G948" s="1217"/>
      <c r="H948" s="1217"/>
      <c r="I948" s="1217"/>
      <c r="J948" s="1217"/>
      <c r="K948" s="1217"/>
      <c r="L948" s="1223">
        <f>IF(ISNA(IF($BA$779="4%",(INDEX($BC$789:$BG$846,MATCH($BO$779,$BB$789:$BB$846,0),MATCH(B948,$BC$788:$BG$788,0))),(INDEX($BJ$789:$BN$846,MATCH($BO$779,$BI$789:$BI$846,0),MATCH(B948,$BJ$788:$BN$788,0))))),0,IF($BA$779="4%",(INDEX($BC$789:$BG$846,MATCH($BO$779,$BB$789:$BB$846,0),MATCH(B948,$BC$788:$BG$788,0))),(INDEX($BJ$789:$BN$846,MATCH($BO$779,$BI$789:$BI$846,0),MATCH(B948,$BJ$788:$BN$788,0)))))</f>
        <v>338232</v>
      </c>
      <c r="M948" s="1224"/>
      <c r="N948" s="1224"/>
      <c r="O948" s="1224"/>
      <c r="P948" s="1224"/>
      <c r="Q948" s="1224"/>
      <c r="R948" s="1224"/>
      <c r="S948" s="1224"/>
      <c r="T948" s="1224"/>
      <c r="U948" s="1225"/>
      <c r="V948" s="1344">
        <f>BF635</f>
        <v>0</v>
      </c>
      <c r="W948" s="1344"/>
      <c r="X948" s="1344"/>
      <c r="Y948" s="1344"/>
      <c r="Z948" s="1344"/>
      <c r="AA948" s="1344"/>
      <c r="AB948" s="1344"/>
      <c r="AC948" s="1344"/>
      <c r="AD948" s="1341">
        <f>IF(ISERROR((L948*V948)),0,(L948*V948))</f>
        <v>0</v>
      </c>
      <c r="AE948" s="1342"/>
      <c r="AF948" s="1342"/>
      <c r="AG948" s="1342"/>
      <c r="AH948" s="1342"/>
      <c r="AI948" s="1342"/>
      <c r="AJ948" s="1342"/>
      <c r="AK948" s="1343"/>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217" t="s">
        <v>174</v>
      </c>
      <c r="C949" s="1217"/>
      <c r="D949" s="1217"/>
      <c r="E949" s="1217"/>
      <c r="F949" s="1217"/>
      <c r="G949" s="1217"/>
      <c r="H949" s="1217"/>
      <c r="I949" s="1217"/>
      <c r="J949" s="1217"/>
      <c r="K949" s="1217"/>
      <c r="L949" s="1223">
        <f>IF(ISNA(IF($BA$779="4%",(INDEX($BC$789:$BG$846,MATCH($BO$779,$BB$789:$BB$846,0),MATCH(B949,$BC$788:$BG$788,0))),(INDEX($BJ$789:$BN$846,MATCH($BO$779,$BI$789:$BI$846,0),MATCH(B949,$BJ$788:$BN$788,0))))),0,IF($BA$779="4%",(INDEX($BC$789:$BG$846,MATCH($BO$779,$BB$789:$BB$846,0),MATCH(B949,$BC$788:$BG$788,0))),(INDEX($BJ$789:$BN$846,MATCH($BO$779,$BI$789:$BI$846,0),MATCH(B949,$BJ$788:$BN$788,0)))))</f>
        <v>408000</v>
      </c>
      <c r="M949" s="1224"/>
      <c r="N949" s="1224"/>
      <c r="O949" s="1224"/>
      <c r="P949" s="1224"/>
      <c r="Q949" s="1224"/>
      <c r="R949" s="1224"/>
      <c r="S949" s="1224"/>
      <c r="T949" s="1224"/>
      <c r="U949" s="1225"/>
      <c r="V949" s="1344">
        <f>BK635</f>
        <v>9</v>
      </c>
      <c r="W949" s="1344"/>
      <c r="X949" s="1344"/>
      <c r="Y949" s="1344"/>
      <c r="Z949" s="1344"/>
      <c r="AA949" s="1344"/>
      <c r="AB949" s="1344"/>
      <c r="AC949" s="1344"/>
      <c r="AD949" s="1341">
        <f>IF(ISERROR((L949*V949)),0,(L949*V949))</f>
        <v>3672000</v>
      </c>
      <c r="AE949" s="1342"/>
      <c r="AF949" s="1342"/>
      <c r="AG949" s="1342"/>
      <c r="AH949" s="1342"/>
      <c r="AI949" s="1342"/>
      <c r="AJ949" s="1342"/>
      <c r="AK949" s="1343"/>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217" t="s">
        <v>175</v>
      </c>
      <c r="C950" s="1217"/>
      <c r="D950" s="1217"/>
      <c r="E950" s="1217"/>
      <c r="F950" s="1217"/>
      <c r="G950" s="1217"/>
      <c r="H950" s="1217"/>
      <c r="I950" s="1217"/>
      <c r="J950" s="1217"/>
      <c r="K950" s="1217"/>
      <c r="L950" s="1223">
        <f>IF(ISNA(IF($BA$779="4%",(INDEX($BC$789:$BG$846,MATCH($BO$779,$BB$789:$BB$846,0),MATCH(B950,$BC$788:$BG$788,0))),(INDEX($BJ$789:$BN$846,MATCH($BO$779,$BI$789:$BI$846,0),MATCH(B950,$BJ$788:$BN$788,0))))),0,IF($BA$779="4%",(INDEX($BC$789:$BG$846,MATCH($BO$779,$BB$789:$BB$846,0),MATCH(B950,$BC$788:$BG$788,0))),(INDEX($BJ$789:$BN$846,MATCH($BO$779,$BI$789:$BI$846,0),MATCH(B950,$BJ$788:$BN$788,0)))))</f>
        <v>522240</v>
      </c>
      <c r="M950" s="1224"/>
      <c r="N950" s="1224"/>
      <c r="O950" s="1224"/>
      <c r="P950" s="1224"/>
      <c r="Q950" s="1224"/>
      <c r="R950" s="1224"/>
      <c r="S950" s="1224"/>
      <c r="T950" s="1224"/>
      <c r="U950" s="1225"/>
      <c r="V950" s="1344">
        <f>BP635</f>
        <v>56</v>
      </c>
      <c r="W950" s="1344"/>
      <c r="X950" s="1344"/>
      <c r="Y950" s="1344"/>
      <c r="Z950" s="1344"/>
      <c r="AA950" s="1344"/>
      <c r="AB950" s="1344"/>
      <c r="AC950" s="1344"/>
      <c r="AD950" s="1341">
        <f>IF(ISERROR((L950*V950)),0,(L950*V950))</f>
        <v>29245440</v>
      </c>
      <c r="AE950" s="1342"/>
      <c r="AF950" s="1342"/>
      <c r="AG950" s="1342"/>
      <c r="AH950" s="1342"/>
      <c r="AI950" s="1342"/>
      <c r="AJ950" s="1342"/>
      <c r="AK950" s="1343"/>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4" customHeight="1">
      <c r="A951" s="55"/>
      <c r="B951" s="1217" t="s">
        <v>536</v>
      </c>
      <c r="C951" s="1217"/>
      <c r="D951" s="1217"/>
      <c r="E951" s="1217"/>
      <c r="F951" s="1217"/>
      <c r="G951" s="1217"/>
      <c r="H951" s="1217"/>
      <c r="I951" s="1217"/>
      <c r="J951" s="1217"/>
      <c r="K951" s="1217"/>
      <c r="L951" s="1223">
        <f>IF(ISNA(IF($BA$779="4%",(INDEX($BC$789:$BG$846,MATCH($BO$779,$BB$789:$BB$846,0),MATCH(B951,$BC$788:$BG$788,0))),(INDEX($BJ$789:$BN$846,MATCH($BO$779,$BI$789:$BI$846,0),MATCH(B951,$BJ$788:$BN$788,0))))),0,IF($BA$779="4%",(INDEX($BC$789:$BG$846,MATCH($BO$779,$BB$789:$BB$846,0),MATCH(B951,$BC$788:$BG$788,0))),(INDEX($BJ$789:$BN$846,MATCH($BO$779,$BI$789:$BI$846,0),MATCH(B951,$BJ$788:$BN$788,0)))))</f>
        <v>581808</v>
      </c>
      <c r="M951" s="1224"/>
      <c r="N951" s="1224"/>
      <c r="O951" s="1224"/>
      <c r="P951" s="1224"/>
      <c r="Q951" s="1224"/>
      <c r="R951" s="1224"/>
      <c r="S951" s="1224"/>
      <c r="T951" s="1224"/>
      <c r="U951" s="1225"/>
      <c r="V951" s="1344">
        <f>BZ635+BU635</f>
        <v>16</v>
      </c>
      <c r="W951" s="1344"/>
      <c r="X951" s="1344"/>
      <c r="Y951" s="1344"/>
      <c r="Z951" s="1344"/>
      <c r="AA951" s="1344"/>
      <c r="AB951" s="1344"/>
      <c r="AC951" s="1344"/>
      <c r="AD951" s="1341">
        <f>IF(ISERROR((L951*V951)),0,(L951*V951))</f>
        <v>9308928</v>
      </c>
      <c r="AE951" s="1342"/>
      <c r="AF951" s="1342"/>
      <c r="AG951" s="1342"/>
      <c r="AH951" s="1342"/>
      <c r="AI951" s="1342"/>
      <c r="AJ951" s="1342"/>
      <c r="AK951" s="1343"/>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177" t="s">
        <v>905</v>
      </c>
      <c r="C952" s="1178"/>
      <c r="D952" s="1178"/>
      <c r="E952" s="1178"/>
      <c r="F952" s="1178"/>
      <c r="G952" s="1178"/>
      <c r="H952" s="1178"/>
      <c r="I952" s="1178"/>
      <c r="J952" s="1178"/>
      <c r="K952" s="1178"/>
      <c r="L952" s="1178"/>
      <c r="M952" s="1178"/>
      <c r="N952" s="1178"/>
      <c r="O952" s="1178"/>
      <c r="P952" s="1178"/>
      <c r="Q952" s="1178"/>
      <c r="R952" s="1178"/>
      <c r="S952" s="1178"/>
      <c r="T952" s="1178"/>
      <c r="U952" s="1179"/>
      <c r="V952" s="1392">
        <f>SUM(V947:AC951)</f>
        <v>81</v>
      </c>
      <c r="W952" s="1393"/>
      <c r="X952" s="1393"/>
      <c r="Y952" s="1393"/>
      <c r="Z952" s="1393"/>
      <c r="AA952" s="1393"/>
      <c r="AB952" s="1393"/>
      <c r="AC952" s="1394"/>
      <c r="AD952" s="1341"/>
      <c r="AE952" s="1342"/>
      <c r="AF952" s="1342"/>
      <c r="AG952" s="1342"/>
      <c r="AH952" s="1342"/>
      <c r="AI952" s="1342"/>
      <c r="AJ952" s="1342"/>
      <c r="AK952" s="1343"/>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296" t="s">
        <v>589</v>
      </c>
      <c r="C953" s="1297"/>
      <c r="D953" s="1297"/>
      <c r="E953" s="1297"/>
      <c r="F953" s="1297"/>
      <c r="G953" s="1297"/>
      <c r="H953" s="1297"/>
      <c r="I953" s="1297"/>
      <c r="J953" s="1297"/>
      <c r="K953" s="1297"/>
      <c r="L953" s="1297"/>
      <c r="M953" s="1297"/>
      <c r="N953" s="1297"/>
      <c r="O953" s="1297"/>
      <c r="P953" s="1297"/>
      <c r="Q953" s="1297"/>
      <c r="R953" s="1297"/>
      <c r="S953" s="1297"/>
      <c r="T953" s="1297"/>
      <c r="U953" s="1297"/>
      <c r="V953" s="1297"/>
      <c r="W953" s="1297"/>
      <c r="X953" s="1297"/>
      <c r="Y953" s="1297"/>
      <c r="Z953" s="1297"/>
      <c r="AA953" s="1297"/>
      <c r="AB953" s="1297"/>
      <c r="AC953" s="1298"/>
      <c r="AD953" s="1273">
        <f>SUM(AD947:AK951)</f>
        <v>42226368</v>
      </c>
      <c r="AE953" s="1274"/>
      <c r="AF953" s="1274"/>
      <c r="AG953" s="1274"/>
      <c r="AH953" s="1274"/>
      <c r="AI953" s="1274"/>
      <c r="AJ953" s="1274"/>
      <c r="AK953" s="1275"/>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541" t="s">
        <v>752</v>
      </c>
      <c r="AA954" s="1542"/>
      <c r="AB954" s="1542"/>
      <c r="AC954" s="1543"/>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4" customHeight="1">
      <c r="A955" s="55"/>
      <c r="B955" s="124"/>
      <c r="C955" s="553" t="s">
        <v>754</v>
      </c>
      <c r="D955" s="1588" t="s">
        <v>1590</v>
      </c>
      <c r="E955" s="1303"/>
      <c r="F955" s="1303"/>
      <c r="G955" s="1303"/>
      <c r="H955" s="1303"/>
      <c r="I955" s="1303"/>
      <c r="J955" s="1303"/>
      <c r="K955" s="1303"/>
      <c r="L955" s="1303"/>
      <c r="M955" s="1303"/>
      <c r="N955" s="1303"/>
      <c r="O955" s="1303"/>
      <c r="P955" s="1303"/>
      <c r="Q955" s="1303"/>
      <c r="R955" s="1303"/>
      <c r="S955" s="1303"/>
      <c r="T955" s="1303"/>
      <c r="U955" s="1303"/>
      <c r="V955" s="1303"/>
      <c r="W955" s="1303"/>
      <c r="X955" s="1303"/>
      <c r="Y955" s="1304"/>
      <c r="Z955" s="119"/>
      <c r="AA955" s="1337" t="s">
        <v>755</v>
      </c>
      <c r="AB955" s="1338"/>
      <c r="AC955" s="132"/>
      <c r="AD955" s="1200">
        <f>ROUND(IF(AND(AA955="yes",D957&gt;0),AD953*0.2,0),0)</f>
        <v>0</v>
      </c>
      <c r="AE955" s="1200"/>
      <c r="AF955" s="1200"/>
      <c r="AG955" s="1200"/>
      <c r="AH955" s="1200"/>
      <c r="AI955" s="1200"/>
      <c r="AJ955" s="1200"/>
      <c r="AK955" s="1201"/>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589" t="s">
        <v>1591</v>
      </c>
      <c r="E956" s="1309"/>
      <c r="F956" s="1309"/>
      <c r="G956" s="1309"/>
      <c r="H956" s="1309"/>
      <c r="I956" s="1309"/>
      <c r="J956" s="1309"/>
      <c r="K956" s="1309"/>
      <c r="L956" s="1309"/>
      <c r="M956" s="1309"/>
      <c r="N956" s="1309"/>
      <c r="O956" s="1309"/>
      <c r="P956" s="1309"/>
      <c r="Q956" s="1309"/>
      <c r="R956" s="1309"/>
      <c r="S956" s="1309"/>
      <c r="T956" s="1309"/>
      <c r="U956" s="1309"/>
      <c r="V956" s="1309"/>
      <c r="W956" s="1309"/>
      <c r="X956" s="1309"/>
      <c r="Y956" s="1310"/>
      <c r="Z956" s="119"/>
      <c r="AA956" s="119"/>
      <c r="AB956" s="119"/>
      <c r="AC956" s="128"/>
      <c r="AD956" s="1203"/>
      <c r="AE956" s="1203"/>
      <c r="AF956" s="1203"/>
      <c r="AG956" s="1203"/>
      <c r="AH956" s="1203"/>
      <c r="AI956" s="1203"/>
      <c r="AJ956" s="1203"/>
      <c r="AK956" s="1204"/>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4" customHeight="1">
      <c r="A957" s="55"/>
      <c r="B957" s="451"/>
      <c r="C957" s="450"/>
      <c r="D957" s="1395"/>
      <c r="E957" s="1396"/>
      <c r="F957" s="1396"/>
      <c r="G957" s="1396"/>
      <c r="H957" s="1396"/>
      <c r="I957" s="1396"/>
      <c r="J957" s="1396"/>
      <c r="K957" s="1396"/>
      <c r="L957" s="1396"/>
      <c r="M957" s="1396"/>
      <c r="N957" s="1396"/>
      <c r="O957" s="1396"/>
      <c r="P957" s="1396"/>
      <c r="Q957" s="1396"/>
      <c r="R957" s="1396"/>
      <c r="S957" s="1396"/>
      <c r="T957" s="1396"/>
      <c r="U957" s="1396"/>
      <c r="V957" s="1396"/>
      <c r="W957" s="1396"/>
      <c r="X957" s="1396"/>
      <c r="Y957" s="1397"/>
      <c r="Z957" s="119"/>
      <c r="AA957" s="119"/>
      <c r="AB957" s="119"/>
      <c r="AC957" s="128"/>
      <c r="AD957" s="1203"/>
      <c r="AE957" s="1203"/>
      <c r="AF957" s="1203"/>
      <c r="AG957" s="1203"/>
      <c r="AH957" s="1203"/>
      <c r="AI957" s="1203"/>
      <c r="AJ957" s="1203"/>
      <c r="AK957" s="1204"/>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302" t="s">
        <v>1150</v>
      </c>
      <c r="E958" s="1303"/>
      <c r="F958" s="1303"/>
      <c r="G958" s="1303"/>
      <c r="H958" s="1303"/>
      <c r="I958" s="1303"/>
      <c r="J958" s="1303"/>
      <c r="K958" s="1303"/>
      <c r="L958" s="1303"/>
      <c r="M958" s="1303"/>
      <c r="N958" s="1303"/>
      <c r="O958" s="1303"/>
      <c r="P958" s="1303"/>
      <c r="Q958" s="1303"/>
      <c r="R958" s="1303"/>
      <c r="S958" s="1303"/>
      <c r="T958" s="1303"/>
      <c r="U958" s="1303"/>
      <c r="V958" s="1303"/>
      <c r="W958" s="1303"/>
      <c r="X958" s="1303"/>
      <c r="Y958" s="1304"/>
      <c r="Z958" s="131"/>
      <c r="AA958" s="1197" t="s">
        <v>755</v>
      </c>
      <c r="AB958" s="1198"/>
      <c r="AC958" s="132"/>
      <c r="AD958" s="1199">
        <f>ROUND(IF(AA958="yes",AD953*0.05,0),0)</f>
        <v>0</v>
      </c>
      <c r="AE958" s="1200"/>
      <c r="AF958" s="1200"/>
      <c r="AG958" s="1200"/>
      <c r="AH958" s="1200"/>
      <c r="AI958" s="1200"/>
      <c r="AJ958" s="1200"/>
      <c r="AK958" s="1201"/>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305"/>
      <c r="E959" s="1306"/>
      <c r="F959" s="1306"/>
      <c r="G959" s="1306"/>
      <c r="H959" s="1306"/>
      <c r="I959" s="1306"/>
      <c r="J959" s="1306"/>
      <c r="K959" s="1306"/>
      <c r="L959" s="1306"/>
      <c r="M959" s="1306"/>
      <c r="N959" s="1306"/>
      <c r="O959" s="1306"/>
      <c r="P959" s="1306"/>
      <c r="Q959" s="1306"/>
      <c r="R959" s="1306"/>
      <c r="S959" s="1306"/>
      <c r="T959" s="1306"/>
      <c r="U959" s="1306"/>
      <c r="V959" s="1306"/>
      <c r="W959" s="1306"/>
      <c r="X959" s="1306"/>
      <c r="Y959" s="1307"/>
      <c r="Z959" s="119"/>
      <c r="AA959" s="119"/>
      <c r="AB959" s="119"/>
      <c r="AC959" s="128"/>
      <c r="AD959" s="1202"/>
      <c r="AE959" s="1203"/>
      <c r="AF959" s="1203"/>
      <c r="AG959" s="1203"/>
      <c r="AH959" s="1203"/>
      <c r="AI959" s="1203"/>
      <c r="AJ959" s="1203"/>
      <c r="AK959" s="1204"/>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305"/>
      <c r="E960" s="1306"/>
      <c r="F960" s="1306"/>
      <c r="G960" s="1306"/>
      <c r="H960" s="1306"/>
      <c r="I960" s="1306"/>
      <c r="J960" s="1306"/>
      <c r="K960" s="1306"/>
      <c r="L960" s="1306"/>
      <c r="M960" s="1306"/>
      <c r="N960" s="1306"/>
      <c r="O960" s="1306"/>
      <c r="P960" s="1306"/>
      <c r="Q960" s="1306"/>
      <c r="R960" s="1306"/>
      <c r="S960" s="1306"/>
      <c r="T960" s="1306"/>
      <c r="U960" s="1306"/>
      <c r="V960" s="1306"/>
      <c r="W960" s="1306"/>
      <c r="X960" s="1306"/>
      <c r="Y960" s="1307"/>
      <c r="Z960" s="119"/>
      <c r="AA960" s="119"/>
      <c r="AB960" s="119"/>
      <c r="AC960" s="128"/>
      <c r="AD960" s="1202"/>
      <c r="AE960" s="1203"/>
      <c r="AF960" s="1203"/>
      <c r="AG960" s="1203"/>
      <c r="AH960" s="1203"/>
      <c r="AI960" s="1203"/>
      <c r="AJ960" s="1203"/>
      <c r="AK960" s="1204"/>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308"/>
      <c r="E961" s="1309"/>
      <c r="F961" s="1309"/>
      <c r="G961" s="1309"/>
      <c r="H961" s="1309"/>
      <c r="I961" s="1309"/>
      <c r="J961" s="1309"/>
      <c r="K961" s="1309"/>
      <c r="L961" s="1309"/>
      <c r="M961" s="1309"/>
      <c r="N961" s="1309"/>
      <c r="O961" s="1309"/>
      <c r="P961" s="1309"/>
      <c r="Q961" s="1309"/>
      <c r="R961" s="1309"/>
      <c r="S961" s="1309"/>
      <c r="T961" s="1309"/>
      <c r="U961" s="1309"/>
      <c r="V961" s="1309"/>
      <c r="W961" s="1309"/>
      <c r="X961" s="1309"/>
      <c r="Y961" s="1310"/>
      <c r="Z961" s="14"/>
      <c r="AA961" s="14"/>
      <c r="AB961" s="14"/>
      <c r="AC961" s="123"/>
      <c r="AD961" s="1311"/>
      <c r="AE961" s="1299"/>
      <c r="AF961" s="1299"/>
      <c r="AG961" s="1299"/>
      <c r="AH961" s="1299"/>
      <c r="AI961" s="1299"/>
      <c r="AJ961" s="1299"/>
      <c r="AK961" s="1300"/>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758</v>
      </c>
      <c r="D962" s="1301" t="s">
        <v>1019</v>
      </c>
      <c r="E962" s="1206"/>
      <c r="F962" s="1206"/>
      <c r="G962" s="1206"/>
      <c r="H962" s="1206"/>
      <c r="I962" s="1206"/>
      <c r="J962" s="1206"/>
      <c r="K962" s="1206"/>
      <c r="L962" s="1206"/>
      <c r="M962" s="1206"/>
      <c r="N962" s="1206"/>
      <c r="O962" s="1206"/>
      <c r="P962" s="1206"/>
      <c r="Q962" s="1206"/>
      <c r="R962" s="1206"/>
      <c r="S962" s="1206"/>
      <c r="T962" s="1206"/>
      <c r="U962" s="1206"/>
      <c r="V962" s="1206"/>
      <c r="W962" s="1206"/>
      <c r="X962" s="1206"/>
      <c r="Y962" s="1207"/>
      <c r="Z962" s="131"/>
      <c r="AA962" s="1197" t="s">
        <v>755</v>
      </c>
      <c r="AB962" s="1198"/>
      <c r="AC962" s="132"/>
      <c r="AD962" s="1200">
        <f>ROUND(IF(AA962="yes",AD953*0.07,0),0)</f>
        <v>0</v>
      </c>
      <c r="AE962" s="1200"/>
      <c r="AF962" s="1200"/>
      <c r="AG962" s="1200"/>
      <c r="AH962" s="1200"/>
      <c r="AI962" s="1200"/>
      <c r="AJ962" s="1200"/>
      <c r="AK962" s="1201"/>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208"/>
      <c r="E963" s="1209"/>
      <c r="F963" s="1209"/>
      <c r="G963" s="1209"/>
      <c r="H963" s="1209"/>
      <c r="I963" s="1209"/>
      <c r="J963" s="1209"/>
      <c r="K963" s="1209"/>
      <c r="L963" s="1209"/>
      <c r="M963" s="1209"/>
      <c r="N963" s="1209"/>
      <c r="O963" s="1209"/>
      <c r="P963" s="1209"/>
      <c r="Q963" s="1209"/>
      <c r="R963" s="1209"/>
      <c r="S963" s="1209"/>
      <c r="T963" s="1209"/>
      <c r="U963" s="1209"/>
      <c r="V963" s="1209"/>
      <c r="W963" s="1209"/>
      <c r="X963" s="1209"/>
      <c r="Y963" s="1210"/>
      <c r="Z963" s="119"/>
      <c r="AA963" s="29"/>
      <c r="AB963" s="29"/>
      <c r="AC963" s="128"/>
      <c r="AD963" s="1203"/>
      <c r="AE963" s="1203"/>
      <c r="AF963" s="1203"/>
      <c r="AG963" s="1203"/>
      <c r="AH963" s="1203"/>
      <c r="AI963" s="1203"/>
      <c r="AJ963" s="1203"/>
      <c r="AK963" s="1204"/>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208"/>
      <c r="E964" s="1209"/>
      <c r="F964" s="1209"/>
      <c r="G964" s="1209"/>
      <c r="H964" s="1209"/>
      <c r="I964" s="1209"/>
      <c r="J964" s="1209"/>
      <c r="K964" s="1209"/>
      <c r="L964" s="1209"/>
      <c r="M964" s="1209"/>
      <c r="N964" s="1209"/>
      <c r="O964" s="1209"/>
      <c r="P964" s="1209"/>
      <c r="Q964" s="1209"/>
      <c r="R964" s="1209"/>
      <c r="S964" s="1209"/>
      <c r="T964" s="1209"/>
      <c r="U964" s="1209"/>
      <c r="V964" s="1209"/>
      <c r="W964" s="1209"/>
      <c r="X964" s="1209"/>
      <c r="Y964" s="1210"/>
      <c r="Z964" s="119"/>
      <c r="AA964" s="119"/>
      <c r="AB964" s="119"/>
      <c r="AC964" s="128"/>
      <c r="AD964" s="1203"/>
      <c r="AE964" s="1203"/>
      <c r="AF964" s="1203"/>
      <c r="AG964" s="1203"/>
      <c r="AH964" s="1203"/>
      <c r="AI964" s="1203"/>
      <c r="AJ964" s="1203"/>
      <c r="AK964" s="1204"/>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293"/>
      <c r="E965" s="1294"/>
      <c r="F965" s="1294"/>
      <c r="G965" s="1294"/>
      <c r="H965" s="1294"/>
      <c r="I965" s="1294"/>
      <c r="J965" s="1294"/>
      <c r="K965" s="1294"/>
      <c r="L965" s="1294"/>
      <c r="M965" s="1294"/>
      <c r="N965" s="1294"/>
      <c r="O965" s="1294"/>
      <c r="P965" s="1294"/>
      <c r="Q965" s="1294"/>
      <c r="R965" s="1294"/>
      <c r="S965" s="1294"/>
      <c r="T965" s="1294"/>
      <c r="U965" s="1294"/>
      <c r="V965" s="1294"/>
      <c r="W965" s="1294"/>
      <c r="X965" s="1294"/>
      <c r="Y965" s="1295"/>
      <c r="Z965" s="14"/>
      <c r="AA965" s="14"/>
      <c r="AB965" s="14"/>
      <c r="AC965" s="123"/>
      <c r="AD965" s="1299"/>
      <c r="AE965" s="1299"/>
      <c r="AF965" s="1299"/>
      <c r="AG965" s="1299"/>
      <c r="AH965" s="1299"/>
      <c r="AI965" s="1299"/>
      <c r="AJ965" s="1299"/>
      <c r="AK965" s="1300"/>
      <c r="AL965" s="109"/>
      <c r="AO965" s="65"/>
      <c r="AP965" s="65"/>
      <c r="AQ965" s="65"/>
      <c r="AR965" s="65"/>
      <c r="AS965" s="65"/>
    </row>
    <row r="966" spans="1:96" ht="12.75" customHeight="1">
      <c r="A966" s="55"/>
      <c r="B966" s="124"/>
      <c r="C966" s="125" t="s">
        <v>231</v>
      </c>
      <c r="D966" s="1208" t="s">
        <v>137</v>
      </c>
      <c r="E966" s="1209"/>
      <c r="F966" s="1209"/>
      <c r="G966" s="1209"/>
      <c r="H966" s="1209"/>
      <c r="I966" s="1209"/>
      <c r="J966" s="1209"/>
      <c r="K966" s="1209"/>
      <c r="L966" s="1209"/>
      <c r="M966" s="1209"/>
      <c r="N966" s="1209"/>
      <c r="O966" s="1209"/>
      <c r="P966" s="1209"/>
      <c r="Q966" s="1209"/>
      <c r="R966" s="1209"/>
      <c r="S966" s="1209"/>
      <c r="T966" s="1209"/>
      <c r="U966" s="1209"/>
      <c r="V966" s="1209"/>
      <c r="W966" s="1209"/>
      <c r="X966" s="1209"/>
      <c r="Y966" s="1210"/>
      <c r="Z966" s="117"/>
      <c r="AA966" s="1339" t="s">
        <v>755</v>
      </c>
      <c r="AB966" s="1340"/>
      <c r="AC966" s="55"/>
      <c r="AD966" s="1199">
        <f>ROUND(IF(AA966="yes",AD953*0.02,0),0)</f>
        <v>0</v>
      </c>
      <c r="AE966" s="1200"/>
      <c r="AF966" s="1200"/>
      <c r="AG966" s="1200"/>
      <c r="AH966" s="1200"/>
      <c r="AI966" s="1200"/>
      <c r="AJ966" s="1200"/>
      <c r="AK966" s="1201"/>
      <c r="AL966" s="109"/>
      <c r="AO966" s="36"/>
      <c r="AP966" s="36"/>
      <c r="AQ966" s="36"/>
      <c r="AR966" s="36"/>
      <c r="AS966" s="36"/>
    </row>
    <row r="967" spans="1:96" ht="12.75" customHeight="1">
      <c r="A967" s="55"/>
      <c r="B967" s="120"/>
      <c r="C967" s="121"/>
      <c r="D967" s="1293"/>
      <c r="E967" s="1294"/>
      <c r="F967" s="1294"/>
      <c r="G967" s="1294"/>
      <c r="H967" s="1294"/>
      <c r="I967" s="1294"/>
      <c r="J967" s="1294"/>
      <c r="K967" s="1294"/>
      <c r="L967" s="1294"/>
      <c r="M967" s="1294"/>
      <c r="N967" s="1294"/>
      <c r="O967" s="1294"/>
      <c r="P967" s="1294"/>
      <c r="Q967" s="1294"/>
      <c r="R967" s="1294"/>
      <c r="S967" s="1294"/>
      <c r="T967" s="1294"/>
      <c r="U967" s="1294"/>
      <c r="V967" s="1294"/>
      <c r="W967" s="1294"/>
      <c r="X967" s="1294"/>
      <c r="Y967" s="1295"/>
      <c r="Z967" s="122"/>
      <c r="AA967" s="14"/>
      <c r="AB967" s="14"/>
      <c r="AC967" s="123"/>
      <c r="AD967" s="1311"/>
      <c r="AE967" s="1299"/>
      <c r="AF967" s="1299"/>
      <c r="AG967" s="1299"/>
      <c r="AH967" s="1299"/>
      <c r="AI967" s="1299"/>
      <c r="AJ967" s="1299"/>
      <c r="AK967" s="1300"/>
      <c r="AL967" s="109"/>
    </row>
    <row r="968" spans="1:96" ht="12.75" customHeight="1">
      <c r="A968" s="55"/>
      <c r="B968" s="124"/>
      <c r="C968" s="125" t="s">
        <v>234</v>
      </c>
      <c r="D968" s="1205" t="s">
        <v>1325</v>
      </c>
      <c r="E968" s="1206"/>
      <c r="F968" s="1206"/>
      <c r="G968" s="1206"/>
      <c r="H968" s="1206"/>
      <c r="I968" s="1206"/>
      <c r="J968" s="1206"/>
      <c r="K968" s="1206"/>
      <c r="L968" s="1206"/>
      <c r="M968" s="1206"/>
      <c r="N968" s="1206"/>
      <c r="O968" s="1206"/>
      <c r="P968" s="1206"/>
      <c r="Q968" s="1206"/>
      <c r="R968" s="1206"/>
      <c r="S968" s="1206"/>
      <c r="T968" s="1206"/>
      <c r="U968" s="1206"/>
      <c r="V968" s="1206"/>
      <c r="W968" s="1206"/>
      <c r="X968" s="1206"/>
      <c r="Y968" s="1207"/>
      <c r="Z968" s="124"/>
      <c r="AA968" s="1197" t="s">
        <v>755</v>
      </c>
      <c r="AB968" s="1198"/>
      <c r="AC968" s="55"/>
      <c r="AD968" s="1199">
        <f>ROUND(IF(AA968="yes",AD953*0.02,0),0)</f>
        <v>0</v>
      </c>
      <c r="AE968" s="1200"/>
      <c r="AF968" s="1200"/>
      <c r="AG968" s="1200"/>
      <c r="AH968" s="1200"/>
      <c r="AI968" s="1200"/>
      <c r="AJ968" s="1200"/>
      <c r="AK968" s="1201"/>
      <c r="AL968" s="109"/>
    </row>
    <row r="969" spans="1:96" ht="12.75" customHeight="1">
      <c r="A969" s="55"/>
      <c r="B969" s="120"/>
      <c r="C969" s="121"/>
      <c r="D969" s="1293"/>
      <c r="E969" s="1294"/>
      <c r="F969" s="1294"/>
      <c r="G969" s="1294"/>
      <c r="H969" s="1294"/>
      <c r="I969" s="1294"/>
      <c r="J969" s="1294"/>
      <c r="K969" s="1294"/>
      <c r="L969" s="1294"/>
      <c r="M969" s="1294"/>
      <c r="N969" s="1294"/>
      <c r="O969" s="1294"/>
      <c r="P969" s="1294"/>
      <c r="Q969" s="1294"/>
      <c r="R969" s="1294"/>
      <c r="S969" s="1294"/>
      <c r="T969" s="1294"/>
      <c r="U969" s="1294"/>
      <c r="V969" s="1294"/>
      <c r="W969" s="1294"/>
      <c r="X969" s="1294"/>
      <c r="Y969" s="1295"/>
      <c r="Z969" s="122"/>
      <c r="AA969" s="14"/>
      <c r="AB969" s="14"/>
      <c r="AC969" s="123"/>
      <c r="AD969" s="1311"/>
      <c r="AE969" s="1299"/>
      <c r="AF969" s="1299"/>
      <c r="AG969" s="1299"/>
      <c r="AH969" s="1299"/>
      <c r="AI969" s="1299"/>
      <c r="AJ969" s="1299"/>
      <c r="AK969" s="1300"/>
      <c r="AL969" s="109"/>
    </row>
    <row r="970" spans="1:96" ht="12.75" customHeight="1">
      <c r="A970" s="55"/>
      <c r="B970" s="124"/>
      <c r="C970" s="125" t="s">
        <v>237</v>
      </c>
      <c r="D970" s="1301" t="s">
        <v>908</v>
      </c>
      <c r="E970" s="1206"/>
      <c r="F970" s="1206"/>
      <c r="G970" s="1206"/>
      <c r="H970" s="1206"/>
      <c r="I970" s="1206"/>
      <c r="J970" s="1206"/>
      <c r="K970" s="1206"/>
      <c r="L970" s="1206"/>
      <c r="M970" s="1206"/>
      <c r="N970" s="1206"/>
      <c r="O970" s="1206"/>
      <c r="P970" s="1206"/>
      <c r="Q970" s="1206"/>
      <c r="R970" s="1206"/>
      <c r="S970" s="1206"/>
      <c r="T970" s="1206"/>
      <c r="U970" s="1206"/>
      <c r="V970" s="1206"/>
      <c r="W970" s="1206"/>
      <c r="X970" s="1206"/>
      <c r="Y970" s="1207"/>
      <c r="Z970" s="124"/>
      <c r="AA970" s="1197" t="s">
        <v>755</v>
      </c>
      <c r="AB970" s="1198"/>
      <c r="AC970" s="132"/>
      <c r="AD970" s="1199">
        <f>IF(AA970="yes",AD953*AN891,0)</f>
        <v>0</v>
      </c>
      <c r="AE970" s="1200"/>
      <c r="AF970" s="1200"/>
      <c r="AG970" s="1200"/>
      <c r="AH970" s="1200"/>
      <c r="AI970" s="1200"/>
      <c r="AJ970" s="1200"/>
      <c r="AK970" s="1201"/>
      <c r="AL970" s="109"/>
    </row>
    <row r="971" spans="1:96" ht="15" customHeight="1">
      <c r="A971" s="55"/>
      <c r="B971" s="117"/>
      <c r="C971" s="118"/>
      <c r="D971" s="1208"/>
      <c r="E971" s="1209"/>
      <c r="F971" s="1209"/>
      <c r="G971" s="1209"/>
      <c r="H971" s="1209"/>
      <c r="I971" s="1209"/>
      <c r="J971" s="1209"/>
      <c r="K971" s="1209"/>
      <c r="L971" s="1209"/>
      <c r="M971" s="1209"/>
      <c r="N971" s="1209"/>
      <c r="O971" s="1209"/>
      <c r="P971" s="1209"/>
      <c r="Q971" s="1209"/>
      <c r="R971" s="1209"/>
      <c r="S971" s="1209"/>
      <c r="T971" s="1209"/>
      <c r="U971" s="1209"/>
      <c r="V971" s="1209"/>
      <c r="W971" s="1209"/>
      <c r="X971" s="1209"/>
      <c r="Y971" s="1210"/>
      <c r="Z971" s="117"/>
      <c r="AA971" s="119"/>
      <c r="AB971" s="119"/>
      <c r="AC971" s="128"/>
      <c r="AD971" s="1202"/>
      <c r="AE971" s="1203"/>
      <c r="AF971" s="1203"/>
      <c r="AG971" s="1203"/>
      <c r="AH971" s="1203"/>
      <c r="AI971" s="1203"/>
      <c r="AJ971" s="1203"/>
      <c r="AK971" s="1204"/>
      <c r="AL971" s="109"/>
    </row>
    <row r="972" spans="1:96" ht="12.75">
      <c r="A972" s="55"/>
      <c r="B972" s="126"/>
      <c r="C972" s="127"/>
      <c r="D972" s="1293"/>
      <c r="E972" s="1294"/>
      <c r="F972" s="1294"/>
      <c r="G972" s="1294"/>
      <c r="H972" s="1294"/>
      <c r="I972" s="1294"/>
      <c r="J972" s="1294"/>
      <c r="K972" s="1294"/>
      <c r="L972" s="1294"/>
      <c r="M972" s="1294"/>
      <c r="N972" s="1294"/>
      <c r="O972" s="1294"/>
      <c r="P972" s="1294"/>
      <c r="Q972" s="1294"/>
      <c r="R972" s="1294"/>
      <c r="S972" s="1294"/>
      <c r="T972" s="1294"/>
      <c r="U972" s="1294"/>
      <c r="V972" s="1294"/>
      <c r="W972" s="1294"/>
      <c r="X972" s="1294"/>
      <c r="Y972" s="1295"/>
      <c r="Z972" s="122"/>
      <c r="AA972" s="14"/>
      <c r="AB972" s="14"/>
      <c r="AC972" s="123"/>
      <c r="AD972" s="1311"/>
      <c r="AE972" s="1299"/>
      <c r="AF972" s="1299"/>
      <c r="AG972" s="1299"/>
      <c r="AH972" s="1299"/>
      <c r="AI972" s="1299"/>
      <c r="AJ972" s="1299"/>
      <c r="AK972" s="1300"/>
      <c r="AL972" s="109"/>
    </row>
    <row r="973" spans="1:96" ht="12.75" customHeight="1">
      <c r="A973" s="55"/>
      <c r="B973" s="124"/>
      <c r="C973" s="125" t="s">
        <v>242</v>
      </c>
      <c r="D973" s="1205" t="s">
        <v>1322</v>
      </c>
      <c r="E973" s="1206"/>
      <c r="F973" s="1206"/>
      <c r="G973" s="1206"/>
      <c r="H973" s="1206"/>
      <c r="I973" s="1206"/>
      <c r="J973" s="1206"/>
      <c r="K973" s="1206"/>
      <c r="L973" s="1206"/>
      <c r="M973" s="1206"/>
      <c r="N973" s="1206"/>
      <c r="O973" s="1206"/>
      <c r="P973" s="1206"/>
      <c r="Q973" s="1206"/>
      <c r="R973" s="1206"/>
      <c r="S973" s="1206"/>
      <c r="T973" s="1206"/>
      <c r="U973" s="1206"/>
      <c r="V973" s="1206"/>
      <c r="W973" s="1206"/>
      <c r="X973" s="1206"/>
      <c r="Y973" s="1207"/>
      <c r="Z973" s="117"/>
      <c r="AA973" s="1339" t="s">
        <v>755</v>
      </c>
      <c r="AB973" s="1340"/>
      <c r="AC973" s="55"/>
      <c r="AD973" s="1347"/>
      <c r="AE973" s="1348"/>
      <c r="AF973" s="1348"/>
      <c r="AG973" s="1348"/>
      <c r="AH973" s="1348"/>
      <c r="AI973" s="1348"/>
      <c r="AJ973" s="1348"/>
      <c r="AK973" s="1349"/>
      <c r="AL973" s="109"/>
    </row>
    <row r="974" spans="1:96" ht="12.75" customHeight="1">
      <c r="A974" s="55"/>
      <c r="B974" s="126"/>
      <c r="C974" s="129"/>
      <c r="D974" s="1208"/>
      <c r="E974" s="1209"/>
      <c r="F974" s="1209"/>
      <c r="G974" s="1209"/>
      <c r="H974" s="1209"/>
      <c r="I974" s="1209"/>
      <c r="J974" s="1209"/>
      <c r="K974" s="1209"/>
      <c r="L974" s="1209"/>
      <c r="M974" s="1209"/>
      <c r="N974" s="1209"/>
      <c r="O974" s="1209"/>
      <c r="P974" s="1209"/>
      <c r="Q974" s="1209"/>
      <c r="R974" s="1209"/>
      <c r="S974" s="1209"/>
      <c r="T974" s="1209"/>
      <c r="U974" s="1209"/>
      <c r="V974" s="1209"/>
      <c r="W974" s="1209"/>
      <c r="X974" s="1209"/>
      <c r="Y974" s="1210"/>
      <c r="Z974" s="1359">
        <f>IF(AA973="yes","Please Select Type and Enter Amount:",0)</f>
        <v>0</v>
      </c>
      <c r="AA974" s="1360"/>
      <c r="AB974" s="1360"/>
      <c r="AC974" s="1361"/>
      <c r="AD974" s="1350"/>
      <c r="AE974" s="1351"/>
      <c r="AF974" s="1351"/>
      <c r="AG974" s="1351"/>
      <c r="AH974" s="1351"/>
      <c r="AI974" s="1351"/>
      <c r="AJ974" s="1351"/>
      <c r="AK974" s="1352"/>
      <c r="AL974" s="109"/>
    </row>
    <row r="975" spans="1:96" ht="12.75">
      <c r="A975" s="55"/>
      <c r="B975" s="126"/>
      <c r="C975" s="129"/>
      <c r="D975" s="1208"/>
      <c r="E975" s="1209"/>
      <c r="F975" s="1209"/>
      <c r="G975" s="1209"/>
      <c r="H975" s="1209"/>
      <c r="I975" s="1209"/>
      <c r="J975" s="1209"/>
      <c r="K975" s="1209"/>
      <c r="L975" s="1209"/>
      <c r="M975" s="1209"/>
      <c r="N975" s="1209"/>
      <c r="O975" s="1209"/>
      <c r="P975" s="1209"/>
      <c r="Q975" s="1209"/>
      <c r="R975" s="1209"/>
      <c r="S975" s="1209"/>
      <c r="T975" s="1209"/>
      <c r="U975" s="1209"/>
      <c r="V975" s="1209"/>
      <c r="W975" s="1209"/>
      <c r="X975" s="1209"/>
      <c r="Y975" s="1210"/>
      <c r="Z975" s="1359"/>
      <c r="AA975" s="1360"/>
      <c r="AB975" s="1360"/>
      <c r="AC975" s="1361"/>
      <c r="AD975" s="1350"/>
      <c r="AE975" s="1351"/>
      <c r="AF975" s="1351"/>
      <c r="AG975" s="1351"/>
      <c r="AH975" s="1351"/>
      <c r="AI975" s="1351"/>
      <c r="AJ975" s="1351"/>
      <c r="AK975" s="1352"/>
      <c r="AL975" s="109"/>
    </row>
    <row r="976" spans="1:96" ht="12.75" customHeight="1">
      <c r="A976" s="55"/>
      <c r="B976" s="126"/>
      <c r="C976" s="129"/>
      <c r="D976" s="1208"/>
      <c r="E976" s="1209"/>
      <c r="F976" s="1209"/>
      <c r="G976" s="1209"/>
      <c r="H976" s="1209"/>
      <c r="I976" s="1209"/>
      <c r="J976" s="1209"/>
      <c r="K976" s="1209"/>
      <c r="L976" s="1209"/>
      <c r="M976" s="1209"/>
      <c r="N976" s="1209"/>
      <c r="O976" s="1209"/>
      <c r="P976" s="1209"/>
      <c r="Q976" s="1209"/>
      <c r="R976" s="1209"/>
      <c r="S976" s="1209"/>
      <c r="T976" s="1209"/>
      <c r="U976" s="1209"/>
      <c r="V976" s="1209"/>
      <c r="W976" s="1209"/>
      <c r="X976" s="1209"/>
      <c r="Y976" s="1210"/>
      <c r="Z976" s="1359"/>
      <c r="AA976" s="1360"/>
      <c r="AB976" s="1360"/>
      <c r="AC976" s="1361"/>
      <c r="AD976" s="1350"/>
      <c r="AE976" s="1351"/>
      <c r="AF976" s="1351"/>
      <c r="AG976" s="1351"/>
      <c r="AH976" s="1351"/>
      <c r="AI976" s="1351"/>
      <c r="AJ976" s="1351"/>
      <c r="AK976" s="1352"/>
      <c r="AL976" s="109"/>
    </row>
    <row r="977" spans="1:38" ht="12.75">
      <c r="A977" s="55"/>
      <c r="B977" s="126"/>
      <c r="C977" s="129"/>
      <c r="D977" s="168" t="s">
        <v>388</v>
      </c>
      <c r="E977" s="140"/>
      <c r="F977" s="140"/>
      <c r="G977" s="171"/>
      <c r="H977" s="8"/>
      <c r="I977" s="1356" t="s">
        <v>672</v>
      </c>
      <c r="J977" s="1357"/>
      <c r="K977" s="1357"/>
      <c r="L977" s="1357"/>
      <c r="M977" s="1357"/>
      <c r="N977" s="1357"/>
      <c r="O977" s="1357"/>
      <c r="P977" s="1358"/>
      <c r="Q977" s="172" t="str">
        <f>IF(AA973="yes","     15% Maximum=","")</f>
        <v/>
      </c>
      <c r="R977" s="8"/>
      <c r="S977" s="8"/>
      <c r="T977" s="173"/>
      <c r="U977" s="8"/>
      <c r="V977" s="1559" t="str">
        <f>IF(AA973="yes",(AD953*0.15),"")</f>
        <v/>
      </c>
      <c r="W977" s="1559"/>
      <c r="X977" s="1559"/>
      <c r="Y977" s="1560"/>
      <c r="Z977" s="1334"/>
      <c r="AA977" s="1335"/>
      <c r="AB977" s="1335"/>
      <c r="AC977" s="1336"/>
      <c r="AD977" s="1353"/>
      <c r="AE977" s="1354"/>
      <c r="AF977" s="1354"/>
      <c r="AG977" s="1354"/>
      <c r="AH977" s="1354"/>
      <c r="AI977" s="1354"/>
      <c r="AJ977" s="1354"/>
      <c r="AK977" s="1355"/>
      <c r="AL977" s="109"/>
    </row>
    <row r="978" spans="1:38" ht="12.75" customHeight="1">
      <c r="A978" s="55"/>
      <c r="B978" s="124"/>
      <c r="C978" s="125" t="s">
        <v>248</v>
      </c>
      <c r="D978" s="1301" t="s">
        <v>1117</v>
      </c>
      <c r="E978" s="1206"/>
      <c r="F978" s="1206"/>
      <c r="G978" s="1206"/>
      <c r="H978" s="1206"/>
      <c r="I978" s="1206"/>
      <c r="J978" s="1206"/>
      <c r="K978" s="1206"/>
      <c r="L978" s="1206"/>
      <c r="M978" s="1206"/>
      <c r="N978" s="1206"/>
      <c r="O978" s="1206"/>
      <c r="P978" s="1206"/>
      <c r="Q978" s="1206"/>
      <c r="R978" s="1206"/>
      <c r="S978" s="1206"/>
      <c r="T978" s="1206"/>
      <c r="U978" s="1206"/>
      <c r="V978" s="1206"/>
      <c r="W978" s="1206"/>
      <c r="X978" s="1206"/>
      <c r="Y978" s="1207"/>
      <c r="Z978" s="117"/>
      <c r="AA978" s="1339" t="s">
        <v>755</v>
      </c>
      <c r="AB978" s="1340"/>
      <c r="AC978" s="55"/>
      <c r="AD978" s="1347"/>
      <c r="AE978" s="1348"/>
      <c r="AF978" s="1348"/>
      <c r="AG978" s="1348"/>
      <c r="AH978" s="1348"/>
      <c r="AI978" s="1348"/>
      <c r="AJ978" s="1348"/>
      <c r="AK978" s="1349"/>
      <c r="AL978" s="109"/>
    </row>
    <row r="979" spans="1:38" ht="12.75" customHeight="1">
      <c r="A979" s="55"/>
      <c r="B979" s="117"/>
      <c r="C979" s="118"/>
      <c r="D979" s="1208"/>
      <c r="E979" s="1209"/>
      <c r="F979" s="1209"/>
      <c r="G979" s="1209"/>
      <c r="H979" s="1209"/>
      <c r="I979" s="1209"/>
      <c r="J979" s="1209"/>
      <c r="K979" s="1209"/>
      <c r="L979" s="1209"/>
      <c r="M979" s="1209"/>
      <c r="N979" s="1209"/>
      <c r="O979" s="1209"/>
      <c r="P979" s="1209"/>
      <c r="Q979" s="1209"/>
      <c r="R979" s="1209"/>
      <c r="S979" s="1209"/>
      <c r="T979" s="1209"/>
      <c r="U979" s="1209"/>
      <c r="V979" s="1209"/>
      <c r="W979" s="1209"/>
      <c r="X979" s="1209"/>
      <c r="Y979" s="1210"/>
      <c r="Z979" s="1345">
        <f>IF(AA978="yes","Please Enter Amount:",0)</f>
        <v>0</v>
      </c>
      <c r="AA979" s="1346"/>
      <c r="AB979" s="1346"/>
      <c r="AC979" s="1346"/>
      <c r="AD979" s="1350"/>
      <c r="AE979" s="1351"/>
      <c r="AF979" s="1351"/>
      <c r="AG979" s="1351"/>
      <c r="AH979" s="1351"/>
      <c r="AI979" s="1351"/>
      <c r="AJ979" s="1351"/>
      <c r="AK979" s="1352"/>
      <c r="AL979" s="109"/>
    </row>
    <row r="980" spans="1:38" ht="12.75" customHeight="1">
      <c r="A980" s="55"/>
      <c r="B980" s="130"/>
      <c r="C980" s="129"/>
      <c r="D980" s="1208"/>
      <c r="E980" s="1209"/>
      <c r="F980" s="1209"/>
      <c r="G980" s="1209"/>
      <c r="H980" s="1209"/>
      <c r="I980" s="1209"/>
      <c r="J980" s="1209"/>
      <c r="K980" s="1209"/>
      <c r="L980" s="1209"/>
      <c r="M980" s="1209"/>
      <c r="N980" s="1209"/>
      <c r="O980" s="1209"/>
      <c r="P980" s="1209"/>
      <c r="Q980" s="1209"/>
      <c r="R980" s="1209"/>
      <c r="S980" s="1209"/>
      <c r="T980" s="1209"/>
      <c r="U980" s="1209"/>
      <c r="V980" s="1209"/>
      <c r="W980" s="1209"/>
      <c r="X980" s="1209"/>
      <c r="Y980" s="1210"/>
      <c r="Z980" s="1345"/>
      <c r="AA980" s="1346"/>
      <c r="AB980" s="1346"/>
      <c r="AC980" s="1346"/>
      <c r="AD980" s="1353"/>
      <c r="AE980" s="1354"/>
      <c r="AF980" s="1354"/>
      <c r="AG980" s="1354"/>
      <c r="AH980" s="1354"/>
      <c r="AI980" s="1354"/>
      <c r="AJ980" s="1354"/>
      <c r="AK980" s="1355"/>
      <c r="AL980" s="109"/>
    </row>
    <row r="981" spans="1:38" ht="12.75" customHeight="1">
      <c r="A981" s="55"/>
      <c r="B981" s="124"/>
      <c r="C981" s="125" t="s">
        <v>253</v>
      </c>
      <c r="D981" s="1301" t="s">
        <v>480</v>
      </c>
      <c r="E981" s="1206"/>
      <c r="F981" s="1206"/>
      <c r="G981" s="1206"/>
      <c r="H981" s="1206"/>
      <c r="I981" s="1206"/>
      <c r="J981" s="1206"/>
      <c r="K981" s="1206"/>
      <c r="L981" s="1206"/>
      <c r="M981" s="1206"/>
      <c r="N981" s="1206"/>
      <c r="O981" s="1206"/>
      <c r="P981" s="1206"/>
      <c r="Q981" s="1206"/>
      <c r="R981" s="1206"/>
      <c r="S981" s="1206"/>
      <c r="T981" s="1206"/>
      <c r="U981" s="1206"/>
      <c r="V981" s="1206"/>
      <c r="W981" s="1206"/>
      <c r="X981" s="1206"/>
      <c r="Y981" s="1207"/>
      <c r="Z981" s="124"/>
      <c r="AA981" s="1197" t="s">
        <v>755</v>
      </c>
      <c r="AB981" s="1198"/>
      <c r="AC981" s="131"/>
      <c r="AD981" s="1199">
        <f>ROUND(IF(AA981="yes",(AD953*0.1),0),0)</f>
        <v>0</v>
      </c>
      <c r="AE981" s="1200"/>
      <c r="AF981" s="1200"/>
      <c r="AG981" s="1200"/>
      <c r="AH981" s="1200"/>
      <c r="AI981" s="1200"/>
      <c r="AJ981" s="1200"/>
      <c r="AK981" s="1201"/>
      <c r="AL981" s="109"/>
    </row>
    <row r="982" spans="1:38" ht="12.75">
      <c r="A982" s="55"/>
      <c r="B982" s="117"/>
      <c r="C982" s="118"/>
      <c r="D982" s="1208"/>
      <c r="E982" s="1209"/>
      <c r="F982" s="1209"/>
      <c r="G982" s="1209"/>
      <c r="H982" s="1209"/>
      <c r="I982" s="1209"/>
      <c r="J982" s="1209"/>
      <c r="K982" s="1209"/>
      <c r="L982" s="1209"/>
      <c r="M982" s="1209"/>
      <c r="N982" s="1209"/>
      <c r="O982" s="1209"/>
      <c r="P982" s="1209"/>
      <c r="Q982" s="1209"/>
      <c r="R982" s="1209"/>
      <c r="S982" s="1209"/>
      <c r="T982" s="1209"/>
      <c r="U982" s="1209"/>
      <c r="V982" s="1209"/>
      <c r="W982" s="1209"/>
      <c r="X982" s="1209"/>
      <c r="Y982" s="1210"/>
      <c r="Z982" s="117"/>
      <c r="AA982" s="119"/>
      <c r="AB982" s="119"/>
      <c r="AC982" s="119"/>
      <c r="AD982" s="1202"/>
      <c r="AE982" s="1203"/>
      <c r="AF982" s="1203"/>
      <c r="AG982" s="1203"/>
      <c r="AH982" s="1203"/>
      <c r="AI982" s="1203"/>
      <c r="AJ982" s="1203"/>
      <c r="AK982" s="1204"/>
      <c r="AL982" s="109"/>
    </row>
    <row r="983" spans="1:38" ht="12.75" customHeight="1">
      <c r="A983" s="55"/>
      <c r="B983" s="124"/>
      <c r="C983" s="584" t="s">
        <v>774</v>
      </c>
      <c r="D983" s="1205" t="s">
        <v>1323</v>
      </c>
      <c r="E983" s="1206"/>
      <c r="F983" s="1206"/>
      <c r="G983" s="1206"/>
      <c r="H983" s="1206"/>
      <c r="I983" s="1206"/>
      <c r="J983" s="1206"/>
      <c r="K983" s="1206"/>
      <c r="L983" s="1206"/>
      <c r="M983" s="1206"/>
      <c r="N983" s="1206"/>
      <c r="O983" s="1206"/>
      <c r="P983" s="1206"/>
      <c r="Q983" s="1206"/>
      <c r="R983" s="1206"/>
      <c r="S983" s="1206"/>
      <c r="T983" s="1206"/>
      <c r="U983" s="1206"/>
      <c r="V983" s="1206"/>
      <c r="W983" s="1206"/>
      <c r="X983" s="1206"/>
      <c r="Y983" s="1207"/>
      <c r="Z983" s="124"/>
      <c r="AA983" s="1197" t="s">
        <v>755</v>
      </c>
      <c r="AB983" s="1198"/>
      <c r="AC983" s="131"/>
      <c r="AD983" s="1199">
        <f>ROUND(IF(AA983="yes",(AD953*0.1),0),0)</f>
        <v>0</v>
      </c>
      <c r="AE983" s="1200"/>
      <c r="AF983" s="1200"/>
      <c r="AG983" s="1200"/>
      <c r="AH983" s="1200"/>
      <c r="AI983" s="1200"/>
      <c r="AJ983" s="1200"/>
      <c r="AK983" s="1201"/>
      <c r="AL983" s="109"/>
    </row>
    <row r="984" spans="1:38" s="754" customFormat="1" ht="12.75" customHeight="1">
      <c r="A984" s="55"/>
      <c r="B984" s="117"/>
      <c r="C984" s="118"/>
      <c r="D984" s="1208"/>
      <c r="E984" s="1209"/>
      <c r="F984" s="1209"/>
      <c r="G984" s="1209"/>
      <c r="H984" s="1209"/>
      <c r="I984" s="1209"/>
      <c r="J984" s="1209"/>
      <c r="K984" s="1209"/>
      <c r="L984" s="1209"/>
      <c r="M984" s="1209"/>
      <c r="N984" s="1209"/>
      <c r="O984" s="1209"/>
      <c r="P984" s="1209"/>
      <c r="Q984" s="1209"/>
      <c r="R984" s="1209"/>
      <c r="S984" s="1209"/>
      <c r="T984" s="1209"/>
      <c r="U984" s="1209"/>
      <c r="V984" s="1209"/>
      <c r="W984" s="1209"/>
      <c r="X984" s="1209"/>
      <c r="Y984" s="1210"/>
      <c r="Z984" s="117"/>
      <c r="AA984" s="119"/>
      <c r="AB984" s="119"/>
      <c r="AC984" s="119"/>
      <c r="AD984" s="1202"/>
      <c r="AE984" s="1203"/>
      <c r="AF984" s="1203"/>
      <c r="AG984" s="1203"/>
      <c r="AH984" s="1203"/>
      <c r="AI984" s="1203"/>
      <c r="AJ984" s="1203"/>
      <c r="AK984" s="1204"/>
      <c r="AL984" s="109"/>
    </row>
    <row r="985" spans="1:38" ht="12.75" customHeight="1">
      <c r="A985" s="55"/>
      <c r="B985" s="117"/>
      <c r="C985" s="118"/>
      <c r="D985" s="1208"/>
      <c r="E985" s="1209"/>
      <c r="F985" s="1209"/>
      <c r="G985" s="1209"/>
      <c r="H985" s="1209"/>
      <c r="I985" s="1209"/>
      <c r="J985" s="1209"/>
      <c r="K985" s="1209"/>
      <c r="L985" s="1209"/>
      <c r="M985" s="1209"/>
      <c r="N985" s="1209"/>
      <c r="O985" s="1209"/>
      <c r="P985" s="1209"/>
      <c r="Q985" s="1209"/>
      <c r="R985" s="1209"/>
      <c r="S985" s="1209"/>
      <c r="T985" s="1209"/>
      <c r="U985" s="1209"/>
      <c r="V985" s="1209"/>
      <c r="W985" s="1209"/>
      <c r="X985" s="1209"/>
      <c r="Y985" s="1210"/>
      <c r="Z985" s="117"/>
      <c r="AA985" s="119"/>
      <c r="AB985" s="119"/>
      <c r="AC985" s="119"/>
      <c r="AD985" s="581"/>
      <c r="AE985" s="582"/>
      <c r="AF985" s="582"/>
      <c r="AG985" s="582"/>
      <c r="AH985" s="582"/>
      <c r="AI985" s="582"/>
      <c r="AJ985" s="582"/>
      <c r="AK985" s="583"/>
      <c r="AL985" s="109"/>
    </row>
    <row r="986" spans="1:38" ht="12.75" customHeight="1">
      <c r="A986" s="55"/>
      <c r="B986" s="117"/>
      <c r="C986" s="118"/>
      <c r="D986" s="1208"/>
      <c r="E986" s="1209"/>
      <c r="F986" s="1209"/>
      <c r="G986" s="1209"/>
      <c r="H986" s="1209"/>
      <c r="I986" s="1209"/>
      <c r="J986" s="1209"/>
      <c r="K986" s="1209"/>
      <c r="L986" s="1209"/>
      <c r="M986" s="1209"/>
      <c r="N986" s="1209"/>
      <c r="O986" s="1209"/>
      <c r="P986" s="1209"/>
      <c r="Q986" s="1209"/>
      <c r="R986" s="1209"/>
      <c r="S986" s="1209"/>
      <c r="T986" s="1209"/>
      <c r="U986" s="1209"/>
      <c r="V986" s="1209"/>
      <c r="W986" s="1209"/>
      <c r="X986" s="1209"/>
      <c r="Y986" s="1210"/>
      <c r="Z986" s="117"/>
      <c r="AA986" s="119"/>
      <c r="AB986" s="119"/>
      <c r="AC986" s="119"/>
      <c r="AD986" s="581"/>
      <c r="AE986" s="582"/>
      <c r="AF986" s="582"/>
      <c r="AG986" s="582"/>
      <c r="AH986" s="582"/>
      <c r="AI986" s="582"/>
      <c r="AJ986" s="582"/>
      <c r="AK986" s="583"/>
      <c r="AL986" s="109"/>
    </row>
    <row r="987" spans="1:38" ht="12.75" customHeight="1">
      <c r="A987" s="55"/>
      <c r="B987" s="117"/>
      <c r="C987" s="118"/>
      <c r="D987" s="1208"/>
      <c r="E987" s="1209"/>
      <c r="F987" s="1209"/>
      <c r="G987" s="1209"/>
      <c r="H987" s="1209"/>
      <c r="I987" s="1209"/>
      <c r="J987" s="1209"/>
      <c r="K987" s="1209"/>
      <c r="L987" s="1209"/>
      <c r="M987" s="1209"/>
      <c r="N987" s="1209"/>
      <c r="O987" s="1209"/>
      <c r="P987" s="1209"/>
      <c r="Q987" s="1209"/>
      <c r="R987" s="1209"/>
      <c r="S987" s="1209"/>
      <c r="T987" s="1209"/>
      <c r="U987" s="1209"/>
      <c r="V987" s="1209"/>
      <c r="W987" s="1209"/>
      <c r="X987" s="1209"/>
      <c r="Y987" s="1210"/>
      <c r="Z987" s="117"/>
      <c r="AA987" s="119"/>
      <c r="AB987" s="119"/>
      <c r="AC987" s="119"/>
      <c r="AD987" s="581"/>
      <c r="AE987" s="582"/>
      <c r="AF987" s="582"/>
      <c r="AG987" s="582"/>
      <c r="AH987" s="582"/>
      <c r="AI987" s="582"/>
      <c r="AJ987" s="582"/>
      <c r="AK987" s="583"/>
      <c r="AL987" s="109"/>
    </row>
    <row r="988" spans="1:38" ht="12.75" customHeight="1">
      <c r="A988" s="55"/>
      <c r="B988" s="124"/>
      <c r="C988" s="222" t="s">
        <v>736</v>
      </c>
      <c r="D988" s="1205" t="s">
        <v>1321</v>
      </c>
      <c r="E988" s="1206"/>
      <c r="F988" s="1206"/>
      <c r="G988" s="1206"/>
      <c r="H988" s="1206"/>
      <c r="I988" s="1206"/>
      <c r="J988" s="1206"/>
      <c r="K988" s="1206"/>
      <c r="L988" s="1206"/>
      <c r="M988" s="1206"/>
      <c r="N988" s="1206"/>
      <c r="O988" s="1206"/>
      <c r="P988" s="1206"/>
      <c r="Q988" s="1206"/>
      <c r="R988" s="1206"/>
      <c r="S988" s="1206"/>
      <c r="T988" s="1206"/>
      <c r="U988" s="1206"/>
      <c r="V988" s="1206"/>
      <c r="W988" s="1206"/>
      <c r="X988" s="1206"/>
      <c r="Y988" s="1207"/>
      <c r="Z988" s="124"/>
      <c r="AA988" s="1332" t="str">
        <f>IF(X990&gt;0,"Yes","No")</f>
        <v>Yes</v>
      </c>
      <c r="AB988" s="1333"/>
      <c r="AC988" s="132"/>
      <c r="AD988" s="1323">
        <f>IF((X990=0),"",AO906*AD953)</f>
        <v>31669776</v>
      </c>
      <c r="AE988" s="1324"/>
      <c r="AF988" s="1324"/>
      <c r="AG988" s="1324"/>
      <c r="AH988" s="1324"/>
      <c r="AI988" s="1324"/>
      <c r="AJ988" s="1324"/>
      <c r="AK988" s="1325"/>
      <c r="AL988" s="109"/>
    </row>
    <row r="989" spans="1:38" ht="12.75" customHeight="1">
      <c r="A989" s="55"/>
      <c r="B989" s="117"/>
      <c r="C989" s="774"/>
      <c r="D989" s="1556"/>
      <c r="E989" s="1209"/>
      <c r="F989" s="1209"/>
      <c r="G989" s="1209"/>
      <c r="H989" s="1209"/>
      <c r="I989" s="1209"/>
      <c r="J989" s="1209"/>
      <c r="K989" s="1209"/>
      <c r="L989" s="1209"/>
      <c r="M989" s="1209"/>
      <c r="N989" s="1209"/>
      <c r="O989" s="1209"/>
      <c r="P989" s="1209"/>
      <c r="Q989" s="1209"/>
      <c r="R989" s="1209"/>
      <c r="S989" s="1209"/>
      <c r="T989" s="1209"/>
      <c r="U989" s="1209"/>
      <c r="V989" s="1209"/>
      <c r="W989" s="1209"/>
      <c r="X989" s="1209"/>
      <c r="Y989" s="1210"/>
      <c r="Z989" s="117"/>
      <c r="AA989" s="775"/>
      <c r="AB989" s="775"/>
      <c r="AC989" s="128"/>
      <c r="AD989" s="1326"/>
      <c r="AE989" s="1327"/>
      <c r="AF989" s="1327"/>
      <c r="AG989" s="1327"/>
      <c r="AH989" s="1327"/>
      <c r="AI989" s="1327"/>
      <c r="AJ989" s="1327"/>
      <c r="AK989" s="1328"/>
      <c r="AL989" s="109"/>
    </row>
    <row r="990" spans="1:38" ht="12.75" customHeight="1">
      <c r="A990" s="55"/>
      <c r="B990" s="122"/>
      <c r="C990" s="123"/>
      <c r="D990" s="223" t="s">
        <v>1124</v>
      </c>
      <c r="E990" s="224"/>
      <c r="F990" s="224"/>
      <c r="G990" s="224"/>
      <c r="H990" s="108"/>
      <c r="I990" s="1557">
        <f>AM905</f>
        <v>80</v>
      </c>
      <c r="J990" s="1558"/>
      <c r="K990" s="55"/>
      <c r="L990" s="108"/>
      <c r="M990" s="224"/>
      <c r="N990" s="224"/>
      <c r="O990" s="224"/>
      <c r="P990" s="224"/>
      <c r="Q990" s="224"/>
      <c r="R990" s="224"/>
      <c r="S990" s="224"/>
      <c r="T990" s="224"/>
      <c r="U990" s="224"/>
      <c r="V990" s="108"/>
      <c r="W990" s="225" t="s">
        <v>1125</v>
      </c>
      <c r="X990" s="1390">
        <f>AT614</f>
        <v>60</v>
      </c>
      <c r="Y990" s="1391"/>
      <c r="Z990" s="1334"/>
      <c r="AA990" s="1335"/>
      <c r="AB990" s="1335"/>
      <c r="AC990" s="1336"/>
      <c r="AD990" s="1329"/>
      <c r="AE990" s="1330"/>
      <c r="AF990" s="1330"/>
      <c r="AG990" s="1330"/>
      <c r="AH990" s="1330"/>
      <c r="AI990" s="1330"/>
      <c r="AJ990" s="1330"/>
      <c r="AK990" s="1331"/>
      <c r="AL990" s="109"/>
    </row>
    <row r="991" spans="1:38" ht="12.75" customHeight="1">
      <c r="A991" s="55"/>
      <c r="B991" s="124"/>
      <c r="C991" s="222" t="s">
        <v>1206</v>
      </c>
      <c r="D991" s="1205" t="s">
        <v>1320</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7"/>
      <c r="Z991" s="117"/>
      <c r="AA991" s="1332" t="str">
        <f>IF(X993&gt;0,"Yes","No")</f>
        <v>Yes</v>
      </c>
      <c r="AB991" s="1333"/>
      <c r="AC991" s="128"/>
      <c r="AD991" s="1323">
        <f>IF((X993=0)," ",(2*AO907)*AD953)</f>
        <v>21113184</v>
      </c>
      <c r="AE991" s="1324"/>
      <c r="AF991" s="1324"/>
      <c r="AG991" s="1324"/>
      <c r="AH991" s="1324"/>
      <c r="AI991" s="1324"/>
      <c r="AJ991" s="1324"/>
      <c r="AK991" s="1325"/>
      <c r="AL991" s="109"/>
    </row>
    <row r="992" spans="1:38" ht="12.75" customHeight="1">
      <c r="A992" s="55"/>
      <c r="B992" s="117"/>
      <c r="C992" s="128"/>
      <c r="D992" s="1208"/>
      <c r="E992" s="1209"/>
      <c r="F992" s="1209"/>
      <c r="G992" s="1209"/>
      <c r="H992" s="1209"/>
      <c r="I992" s="1209"/>
      <c r="J992" s="1209"/>
      <c r="K992" s="1209"/>
      <c r="L992" s="1209"/>
      <c r="M992" s="1209"/>
      <c r="N992" s="1209"/>
      <c r="O992" s="1209"/>
      <c r="P992" s="1209"/>
      <c r="Q992" s="1209"/>
      <c r="R992" s="1209"/>
      <c r="S992" s="1209"/>
      <c r="T992" s="1209"/>
      <c r="U992" s="1209"/>
      <c r="V992" s="1209"/>
      <c r="W992" s="1209"/>
      <c r="X992" s="1209"/>
      <c r="Y992" s="1210"/>
      <c r="Z992" s="1359"/>
      <c r="AA992" s="1360"/>
      <c r="AB992" s="1360"/>
      <c r="AC992" s="1361"/>
      <c r="AD992" s="1326"/>
      <c r="AE992" s="1327"/>
      <c r="AF992" s="1327"/>
      <c r="AG992" s="1327"/>
      <c r="AH992" s="1327"/>
      <c r="AI992" s="1327"/>
      <c r="AJ992" s="1327"/>
      <c r="AK992" s="1328"/>
      <c r="AL992" s="109"/>
    </row>
    <row r="993" spans="1:38" ht="12.75" customHeight="1">
      <c r="A993" s="55"/>
      <c r="B993" s="122"/>
      <c r="C993" s="123"/>
      <c r="D993" s="223" t="s">
        <v>1124</v>
      </c>
      <c r="E993" s="224"/>
      <c r="F993" s="224"/>
      <c r="G993" s="224"/>
      <c r="H993" s="224"/>
      <c r="I993" s="1557">
        <f>AM905</f>
        <v>80</v>
      </c>
      <c r="J993" s="1558"/>
      <c r="K993" s="55"/>
      <c r="L993" s="224"/>
      <c r="M993" s="224"/>
      <c r="N993" s="224"/>
      <c r="O993" s="224"/>
      <c r="P993" s="224"/>
      <c r="Q993" s="224"/>
      <c r="R993" s="224"/>
      <c r="S993" s="224"/>
      <c r="T993" s="224"/>
      <c r="U993" s="224"/>
      <c r="V993" s="224"/>
      <c r="W993" s="225" t="s">
        <v>1126</v>
      </c>
      <c r="X993" s="1390">
        <f>AX614</f>
        <v>20</v>
      </c>
      <c r="Y993" s="1391"/>
      <c r="Z993" s="1334"/>
      <c r="AA993" s="1335"/>
      <c r="AB993" s="1335"/>
      <c r="AC993" s="1336"/>
      <c r="AD993" s="1329"/>
      <c r="AE993" s="1330"/>
      <c r="AF993" s="1330"/>
      <c r="AG993" s="1330"/>
      <c r="AH993" s="1330"/>
      <c r="AI993" s="1330"/>
      <c r="AJ993" s="1330"/>
      <c r="AK993" s="1331"/>
      <c r="AL993" s="109"/>
    </row>
    <row r="994" spans="1:38" ht="12.75" customHeight="1">
      <c r="A994" s="55"/>
      <c r="B994" s="169"/>
      <c r="C994" s="170"/>
      <c r="D994" s="1285" t="s">
        <v>590</v>
      </c>
      <c r="E994" s="1285"/>
      <c r="F994" s="1285"/>
      <c r="G994" s="1285"/>
      <c r="H994" s="1285"/>
      <c r="I994" s="1285"/>
      <c r="J994" s="1285"/>
      <c r="K994" s="1285"/>
      <c r="L994" s="1285"/>
      <c r="M994" s="1285"/>
      <c r="N994" s="1285"/>
      <c r="O994" s="1285"/>
      <c r="P994" s="1285"/>
      <c r="Q994" s="1285"/>
      <c r="R994" s="1285"/>
      <c r="S994" s="1285"/>
      <c r="T994" s="1285"/>
      <c r="U994" s="1285"/>
      <c r="V994" s="1285"/>
      <c r="W994" s="1285"/>
      <c r="X994" s="1285"/>
      <c r="Y994" s="1285"/>
      <c r="Z994" s="1285"/>
      <c r="AA994" s="1285"/>
      <c r="AB994" s="1285"/>
      <c r="AC994" s="1286"/>
      <c r="AD994" s="1273">
        <f>SUM(AD953:AK993)</f>
        <v>95009328</v>
      </c>
      <c r="AE994" s="1274"/>
      <c r="AF994" s="1274"/>
      <c r="AG994" s="1274"/>
      <c r="AH994" s="1274"/>
      <c r="AI994" s="1274"/>
      <c r="AJ994" s="1274"/>
      <c r="AK994" s="1275"/>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212"/>
      <c r="Y997" s="1212"/>
      <c r="Z997" s="1212"/>
      <c r="AA997" s="1212"/>
      <c r="AB997" s="1212"/>
      <c r="AC997" s="1212"/>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213"/>
      <c r="Y998" s="1213"/>
      <c r="Z998" s="1213"/>
      <c r="AA998" s="1213"/>
      <c r="AB998" s="1213"/>
      <c r="AC998" s="1213"/>
      <c r="AD998" s="366"/>
      <c r="AE998" s="366"/>
      <c r="AF998" s="366"/>
      <c r="AG998" s="366"/>
      <c r="AH998" s="366"/>
      <c r="AI998" s="366"/>
      <c r="AJ998" s="366"/>
      <c r="AK998" s="366"/>
      <c r="AL998" s="109"/>
    </row>
    <row r="999" spans="1:38" ht="12.75" customHeight="1">
      <c r="A999" s="55"/>
      <c r="B999" s="119"/>
      <c r="C999" s="370"/>
      <c r="D999" s="1544"/>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4"/>
      <c r="AF999" s="1544"/>
      <c r="AG999" s="1544"/>
      <c r="AH999" s="1544"/>
      <c r="AI999" s="1544"/>
      <c r="AJ999" s="1544"/>
      <c r="AK999" s="1544"/>
      <c r="AL999" s="109"/>
    </row>
    <row r="1000" spans="1:38" ht="12.75" customHeight="1">
      <c r="A1000" s="55"/>
      <c r="B1000" s="119"/>
      <c r="C1000" s="370"/>
      <c r="D1000" s="1544"/>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4"/>
      <c r="AB1000" s="1544"/>
      <c r="AC1000" s="1544"/>
      <c r="AD1000" s="1544"/>
      <c r="AE1000" s="1544"/>
      <c r="AF1000" s="1544"/>
      <c r="AG1000" s="1544"/>
      <c r="AH1000" s="1544"/>
      <c r="AI1000" s="1544"/>
      <c r="AJ1000" s="1544"/>
      <c r="AK1000" s="1544"/>
      <c r="AL1000" s="109"/>
    </row>
    <row r="1001" spans="1:38" ht="12.75" customHeight="1">
      <c r="A1001" s="55"/>
      <c r="B1001" s="119"/>
      <c r="C1001" s="370"/>
      <c r="D1001" s="1544"/>
      <c r="E1001" s="1544"/>
      <c r="F1001" s="1544"/>
      <c r="G1001" s="1544"/>
      <c r="H1001" s="1544"/>
      <c r="I1001" s="1544"/>
      <c r="J1001" s="1544"/>
      <c r="K1001" s="1544"/>
      <c r="L1001" s="1544"/>
      <c r="M1001" s="1544"/>
      <c r="N1001" s="1544"/>
      <c r="O1001" s="1544"/>
      <c r="P1001" s="1544"/>
      <c r="Q1001" s="1544"/>
      <c r="R1001" s="1544"/>
      <c r="S1001" s="1544"/>
      <c r="T1001" s="1544"/>
      <c r="U1001" s="1544"/>
      <c r="V1001" s="1544"/>
      <c r="W1001" s="1544"/>
      <c r="X1001" s="1544"/>
      <c r="Y1001" s="1544"/>
      <c r="Z1001" s="1544"/>
      <c r="AA1001" s="1544"/>
      <c r="AB1001" s="1544"/>
      <c r="AC1001" s="1544"/>
      <c r="AD1001" s="1544"/>
      <c r="AE1001" s="1544"/>
      <c r="AF1001" s="1544"/>
      <c r="AG1001" s="1544"/>
      <c r="AH1001" s="1544"/>
      <c r="AI1001" s="1544"/>
      <c r="AJ1001" s="1544"/>
      <c r="AK1001" s="1544"/>
      <c r="AL1001" s="109"/>
    </row>
    <row r="1002" spans="1:38" ht="12.6" customHeight="1">
      <c r="A1002" s="55"/>
      <c r="B1002" s="119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196"/>
      <c r="D1002" s="1196"/>
      <c r="E1002" s="1196"/>
      <c r="F1002" s="1196"/>
      <c r="G1002" s="1196"/>
      <c r="H1002" s="1196"/>
      <c r="I1002" s="1196"/>
      <c r="J1002" s="1196"/>
      <c r="K1002" s="1196"/>
      <c r="L1002" s="1196"/>
      <c r="M1002" s="1196"/>
      <c r="N1002" s="1196"/>
      <c r="O1002" s="1196"/>
      <c r="P1002" s="1196"/>
      <c r="Q1002" s="1196"/>
      <c r="R1002" s="1196"/>
      <c r="S1002" s="1196"/>
      <c r="T1002" s="1196"/>
      <c r="U1002" s="1196"/>
      <c r="V1002" s="1196"/>
      <c r="W1002" s="1196"/>
      <c r="X1002" s="1196"/>
      <c r="Y1002" s="1196"/>
      <c r="Z1002" s="1196"/>
      <c r="AA1002" s="1196"/>
      <c r="AB1002" s="1196"/>
      <c r="AC1002" s="1196"/>
      <c r="AD1002" s="1196"/>
      <c r="AE1002" s="1196"/>
      <c r="AF1002" s="1196"/>
      <c r="AG1002" s="1196"/>
      <c r="AH1002" s="1196"/>
      <c r="AI1002" s="1196"/>
      <c r="AJ1002" s="1196"/>
      <c r="AK1002" s="1196"/>
      <c r="AL1002" s="109"/>
    </row>
    <row r="1003" spans="1:38" ht="12.6" customHeight="1">
      <c r="A1003" s="135"/>
      <c r="B1003" s="1196"/>
      <c r="C1003" s="1196"/>
      <c r="D1003" s="1196"/>
      <c r="E1003" s="1196"/>
      <c r="F1003" s="1196"/>
      <c r="G1003" s="1196"/>
      <c r="H1003" s="1196"/>
      <c r="I1003" s="1196"/>
      <c r="J1003" s="1196"/>
      <c r="K1003" s="1196"/>
      <c r="L1003" s="1196"/>
      <c r="M1003" s="1196"/>
      <c r="N1003" s="1196"/>
      <c r="O1003" s="1196"/>
      <c r="P1003" s="1196"/>
      <c r="Q1003" s="1196"/>
      <c r="R1003" s="1196"/>
      <c r="S1003" s="1196"/>
      <c r="T1003" s="1196"/>
      <c r="U1003" s="1196"/>
      <c r="V1003" s="1196"/>
      <c r="W1003" s="1196"/>
      <c r="X1003" s="1196"/>
      <c r="Y1003" s="1196"/>
      <c r="Z1003" s="1196"/>
      <c r="AA1003" s="1196"/>
      <c r="AB1003" s="1196"/>
      <c r="AC1003" s="1196"/>
      <c r="AD1003" s="1196"/>
      <c r="AE1003" s="1196"/>
      <c r="AF1003" s="1196"/>
      <c r="AG1003" s="1196"/>
      <c r="AH1003" s="1196"/>
      <c r="AI1003" s="1196"/>
      <c r="AJ1003" s="1196"/>
      <c r="AK1003" s="1196"/>
      <c r="AL1003" s="109"/>
    </row>
    <row r="1004" spans="1:38" ht="12.6" customHeight="1">
      <c r="A1004" s="135"/>
      <c r="B1004" s="1195">
        <f>IF(ISNA(IF((AD973&gt;(AD953*0.15)),"(f) cannot be greater than 15% of unadjusted eligible basis.",0)),"",(IF((AD973&gt;(AD953*0.15)),"(f) cannot be greater than 15% of unadjusted eligible basis.",0)))</f>
        <v>0</v>
      </c>
      <c r="C1004" s="1195"/>
      <c r="D1004" s="1195"/>
      <c r="E1004" s="1195"/>
      <c r="F1004" s="1195"/>
      <c r="G1004" s="1195"/>
      <c r="H1004" s="1195"/>
      <c r="I1004" s="1195"/>
      <c r="J1004" s="1195"/>
      <c r="K1004" s="1195"/>
      <c r="L1004" s="1195"/>
      <c r="M1004" s="1195"/>
      <c r="N1004" s="1195"/>
      <c r="O1004" s="1195"/>
      <c r="P1004" s="1195"/>
      <c r="Q1004" s="1195"/>
      <c r="R1004" s="1195"/>
      <c r="S1004" s="1195"/>
      <c r="T1004" s="1195"/>
      <c r="U1004" s="1195"/>
      <c r="V1004" s="1195"/>
      <c r="W1004" s="1195"/>
      <c r="X1004" s="1195"/>
      <c r="Y1004" s="1195"/>
      <c r="Z1004" s="1195"/>
      <c r="AA1004" s="1195"/>
      <c r="AB1004" s="1195"/>
      <c r="AC1004" s="1195"/>
      <c r="AD1004" s="1195"/>
      <c r="AE1004" s="1195"/>
      <c r="AF1004" s="1195"/>
      <c r="AG1004" s="1195"/>
      <c r="AH1004" s="1195"/>
      <c r="AI1004" s="1195"/>
      <c r="AJ1004" s="1195"/>
      <c r="AK1004" s="1195"/>
      <c r="AL1004" s="109"/>
    </row>
    <row r="1005" spans="1:38" ht="12.6" customHeight="1" thickBot="1">
      <c r="A1005" s="1272" t="s">
        <v>909</v>
      </c>
      <c r="B1005" s="1272"/>
      <c r="C1005" s="1272"/>
      <c r="D1005" s="1272"/>
      <c r="E1005" s="1272"/>
      <c r="F1005" s="1272"/>
      <c r="G1005" s="1272"/>
      <c r="H1005" s="1272"/>
      <c r="I1005" s="1272"/>
      <c r="J1005" s="1272"/>
      <c r="K1005" s="1272"/>
      <c r="L1005" s="1272"/>
      <c r="M1005" s="1272"/>
      <c r="N1005" s="1272"/>
      <c r="O1005" s="1272"/>
      <c r="P1005" s="1272"/>
      <c r="Q1005" s="1272"/>
      <c r="R1005" s="1272"/>
      <c r="S1005" s="1272"/>
      <c r="T1005" s="1272"/>
      <c r="U1005" s="1272"/>
      <c r="V1005" s="1272"/>
      <c r="W1005" s="1272"/>
      <c r="X1005" s="1272"/>
      <c r="Y1005" s="1272"/>
      <c r="Z1005" s="1272"/>
      <c r="AA1005" s="1272"/>
      <c r="AB1005" s="1272"/>
      <c r="AC1005" s="1272"/>
      <c r="AD1005" s="1272"/>
      <c r="AE1005" s="1272"/>
      <c r="AF1005" s="1272"/>
      <c r="AG1005" s="1272"/>
      <c r="AH1005" s="1272"/>
      <c r="AI1005" s="1272"/>
      <c r="AJ1005" s="1272"/>
      <c r="AK1005" s="1272"/>
      <c r="AL1005" s="1272"/>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910</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911</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22" t="s">
        <v>672</v>
      </c>
      <c r="B1009" s="1122"/>
      <c r="C1009" s="16">
        <v>1</v>
      </c>
      <c r="D1009" s="1007" t="s">
        <v>1336</v>
      </c>
      <c r="E1009" s="1007"/>
      <c r="F1009" s="1007"/>
      <c r="G1009" s="1007"/>
      <c r="H1009" s="1007"/>
      <c r="I1009" s="1007"/>
      <c r="J1009" s="1007"/>
      <c r="K1009" s="1007"/>
      <c r="L1009" s="1007"/>
      <c r="M1009" s="1007"/>
      <c r="N1009" s="1007"/>
      <c r="O1009" s="1007"/>
      <c r="P1009" s="1007"/>
      <c r="Q1009" s="1007"/>
      <c r="R1009" s="1007"/>
      <c r="S1009" s="1007"/>
      <c r="T1009" s="1007"/>
      <c r="U1009" s="1007"/>
      <c r="V1009" s="1007"/>
      <c r="W1009" s="1007"/>
      <c r="X1009" s="1007"/>
      <c r="Y1009" s="1007"/>
      <c r="Z1009" s="1007"/>
      <c r="AA1009" s="1007"/>
      <c r="AB1009" s="1007"/>
      <c r="AC1009" s="1007"/>
      <c r="AD1009" s="1007"/>
      <c r="AE1009" s="1007"/>
      <c r="AF1009" s="1007"/>
      <c r="AG1009" s="1007"/>
      <c r="AH1009" s="1007"/>
      <c r="AI1009" s="1007"/>
      <c r="AJ1009" s="1007"/>
      <c r="AK1009" s="1007"/>
      <c r="AL1009" s="138"/>
    </row>
    <row r="1010" spans="1:38" ht="12.6" customHeight="1">
      <c r="A1010" s="259"/>
      <c r="B1010" s="259"/>
      <c r="C1010" s="16"/>
      <c r="D1010" s="1007"/>
      <c r="E1010" s="1007"/>
      <c r="F1010" s="1007"/>
      <c r="G1010" s="1007"/>
      <c r="H1010" s="1007"/>
      <c r="I1010" s="1007"/>
      <c r="J1010" s="1007"/>
      <c r="K1010" s="1007"/>
      <c r="L1010" s="1007"/>
      <c r="M1010" s="1007"/>
      <c r="N1010" s="1007"/>
      <c r="O1010" s="1007"/>
      <c r="P1010" s="1007"/>
      <c r="Q1010" s="1007"/>
      <c r="R1010" s="1007"/>
      <c r="S1010" s="1007"/>
      <c r="T1010" s="1007"/>
      <c r="U1010" s="1007"/>
      <c r="V1010" s="1007"/>
      <c r="W1010" s="1007"/>
      <c r="X1010" s="1007"/>
      <c r="Y1010" s="1007"/>
      <c r="Z1010" s="1007"/>
      <c r="AA1010" s="1007"/>
      <c r="AB1010" s="1007"/>
      <c r="AC1010" s="1007"/>
      <c r="AD1010" s="1007"/>
      <c r="AE1010" s="1007"/>
      <c r="AF1010" s="1007"/>
      <c r="AG1010" s="1007"/>
      <c r="AH1010" s="1007"/>
      <c r="AI1010" s="1007"/>
      <c r="AJ1010" s="1007"/>
      <c r="AK1010" s="1007"/>
      <c r="AL1010" s="138"/>
    </row>
    <row r="1011" spans="1:38" ht="12.6" customHeight="1">
      <c r="A1011" s="259"/>
      <c r="B1011" s="259"/>
      <c r="C1011" s="16"/>
      <c r="D1011" s="1007"/>
      <c r="E1011" s="1007"/>
      <c r="F1011" s="1007"/>
      <c r="G1011" s="1007"/>
      <c r="H1011" s="1007"/>
      <c r="I1011" s="1007"/>
      <c r="J1011" s="1007"/>
      <c r="K1011" s="1007"/>
      <c r="L1011" s="1007"/>
      <c r="M1011" s="1007"/>
      <c r="N1011" s="1007"/>
      <c r="O1011" s="1007"/>
      <c r="P1011" s="1007"/>
      <c r="Q1011" s="1007"/>
      <c r="R1011" s="1007"/>
      <c r="S1011" s="1007"/>
      <c r="T1011" s="1007"/>
      <c r="U1011" s="1007"/>
      <c r="V1011" s="1007"/>
      <c r="W1011" s="1007"/>
      <c r="X1011" s="1007"/>
      <c r="Y1011" s="1007"/>
      <c r="Z1011" s="1007"/>
      <c r="AA1011" s="1007"/>
      <c r="AB1011" s="1007"/>
      <c r="AC1011" s="1007"/>
      <c r="AD1011" s="1007"/>
      <c r="AE1011" s="1007"/>
      <c r="AF1011" s="1007"/>
      <c r="AG1011" s="1007"/>
      <c r="AH1011" s="1007"/>
      <c r="AI1011" s="1007"/>
      <c r="AJ1011" s="1007"/>
      <c r="AK1011" s="1007"/>
      <c r="AL1011" s="109"/>
    </row>
    <row r="1012" spans="1:38" ht="12.6" customHeight="1">
      <c r="A1012" s="259"/>
      <c r="B1012" s="259"/>
      <c r="C1012" s="16"/>
      <c r="D1012" s="1007"/>
      <c r="E1012" s="1007"/>
      <c r="F1012" s="1007"/>
      <c r="G1012" s="1007"/>
      <c r="H1012" s="1007"/>
      <c r="I1012" s="1007"/>
      <c r="J1012" s="1007"/>
      <c r="K1012" s="1007"/>
      <c r="L1012" s="1007"/>
      <c r="M1012" s="1007"/>
      <c r="N1012" s="1007"/>
      <c r="O1012" s="1007"/>
      <c r="P1012" s="1007"/>
      <c r="Q1012" s="1007"/>
      <c r="R1012" s="1007"/>
      <c r="S1012" s="1007"/>
      <c r="T1012" s="1007"/>
      <c r="U1012" s="1007"/>
      <c r="V1012" s="1007"/>
      <c r="W1012" s="1007"/>
      <c r="X1012" s="1007"/>
      <c r="Y1012" s="1007"/>
      <c r="Z1012" s="1007"/>
      <c r="AA1012" s="1007"/>
      <c r="AB1012" s="1007"/>
      <c r="AC1012" s="1007"/>
      <c r="AD1012" s="1007"/>
      <c r="AE1012" s="1007"/>
      <c r="AF1012" s="1007"/>
      <c r="AG1012" s="1007"/>
      <c r="AH1012" s="1007"/>
      <c r="AI1012" s="1007"/>
      <c r="AJ1012" s="1007"/>
      <c r="AK1012" s="1007"/>
      <c r="AL1012" s="109"/>
    </row>
    <row r="1013" spans="1:38" ht="12.6" customHeight="1">
      <c r="A1013" s="259"/>
      <c r="B1013" s="259"/>
      <c r="C1013" s="16"/>
      <c r="D1013" s="1007"/>
      <c r="E1013" s="1007"/>
      <c r="F1013" s="1007"/>
      <c r="G1013" s="1007"/>
      <c r="H1013" s="1007"/>
      <c r="I1013" s="1007"/>
      <c r="J1013" s="1007"/>
      <c r="K1013" s="1007"/>
      <c r="L1013" s="1007"/>
      <c r="M1013" s="1007"/>
      <c r="N1013" s="1007"/>
      <c r="O1013" s="1007"/>
      <c r="P1013" s="1007"/>
      <c r="Q1013" s="1007"/>
      <c r="R1013" s="1007"/>
      <c r="S1013" s="1007"/>
      <c r="T1013" s="1007"/>
      <c r="U1013" s="1007"/>
      <c r="V1013" s="1007"/>
      <c r="W1013" s="1007"/>
      <c r="X1013" s="1007"/>
      <c r="Y1013" s="1007"/>
      <c r="Z1013" s="1007"/>
      <c r="AA1013" s="1007"/>
      <c r="AB1013" s="1007"/>
      <c r="AC1013" s="1007"/>
      <c r="AD1013" s="1007"/>
      <c r="AE1013" s="1007"/>
      <c r="AF1013" s="1007"/>
      <c r="AG1013" s="1007"/>
      <c r="AH1013" s="1007"/>
      <c r="AI1013" s="1007"/>
      <c r="AJ1013" s="1007"/>
      <c r="AK1013" s="1007"/>
      <c r="AL1013" s="109"/>
    </row>
    <row r="1014" spans="1:38" ht="12.6" customHeight="1">
      <c r="A1014" s="41"/>
      <c r="B1014" s="70"/>
      <c r="C1014" s="16"/>
      <c r="D1014" s="1007"/>
      <c r="E1014" s="1007"/>
      <c r="F1014" s="1007"/>
      <c r="G1014" s="1007"/>
      <c r="H1014" s="1007"/>
      <c r="I1014" s="1007"/>
      <c r="J1014" s="1007"/>
      <c r="K1014" s="1007"/>
      <c r="L1014" s="1007"/>
      <c r="M1014" s="1007"/>
      <c r="N1014" s="1007"/>
      <c r="O1014" s="1007"/>
      <c r="P1014" s="1007"/>
      <c r="Q1014" s="1007"/>
      <c r="R1014" s="1007"/>
      <c r="S1014" s="1007"/>
      <c r="T1014" s="1007"/>
      <c r="U1014" s="1007"/>
      <c r="V1014" s="1007"/>
      <c r="W1014" s="1007"/>
      <c r="X1014" s="1007"/>
      <c r="Y1014" s="1007"/>
      <c r="Z1014" s="1007"/>
      <c r="AA1014" s="1007"/>
      <c r="AB1014" s="1007"/>
      <c r="AC1014" s="1007"/>
      <c r="AD1014" s="1007"/>
      <c r="AE1014" s="1007"/>
      <c r="AF1014" s="1007"/>
      <c r="AG1014" s="1007"/>
      <c r="AH1014" s="1007"/>
      <c r="AI1014" s="1007"/>
      <c r="AJ1014" s="1007"/>
      <c r="AK1014" s="1007"/>
      <c r="AL1014" s="109"/>
    </row>
    <row r="1015" spans="1:38" ht="12.6" customHeight="1">
      <c r="A1015" s="1122" t="s">
        <v>672</v>
      </c>
      <c r="B1015" s="1122"/>
      <c r="C1015" s="16">
        <v>2</v>
      </c>
      <c r="D1015" s="1007" t="s">
        <v>1335</v>
      </c>
      <c r="E1015" s="1007"/>
      <c r="F1015" s="1007"/>
      <c r="G1015" s="1007"/>
      <c r="H1015" s="1007"/>
      <c r="I1015" s="1007"/>
      <c r="J1015" s="1007"/>
      <c r="K1015" s="1007"/>
      <c r="L1015" s="1007"/>
      <c r="M1015" s="1007"/>
      <c r="N1015" s="1007"/>
      <c r="O1015" s="1007"/>
      <c r="P1015" s="1007"/>
      <c r="Q1015" s="1007"/>
      <c r="R1015" s="1007"/>
      <c r="S1015" s="1007"/>
      <c r="T1015" s="1007"/>
      <c r="U1015" s="1007"/>
      <c r="V1015" s="1007"/>
      <c r="W1015" s="1007"/>
      <c r="X1015" s="1007"/>
      <c r="Y1015" s="1007"/>
      <c r="Z1015" s="1007"/>
      <c r="AA1015" s="1007"/>
      <c r="AB1015" s="1007"/>
      <c r="AC1015" s="1007"/>
      <c r="AD1015" s="1007"/>
      <c r="AE1015" s="1007"/>
      <c r="AF1015" s="1007"/>
      <c r="AG1015" s="1007"/>
      <c r="AH1015" s="1007"/>
      <c r="AI1015" s="1007"/>
      <c r="AJ1015" s="1007"/>
      <c r="AK1015" s="1007"/>
      <c r="AL1015" s="109"/>
    </row>
    <row r="1016" spans="1:38" ht="12.6" customHeight="1">
      <c r="A1016" s="259"/>
      <c r="B1016" s="259"/>
      <c r="C1016" s="16"/>
      <c r="D1016" s="1007"/>
      <c r="E1016" s="1007"/>
      <c r="F1016" s="1007"/>
      <c r="G1016" s="1007"/>
      <c r="H1016" s="1007"/>
      <c r="I1016" s="1007"/>
      <c r="J1016" s="1007"/>
      <c r="K1016" s="1007"/>
      <c r="L1016" s="1007"/>
      <c r="M1016" s="1007"/>
      <c r="N1016" s="1007"/>
      <c r="O1016" s="1007"/>
      <c r="P1016" s="1007"/>
      <c r="Q1016" s="1007"/>
      <c r="R1016" s="1007"/>
      <c r="S1016" s="1007"/>
      <c r="T1016" s="1007"/>
      <c r="U1016" s="1007"/>
      <c r="V1016" s="1007"/>
      <c r="W1016" s="1007"/>
      <c r="X1016" s="1007"/>
      <c r="Y1016" s="1007"/>
      <c r="Z1016" s="1007"/>
      <c r="AA1016" s="1007"/>
      <c r="AB1016" s="1007"/>
      <c r="AC1016" s="1007"/>
      <c r="AD1016" s="1007"/>
      <c r="AE1016" s="1007"/>
      <c r="AF1016" s="1007"/>
      <c r="AG1016" s="1007"/>
      <c r="AH1016" s="1007"/>
      <c r="AI1016" s="1007"/>
      <c r="AJ1016" s="1007"/>
      <c r="AK1016" s="1007"/>
      <c r="AL1016" s="109"/>
    </row>
    <row r="1017" spans="1:38" ht="12.6" customHeight="1">
      <c r="A1017" s="259"/>
      <c r="B1017" s="259"/>
      <c r="C1017" s="16"/>
      <c r="D1017" s="1007"/>
      <c r="E1017" s="1007"/>
      <c r="F1017" s="1007"/>
      <c r="G1017" s="1007"/>
      <c r="H1017" s="1007"/>
      <c r="I1017" s="1007"/>
      <c r="J1017" s="1007"/>
      <c r="K1017" s="1007"/>
      <c r="L1017" s="1007"/>
      <c r="M1017" s="1007"/>
      <c r="N1017" s="1007"/>
      <c r="O1017" s="1007"/>
      <c r="P1017" s="1007"/>
      <c r="Q1017" s="1007"/>
      <c r="R1017" s="1007"/>
      <c r="S1017" s="1007"/>
      <c r="T1017" s="1007"/>
      <c r="U1017" s="1007"/>
      <c r="V1017" s="1007"/>
      <c r="W1017" s="1007"/>
      <c r="X1017" s="1007"/>
      <c r="Y1017" s="1007"/>
      <c r="Z1017" s="1007"/>
      <c r="AA1017" s="1007"/>
      <c r="AB1017" s="1007"/>
      <c r="AC1017" s="1007"/>
      <c r="AD1017" s="1007"/>
      <c r="AE1017" s="1007"/>
      <c r="AF1017" s="1007"/>
      <c r="AG1017" s="1007"/>
      <c r="AH1017" s="1007"/>
      <c r="AI1017" s="1007"/>
      <c r="AJ1017" s="1007"/>
      <c r="AK1017" s="1007"/>
      <c r="AL1017" s="109"/>
    </row>
    <row r="1018" spans="1:38" ht="12.6" customHeight="1">
      <c r="A1018" s="259"/>
      <c r="B1018" s="259"/>
      <c r="C1018" s="16"/>
      <c r="D1018" s="1007"/>
      <c r="E1018" s="1007"/>
      <c r="F1018" s="1007"/>
      <c r="G1018" s="1007"/>
      <c r="H1018" s="1007"/>
      <c r="I1018" s="1007"/>
      <c r="J1018" s="1007"/>
      <c r="K1018" s="1007"/>
      <c r="L1018" s="1007"/>
      <c r="M1018" s="1007"/>
      <c r="N1018" s="1007"/>
      <c r="O1018" s="1007"/>
      <c r="P1018" s="1007"/>
      <c r="Q1018" s="1007"/>
      <c r="R1018" s="1007"/>
      <c r="S1018" s="1007"/>
      <c r="T1018" s="1007"/>
      <c r="U1018" s="1007"/>
      <c r="V1018" s="1007"/>
      <c r="W1018" s="1007"/>
      <c r="X1018" s="1007"/>
      <c r="Y1018" s="1007"/>
      <c r="Z1018" s="1007"/>
      <c r="AA1018" s="1007"/>
      <c r="AB1018" s="1007"/>
      <c r="AC1018" s="1007"/>
      <c r="AD1018" s="1007"/>
      <c r="AE1018" s="1007"/>
      <c r="AF1018" s="1007"/>
      <c r="AG1018" s="1007"/>
      <c r="AH1018" s="1007"/>
      <c r="AI1018" s="1007"/>
      <c r="AJ1018" s="1007"/>
      <c r="AK1018" s="1007"/>
      <c r="AL1018" s="109"/>
    </row>
    <row r="1019" spans="1:38" ht="12.6" customHeight="1">
      <c r="A1019" s="259"/>
      <c r="B1019" s="259"/>
      <c r="C1019" s="16"/>
      <c r="D1019" s="1007"/>
      <c r="E1019" s="1007"/>
      <c r="F1019" s="1007"/>
      <c r="G1019" s="1007"/>
      <c r="H1019" s="1007"/>
      <c r="I1019" s="1007"/>
      <c r="J1019" s="1007"/>
      <c r="K1019" s="1007"/>
      <c r="L1019" s="1007"/>
      <c r="M1019" s="1007"/>
      <c r="N1019" s="1007"/>
      <c r="O1019" s="1007"/>
      <c r="P1019" s="1007"/>
      <c r="Q1019" s="1007"/>
      <c r="R1019" s="1007"/>
      <c r="S1019" s="1007"/>
      <c r="T1019" s="1007"/>
      <c r="U1019" s="1007"/>
      <c r="V1019" s="1007"/>
      <c r="W1019" s="1007"/>
      <c r="X1019" s="1007"/>
      <c r="Y1019" s="1007"/>
      <c r="Z1019" s="1007"/>
      <c r="AA1019" s="1007"/>
      <c r="AB1019" s="1007"/>
      <c r="AC1019" s="1007"/>
      <c r="AD1019" s="1007"/>
      <c r="AE1019" s="1007"/>
      <c r="AF1019" s="1007"/>
      <c r="AG1019" s="1007"/>
      <c r="AH1019" s="1007"/>
      <c r="AI1019" s="1007"/>
      <c r="AJ1019" s="1007"/>
      <c r="AK1019" s="1007"/>
      <c r="AL1019" s="109"/>
    </row>
    <row r="1020" spans="1:38" ht="12.6" customHeight="1">
      <c r="A1020" s="259"/>
      <c r="B1020" s="259"/>
      <c r="C1020" s="16"/>
      <c r="D1020" s="1007"/>
      <c r="E1020" s="1007"/>
      <c r="F1020" s="1007"/>
      <c r="G1020" s="1007"/>
      <c r="H1020" s="1007"/>
      <c r="I1020" s="1007"/>
      <c r="J1020" s="1007"/>
      <c r="K1020" s="1007"/>
      <c r="L1020" s="1007"/>
      <c r="M1020" s="1007"/>
      <c r="N1020" s="1007"/>
      <c r="O1020" s="1007"/>
      <c r="P1020" s="1007"/>
      <c r="Q1020" s="1007"/>
      <c r="R1020" s="1007"/>
      <c r="S1020" s="1007"/>
      <c r="T1020" s="1007"/>
      <c r="U1020" s="1007"/>
      <c r="V1020" s="1007"/>
      <c r="W1020" s="1007"/>
      <c r="X1020" s="1007"/>
      <c r="Y1020" s="1007"/>
      <c r="Z1020" s="1007"/>
      <c r="AA1020" s="1007"/>
      <c r="AB1020" s="1007"/>
      <c r="AC1020" s="1007"/>
      <c r="AD1020" s="1007"/>
      <c r="AE1020" s="1007"/>
      <c r="AF1020" s="1007"/>
      <c r="AG1020" s="1007"/>
      <c r="AH1020" s="1007"/>
      <c r="AI1020" s="1007"/>
      <c r="AJ1020" s="1007"/>
      <c r="AK1020" s="1007"/>
    </row>
    <row r="1021" spans="1:38" ht="12.6" customHeight="1">
      <c r="A1021" s="1122" t="s">
        <v>672</v>
      </c>
      <c r="B1021" s="1122"/>
      <c r="C1021" s="16">
        <v>3</v>
      </c>
      <c r="D1021" s="1007" t="s">
        <v>1315</v>
      </c>
      <c r="E1021" s="1007"/>
      <c r="F1021" s="1007"/>
      <c r="G1021" s="1007"/>
      <c r="H1021" s="1007"/>
      <c r="I1021" s="1007"/>
      <c r="J1021" s="1007"/>
      <c r="K1021" s="1007"/>
      <c r="L1021" s="1007"/>
      <c r="M1021" s="1007"/>
      <c r="N1021" s="1007"/>
      <c r="O1021" s="1007"/>
      <c r="P1021" s="1007"/>
      <c r="Q1021" s="1007"/>
      <c r="R1021" s="1007"/>
      <c r="S1021" s="1007"/>
      <c r="T1021" s="1007"/>
      <c r="U1021" s="1007"/>
      <c r="V1021" s="1007"/>
      <c r="W1021" s="1007"/>
      <c r="X1021" s="1007"/>
      <c r="Y1021" s="1007"/>
      <c r="Z1021" s="1007"/>
      <c r="AA1021" s="1007"/>
      <c r="AB1021" s="1007"/>
      <c r="AC1021" s="1007"/>
      <c r="AD1021" s="1007"/>
      <c r="AE1021" s="1007"/>
      <c r="AF1021" s="1007"/>
      <c r="AG1021" s="1007"/>
      <c r="AH1021" s="1007"/>
      <c r="AI1021" s="1007"/>
      <c r="AJ1021" s="1007"/>
      <c r="AK1021" s="1007"/>
    </row>
    <row r="1022" spans="1:38" ht="12.6" customHeight="1">
      <c r="A1022" s="137"/>
      <c r="B1022" s="137"/>
      <c r="C1022" s="16"/>
      <c r="D1022" s="1007"/>
      <c r="E1022" s="1007"/>
      <c r="F1022" s="1007"/>
      <c r="G1022" s="1007"/>
      <c r="H1022" s="1007"/>
      <c r="I1022" s="1007"/>
      <c r="J1022" s="1007"/>
      <c r="K1022" s="1007"/>
      <c r="L1022" s="1007"/>
      <c r="M1022" s="1007"/>
      <c r="N1022" s="1007"/>
      <c r="O1022" s="1007"/>
      <c r="P1022" s="1007"/>
      <c r="Q1022" s="1007"/>
      <c r="R1022" s="1007"/>
      <c r="S1022" s="1007"/>
      <c r="T1022" s="1007"/>
      <c r="U1022" s="1007"/>
      <c r="V1022" s="1007"/>
      <c r="W1022" s="1007"/>
      <c r="X1022" s="1007"/>
      <c r="Y1022" s="1007"/>
      <c r="Z1022" s="1007"/>
      <c r="AA1022" s="1007"/>
      <c r="AB1022" s="1007"/>
      <c r="AC1022" s="1007"/>
      <c r="AD1022" s="1007"/>
      <c r="AE1022" s="1007"/>
      <c r="AF1022" s="1007"/>
      <c r="AG1022" s="1007"/>
      <c r="AH1022" s="1007"/>
      <c r="AI1022" s="1007"/>
      <c r="AJ1022" s="1007"/>
      <c r="AK1022" s="1007"/>
    </row>
    <row r="1023" spans="1:38" ht="12.6" customHeight="1">
      <c r="A1023" s="66"/>
      <c r="B1023" s="70"/>
      <c r="C1023" s="16"/>
      <c r="D1023" s="1007"/>
      <c r="E1023" s="1007"/>
      <c r="F1023" s="1007"/>
      <c r="G1023" s="1007"/>
      <c r="H1023" s="1007"/>
      <c r="I1023" s="1007"/>
      <c r="J1023" s="1007"/>
      <c r="K1023" s="1007"/>
      <c r="L1023" s="1007"/>
      <c r="M1023" s="1007"/>
      <c r="N1023" s="1007"/>
      <c r="O1023" s="1007"/>
      <c r="P1023" s="1007"/>
      <c r="Q1023" s="1007"/>
      <c r="R1023" s="1007"/>
      <c r="S1023" s="1007"/>
      <c r="T1023" s="1007"/>
      <c r="U1023" s="1007"/>
      <c r="V1023" s="1007"/>
      <c r="W1023" s="1007"/>
      <c r="X1023" s="1007"/>
      <c r="Y1023" s="1007"/>
      <c r="Z1023" s="1007"/>
      <c r="AA1023" s="1007"/>
      <c r="AB1023" s="1007"/>
      <c r="AC1023" s="1007"/>
      <c r="AD1023" s="1007"/>
      <c r="AE1023" s="1007"/>
      <c r="AF1023" s="1007"/>
      <c r="AG1023" s="1007"/>
      <c r="AH1023" s="1007"/>
      <c r="AI1023" s="1007"/>
      <c r="AJ1023" s="1007"/>
      <c r="AK1023" s="1007"/>
    </row>
    <row r="1024" spans="1:38" ht="12.6" customHeight="1">
      <c r="A1024" s="66"/>
      <c r="B1024" s="70"/>
      <c r="C1024" s="16"/>
      <c r="D1024" s="1007"/>
      <c r="E1024" s="1007"/>
      <c r="F1024" s="1007"/>
      <c r="G1024" s="1007"/>
      <c r="H1024" s="1007"/>
      <c r="I1024" s="1007"/>
      <c r="J1024" s="1007"/>
      <c r="K1024" s="1007"/>
      <c r="L1024" s="1007"/>
      <c r="M1024" s="1007"/>
      <c r="N1024" s="1007"/>
      <c r="O1024" s="1007"/>
      <c r="P1024" s="1007"/>
      <c r="Q1024" s="1007"/>
      <c r="R1024" s="1007"/>
      <c r="S1024" s="1007"/>
      <c r="T1024" s="1007"/>
      <c r="U1024" s="1007"/>
      <c r="V1024" s="1007"/>
      <c r="W1024" s="1007"/>
      <c r="X1024" s="1007"/>
      <c r="Y1024" s="1007"/>
      <c r="Z1024" s="1007"/>
      <c r="AA1024" s="1007"/>
      <c r="AB1024" s="1007"/>
      <c r="AC1024" s="1007"/>
      <c r="AD1024" s="1007"/>
      <c r="AE1024" s="1007"/>
      <c r="AF1024" s="1007"/>
      <c r="AG1024" s="1007"/>
      <c r="AH1024" s="1007"/>
      <c r="AI1024" s="1007"/>
      <c r="AJ1024" s="1007"/>
      <c r="AK1024" s="1007"/>
    </row>
    <row r="1025" spans="1:38" ht="12.6" customHeight="1">
      <c r="A1025" s="66"/>
      <c r="B1025" s="70"/>
      <c r="C1025" s="16"/>
      <c r="D1025" s="1007"/>
      <c r="E1025" s="1007"/>
      <c r="F1025" s="1007"/>
      <c r="G1025" s="1007"/>
      <c r="H1025" s="1007"/>
      <c r="I1025" s="1007"/>
      <c r="J1025" s="1007"/>
      <c r="K1025" s="1007"/>
      <c r="L1025" s="1007"/>
      <c r="M1025" s="1007"/>
      <c r="N1025" s="1007"/>
      <c r="O1025" s="1007"/>
      <c r="P1025" s="1007"/>
      <c r="Q1025" s="1007"/>
      <c r="R1025" s="1007"/>
      <c r="S1025" s="1007"/>
      <c r="T1025" s="1007"/>
      <c r="U1025" s="1007"/>
      <c r="V1025" s="1007"/>
      <c r="W1025" s="1007"/>
      <c r="X1025" s="1007"/>
      <c r="Y1025" s="1007"/>
      <c r="Z1025" s="1007"/>
      <c r="AA1025" s="1007"/>
      <c r="AB1025" s="1007"/>
      <c r="AC1025" s="1007"/>
      <c r="AD1025" s="1007"/>
      <c r="AE1025" s="1007"/>
      <c r="AF1025" s="1007"/>
      <c r="AG1025" s="1007"/>
      <c r="AH1025" s="1007"/>
      <c r="AI1025" s="1007"/>
      <c r="AJ1025" s="1007"/>
      <c r="AK1025" s="1007"/>
    </row>
    <row r="1026" spans="1:38" ht="12.6" customHeight="1">
      <c r="A1026" s="66"/>
      <c r="B1026" s="70"/>
      <c r="C1026" s="16"/>
      <c r="D1026" s="1007"/>
      <c r="E1026" s="1007"/>
      <c r="F1026" s="1007"/>
      <c r="G1026" s="1007"/>
      <c r="H1026" s="1007"/>
      <c r="I1026" s="1007"/>
      <c r="J1026" s="1007"/>
      <c r="K1026" s="1007"/>
      <c r="L1026" s="1007"/>
      <c r="M1026" s="1007"/>
      <c r="N1026" s="1007"/>
      <c r="O1026" s="1007"/>
      <c r="P1026" s="1007"/>
      <c r="Q1026" s="1007"/>
      <c r="R1026" s="1007"/>
      <c r="S1026" s="1007"/>
      <c r="T1026" s="1007"/>
      <c r="U1026" s="1007"/>
      <c r="V1026" s="1007"/>
      <c r="W1026" s="1007"/>
      <c r="X1026" s="1007"/>
      <c r="Y1026" s="1007"/>
      <c r="Z1026" s="1007"/>
      <c r="AA1026" s="1007"/>
      <c r="AB1026" s="1007"/>
      <c r="AC1026" s="1007"/>
      <c r="AD1026" s="1007"/>
      <c r="AE1026" s="1007"/>
      <c r="AF1026" s="1007"/>
      <c r="AG1026" s="1007"/>
      <c r="AH1026" s="1007"/>
      <c r="AI1026" s="1007"/>
      <c r="AJ1026" s="1007"/>
      <c r="AK1026" s="1007"/>
    </row>
    <row r="1027" spans="1:38" ht="12.6" customHeight="1">
      <c r="A1027" s="1122" t="s">
        <v>672</v>
      </c>
      <c r="B1027" s="1122"/>
      <c r="C1027" s="16">
        <v>4</v>
      </c>
      <c r="D1027" s="1007" t="s">
        <v>1316</v>
      </c>
      <c r="E1027" s="1007"/>
      <c r="F1027" s="1007"/>
      <c r="G1027" s="1007"/>
      <c r="H1027" s="1007"/>
      <c r="I1027" s="1007"/>
      <c r="J1027" s="1007"/>
      <c r="K1027" s="1007"/>
      <c r="L1027" s="1007"/>
      <c r="M1027" s="1007"/>
      <c r="N1027" s="1007"/>
      <c r="O1027" s="1007"/>
      <c r="P1027" s="1007"/>
      <c r="Q1027" s="1007"/>
      <c r="R1027" s="1007"/>
      <c r="S1027" s="1007"/>
      <c r="T1027" s="1007"/>
      <c r="U1027" s="1007"/>
      <c r="V1027" s="1007"/>
      <c r="W1027" s="1007"/>
      <c r="X1027" s="1007"/>
      <c r="Y1027" s="1007"/>
      <c r="Z1027" s="1007"/>
      <c r="AA1027" s="1007"/>
      <c r="AB1027" s="1007"/>
      <c r="AC1027" s="1007"/>
      <c r="AD1027" s="1007"/>
      <c r="AE1027" s="1007"/>
      <c r="AF1027" s="1007"/>
      <c r="AG1027" s="1007"/>
      <c r="AH1027" s="1007"/>
      <c r="AI1027" s="1007"/>
      <c r="AJ1027" s="1007"/>
      <c r="AK1027" s="1007"/>
    </row>
    <row r="1028" spans="1:38" s="754" customFormat="1" ht="12.6" customHeight="1">
      <c r="A1028" s="259"/>
      <c r="B1028" s="259"/>
      <c r="C1028" s="16"/>
      <c r="D1028" s="1007"/>
      <c r="E1028" s="1007"/>
      <c r="F1028" s="1007"/>
      <c r="G1028" s="1007"/>
      <c r="H1028" s="1007"/>
      <c r="I1028" s="1007"/>
      <c r="J1028" s="1007"/>
      <c r="K1028" s="1007"/>
      <c r="L1028" s="1007"/>
      <c r="M1028" s="1007"/>
      <c r="N1028" s="1007"/>
      <c r="O1028" s="1007"/>
      <c r="P1028" s="1007"/>
      <c r="Q1028" s="1007"/>
      <c r="R1028" s="1007"/>
      <c r="S1028" s="1007"/>
      <c r="T1028" s="1007"/>
      <c r="U1028" s="1007"/>
      <c r="V1028" s="1007"/>
      <c r="W1028" s="1007"/>
      <c r="X1028" s="1007"/>
      <c r="Y1028" s="1007"/>
      <c r="Z1028" s="1007"/>
      <c r="AA1028" s="1007"/>
      <c r="AB1028" s="1007"/>
      <c r="AC1028" s="1007"/>
      <c r="AD1028" s="1007"/>
      <c r="AE1028" s="1007"/>
      <c r="AF1028" s="1007"/>
      <c r="AG1028" s="1007"/>
      <c r="AH1028" s="1007"/>
      <c r="AI1028" s="1007"/>
      <c r="AJ1028" s="1007"/>
      <c r="AK1028" s="1007"/>
      <c r="AL1028" s="15"/>
    </row>
    <row r="1029" spans="1:38" ht="12.6" customHeight="1">
      <c r="A1029" s="66"/>
      <c r="B1029" s="70"/>
      <c r="C1029" s="16"/>
      <c r="D1029" s="1007"/>
      <c r="E1029" s="1007"/>
      <c r="F1029" s="1007"/>
      <c r="G1029" s="1007"/>
      <c r="H1029" s="1007"/>
      <c r="I1029" s="1007"/>
      <c r="J1029" s="1007"/>
      <c r="K1029" s="1007"/>
      <c r="L1029" s="1007"/>
      <c r="M1029" s="1007"/>
      <c r="N1029" s="1007"/>
      <c r="O1029" s="1007"/>
      <c r="P1029" s="1007"/>
      <c r="Q1029" s="1007"/>
      <c r="R1029" s="1007"/>
      <c r="S1029" s="1007"/>
      <c r="T1029" s="1007"/>
      <c r="U1029" s="1007"/>
      <c r="V1029" s="1007"/>
      <c r="W1029" s="1007"/>
      <c r="X1029" s="1007"/>
      <c r="Y1029" s="1007"/>
      <c r="Z1029" s="1007"/>
      <c r="AA1029" s="1007"/>
      <c r="AB1029" s="1007"/>
      <c r="AC1029" s="1007"/>
      <c r="AD1029" s="1007"/>
      <c r="AE1029" s="1007"/>
      <c r="AF1029" s="1007"/>
      <c r="AG1029" s="1007"/>
      <c r="AH1029" s="1007"/>
      <c r="AI1029" s="1007"/>
      <c r="AJ1029" s="1007"/>
      <c r="AK1029" s="1007"/>
    </row>
    <row r="1030" spans="1:38" ht="12.6" customHeight="1">
      <c r="A1030" s="1122" t="s">
        <v>672</v>
      </c>
      <c r="B1030" s="1122"/>
      <c r="C1030" s="16">
        <v>5</v>
      </c>
      <c r="D1030" s="1007" t="s">
        <v>1557</v>
      </c>
      <c r="E1030" s="1007"/>
      <c r="F1030" s="1007"/>
      <c r="G1030" s="1007"/>
      <c r="H1030" s="1007"/>
      <c r="I1030" s="1007"/>
      <c r="J1030" s="1007"/>
      <c r="K1030" s="1007"/>
      <c r="L1030" s="1007"/>
      <c r="M1030" s="1007"/>
      <c r="N1030" s="1007"/>
      <c r="O1030" s="1007"/>
      <c r="P1030" s="1007"/>
      <c r="Q1030" s="1007"/>
      <c r="R1030" s="1007"/>
      <c r="S1030" s="1007"/>
      <c r="T1030" s="1007"/>
      <c r="U1030" s="1007"/>
      <c r="V1030" s="1007"/>
      <c r="W1030" s="1007"/>
      <c r="X1030" s="1007"/>
      <c r="Y1030" s="1007"/>
      <c r="Z1030" s="1007"/>
      <c r="AA1030" s="1007"/>
      <c r="AB1030" s="1007"/>
      <c r="AC1030" s="1007"/>
      <c r="AD1030" s="1007"/>
      <c r="AE1030" s="1007"/>
      <c r="AF1030" s="1007"/>
      <c r="AG1030" s="1007"/>
      <c r="AH1030" s="1007"/>
      <c r="AI1030" s="1007"/>
      <c r="AJ1030" s="1007"/>
      <c r="AK1030" s="1007"/>
    </row>
    <row r="1031" spans="1:38" ht="12.6" customHeight="1">
      <c r="A1031" s="259"/>
      <c r="B1031" s="259"/>
      <c r="C1031" s="16"/>
      <c r="D1031" s="1007"/>
      <c r="E1031" s="1007"/>
      <c r="F1031" s="1007"/>
      <c r="G1031" s="1007"/>
      <c r="H1031" s="1007"/>
      <c r="I1031" s="1007"/>
      <c r="J1031" s="1007"/>
      <c r="K1031" s="1007"/>
      <c r="L1031" s="1007"/>
      <c r="M1031" s="1007"/>
      <c r="N1031" s="1007"/>
      <c r="O1031" s="1007"/>
      <c r="P1031" s="1007"/>
      <c r="Q1031" s="1007"/>
      <c r="R1031" s="1007"/>
      <c r="S1031" s="1007"/>
      <c r="T1031" s="1007"/>
      <c r="U1031" s="1007"/>
      <c r="V1031" s="1007"/>
      <c r="W1031" s="1007"/>
      <c r="X1031" s="1007"/>
      <c r="Y1031" s="1007"/>
      <c r="Z1031" s="1007"/>
      <c r="AA1031" s="1007"/>
      <c r="AB1031" s="1007"/>
      <c r="AC1031" s="1007"/>
      <c r="AD1031" s="1007"/>
      <c r="AE1031" s="1007"/>
      <c r="AF1031" s="1007"/>
      <c r="AG1031" s="1007"/>
      <c r="AH1031" s="1007"/>
      <c r="AI1031" s="1007"/>
      <c r="AJ1031" s="1007"/>
      <c r="AK1031" s="1007"/>
    </row>
    <row r="1032" spans="1:38" ht="12.6" customHeight="1">
      <c r="A1032" s="259"/>
      <c r="B1032" s="259"/>
      <c r="C1032" s="16"/>
      <c r="D1032" s="1007"/>
      <c r="E1032" s="1007"/>
      <c r="F1032" s="1007"/>
      <c r="G1032" s="1007"/>
      <c r="H1032" s="1007"/>
      <c r="I1032" s="1007"/>
      <c r="J1032" s="1007"/>
      <c r="K1032" s="1007"/>
      <c r="L1032" s="1007"/>
      <c r="M1032" s="1007"/>
      <c r="N1032" s="1007"/>
      <c r="O1032" s="1007"/>
      <c r="P1032" s="1007"/>
      <c r="Q1032" s="1007"/>
      <c r="R1032" s="1007"/>
      <c r="S1032" s="1007"/>
      <c r="T1032" s="1007"/>
      <c r="U1032" s="1007"/>
      <c r="V1032" s="1007"/>
      <c r="W1032" s="1007"/>
      <c r="X1032" s="1007"/>
      <c r="Y1032" s="1007"/>
      <c r="Z1032" s="1007"/>
      <c r="AA1032" s="1007"/>
      <c r="AB1032" s="1007"/>
      <c r="AC1032" s="1007"/>
      <c r="AD1032" s="1007"/>
      <c r="AE1032" s="1007"/>
      <c r="AF1032" s="1007"/>
      <c r="AG1032" s="1007"/>
      <c r="AH1032" s="1007"/>
      <c r="AI1032" s="1007"/>
      <c r="AJ1032" s="1007"/>
      <c r="AK1032" s="1007"/>
    </row>
    <row r="1033" spans="1:38" ht="12.6" customHeight="1">
      <c r="A1033" s="259"/>
      <c r="B1033" s="259"/>
      <c r="C1033" s="16"/>
      <c r="D1033" s="1007"/>
      <c r="E1033" s="1007"/>
      <c r="F1033" s="1007"/>
      <c r="G1033" s="1007"/>
      <c r="H1033" s="1007"/>
      <c r="I1033" s="1007"/>
      <c r="J1033" s="1007"/>
      <c r="K1033" s="1007"/>
      <c r="L1033" s="1007"/>
      <c r="M1033" s="1007"/>
      <c r="N1033" s="1007"/>
      <c r="O1033" s="1007"/>
      <c r="P1033" s="1007"/>
      <c r="Q1033" s="1007"/>
      <c r="R1033" s="1007"/>
      <c r="S1033" s="1007"/>
      <c r="T1033" s="1007"/>
      <c r="U1033" s="1007"/>
      <c r="V1033" s="1007"/>
      <c r="W1033" s="1007"/>
      <c r="X1033" s="1007"/>
      <c r="Y1033" s="1007"/>
      <c r="Z1033" s="1007"/>
      <c r="AA1033" s="1007"/>
      <c r="AB1033" s="1007"/>
      <c r="AC1033" s="1007"/>
      <c r="AD1033" s="1007"/>
      <c r="AE1033" s="1007"/>
      <c r="AF1033" s="1007"/>
      <c r="AG1033" s="1007"/>
      <c r="AH1033" s="1007"/>
      <c r="AI1033" s="1007"/>
      <c r="AJ1033" s="1007"/>
      <c r="AK1033" s="1007"/>
      <c r="AL1033" s="754"/>
    </row>
    <row r="1034" spans="1:38" ht="12.6" customHeight="1">
      <c r="A1034" s="66"/>
      <c r="B1034" s="70"/>
      <c r="C1034" s="16"/>
      <c r="D1034" s="1007"/>
      <c r="E1034" s="1007"/>
      <c r="F1034" s="1007"/>
      <c r="G1034" s="1007"/>
      <c r="H1034" s="1007"/>
      <c r="I1034" s="1007"/>
      <c r="J1034" s="1007"/>
      <c r="K1034" s="1007"/>
      <c r="L1034" s="1007"/>
      <c r="M1034" s="1007"/>
      <c r="N1034" s="1007"/>
      <c r="O1034" s="1007"/>
      <c r="P1034" s="1007"/>
      <c r="Q1034" s="1007"/>
      <c r="R1034" s="1007"/>
      <c r="S1034" s="1007"/>
      <c r="T1034" s="1007"/>
      <c r="U1034" s="1007"/>
      <c r="V1034" s="1007"/>
      <c r="W1034" s="1007"/>
      <c r="X1034" s="1007"/>
      <c r="Y1034" s="1007"/>
      <c r="Z1034" s="1007"/>
      <c r="AA1034" s="1007"/>
      <c r="AB1034" s="1007"/>
      <c r="AC1034" s="1007"/>
      <c r="AD1034" s="1007"/>
      <c r="AE1034" s="1007"/>
      <c r="AF1034" s="1007"/>
      <c r="AG1034" s="1007"/>
      <c r="AH1034" s="1007"/>
      <c r="AI1034" s="1007"/>
      <c r="AJ1034" s="1007"/>
      <c r="AK1034" s="1007"/>
    </row>
    <row r="1035" spans="1:38" ht="12.6" customHeight="1">
      <c r="A1035" s="1122" t="s">
        <v>672</v>
      </c>
      <c r="B1035" s="1122"/>
      <c r="C1035" s="16">
        <v>6</v>
      </c>
      <c r="D1035" s="1007" t="s">
        <v>1317</v>
      </c>
      <c r="E1035" s="1007"/>
      <c r="F1035" s="1007"/>
      <c r="G1035" s="1007"/>
      <c r="H1035" s="1007"/>
      <c r="I1035" s="1007"/>
      <c r="J1035" s="1007"/>
      <c r="K1035" s="1007"/>
      <c r="L1035" s="1007"/>
      <c r="M1035" s="1007"/>
      <c r="N1035" s="1007"/>
      <c r="O1035" s="1007"/>
      <c r="P1035" s="1007"/>
      <c r="Q1035" s="1007"/>
      <c r="R1035" s="1007"/>
      <c r="S1035" s="1007"/>
      <c r="T1035" s="1007"/>
      <c r="U1035" s="1007"/>
      <c r="V1035" s="1007"/>
      <c r="W1035" s="1007"/>
      <c r="X1035" s="1007"/>
      <c r="Y1035" s="1007"/>
      <c r="Z1035" s="1007"/>
      <c r="AA1035" s="1007"/>
      <c r="AB1035" s="1007"/>
      <c r="AC1035" s="1007"/>
      <c r="AD1035" s="1007"/>
      <c r="AE1035" s="1007"/>
      <c r="AF1035" s="1007"/>
      <c r="AG1035" s="1007"/>
      <c r="AH1035" s="1007"/>
      <c r="AI1035" s="1007"/>
      <c r="AJ1035" s="1007"/>
      <c r="AK1035" s="1007"/>
    </row>
    <row r="1036" spans="1:38" ht="12.6" customHeight="1">
      <c r="A1036" s="66"/>
      <c r="B1036" s="347"/>
      <c r="C1036" s="16"/>
      <c r="D1036" s="1007"/>
      <c r="E1036" s="1007"/>
      <c r="F1036" s="1007"/>
      <c r="G1036" s="1007"/>
      <c r="H1036" s="1007"/>
      <c r="I1036" s="1007"/>
      <c r="J1036" s="1007"/>
      <c r="K1036" s="1007"/>
      <c r="L1036" s="1007"/>
      <c r="M1036" s="1007"/>
      <c r="N1036" s="1007"/>
      <c r="O1036" s="1007"/>
      <c r="P1036" s="1007"/>
      <c r="Q1036" s="1007"/>
      <c r="R1036" s="1007"/>
      <c r="S1036" s="1007"/>
      <c r="T1036" s="1007"/>
      <c r="U1036" s="1007"/>
      <c r="V1036" s="1007"/>
      <c r="W1036" s="1007"/>
      <c r="X1036" s="1007"/>
      <c r="Y1036" s="1007"/>
      <c r="Z1036" s="1007"/>
      <c r="AA1036" s="1007"/>
      <c r="AB1036" s="1007"/>
      <c r="AC1036" s="1007"/>
      <c r="AD1036" s="1007"/>
      <c r="AE1036" s="1007"/>
      <c r="AF1036" s="1007"/>
      <c r="AG1036" s="1007"/>
      <c r="AH1036" s="1007"/>
      <c r="AI1036" s="1007"/>
      <c r="AJ1036" s="1007"/>
      <c r="AK1036" s="1007"/>
    </row>
    <row r="1037" spans="1:38" ht="12.6" customHeight="1">
      <c r="A1037" s="66"/>
      <c r="B1037" s="70"/>
      <c r="C1037" s="16"/>
      <c r="D1037" s="1007"/>
      <c r="E1037" s="1007"/>
      <c r="F1037" s="1007"/>
      <c r="G1037" s="1007"/>
      <c r="H1037" s="1007"/>
      <c r="I1037" s="1007"/>
      <c r="J1037" s="1007"/>
      <c r="K1037" s="1007"/>
      <c r="L1037" s="1007"/>
      <c r="M1037" s="1007"/>
      <c r="N1037" s="1007"/>
      <c r="O1037" s="1007"/>
      <c r="P1037" s="1007"/>
      <c r="Q1037" s="1007"/>
      <c r="R1037" s="1007"/>
      <c r="S1037" s="1007"/>
      <c r="T1037" s="1007"/>
      <c r="U1037" s="1007"/>
      <c r="V1037" s="1007"/>
      <c r="W1037" s="1007"/>
      <c r="X1037" s="1007"/>
      <c r="Y1037" s="1007"/>
      <c r="Z1037" s="1007"/>
      <c r="AA1037" s="1007"/>
      <c r="AB1037" s="1007"/>
      <c r="AC1037" s="1007"/>
      <c r="AD1037" s="1007"/>
      <c r="AE1037" s="1007"/>
      <c r="AF1037" s="1007"/>
      <c r="AG1037" s="1007"/>
      <c r="AH1037" s="1007"/>
      <c r="AI1037" s="1007"/>
      <c r="AJ1037" s="1007"/>
      <c r="AK1037" s="1007"/>
    </row>
    <row r="1038" spans="1:38" ht="12.6" customHeight="1">
      <c r="A1038" s="1122" t="s">
        <v>672</v>
      </c>
      <c r="B1038" s="1122"/>
      <c r="C1038" s="348">
        <v>7</v>
      </c>
      <c r="D1038" s="1007" t="s">
        <v>1319</v>
      </c>
      <c r="E1038" s="1007"/>
      <c r="F1038" s="1007"/>
      <c r="G1038" s="1007"/>
      <c r="H1038" s="1007"/>
      <c r="I1038" s="1007"/>
      <c r="J1038" s="1007"/>
      <c r="K1038" s="1007"/>
      <c r="L1038" s="1007"/>
      <c r="M1038" s="1007"/>
      <c r="N1038" s="1007"/>
      <c r="O1038" s="1007"/>
      <c r="P1038" s="1007"/>
      <c r="Q1038" s="1007"/>
      <c r="R1038" s="1007"/>
      <c r="S1038" s="1007"/>
      <c r="T1038" s="1007"/>
      <c r="U1038" s="1007"/>
      <c r="V1038" s="1007"/>
      <c r="W1038" s="1007"/>
      <c r="X1038" s="1007"/>
      <c r="Y1038" s="1007"/>
      <c r="Z1038" s="1007"/>
      <c r="AA1038" s="1007"/>
      <c r="AB1038" s="1007"/>
      <c r="AC1038" s="1007"/>
      <c r="AD1038" s="1007"/>
      <c r="AE1038" s="1007"/>
      <c r="AF1038" s="1007"/>
      <c r="AG1038" s="1007"/>
      <c r="AH1038" s="1007"/>
      <c r="AI1038" s="1007"/>
      <c r="AJ1038" s="1007"/>
      <c r="AK1038" s="1007"/>
      <c r="AL1038" s="36"/>
    </row>
    <row r="1039" spans="1:38" s="754" customFormat="1" ht="12.6" customHeight="1">
      <c r="A1039" s="259"/>
      <c r="B1039" s="259"/>
      <c r="C1039" s="349"/>
      <c r="D1039" s="1007"/>
      <c r="E1039" s="1007"/>
      <c r="F1039" s="1007"/>
      <c r="G1039" s="1007"/>
      <c r="H1039" s="1007"/>
      <c r="I1039" s="1007"/>
      <c r="J1039" s="1007"/>
      <c r="K1039" s="1007"/>
      <c r="L1039" s="1007"/>
      <c r="M1039" s="1007"/>
      <c r="N1039" s="1007"/>
      <c r="O1039" s="1007"/>
      <c r="P1039" s="1007"/>
      <c r="Q1039" s="1007"/>
      <c r="R1039" s="1007"/>
      <c r="S1039" s="1007"/>
      <c r="T1039" s="1007"/>
      <c r="U1039" s="1007"/>
      <c r="V1039" s="1007"/>
      <c r="W1039" s="1007"/>
      <c r="X1039" s="1007"/>
      <c r="Y1039" s="1007"/>
      <c r="Z1039" s="1007"/>
      <c r="AA1039" s="1007"/>
      <c r="AB1039" s="1007"/>
      <c r="AC1039" s="1007"/>
      <c r="AD1039" s="1007"/>
      <c r="AE1039" s="1007"/>
      <c r="AF1039" s="1007"/>
      <c r="AG1039" s="1007"/>
      <c r="AH1039" s="1007"/>
      <c r="AI1039" s="1007"/>
      <c r="AJ1039" s="1007"/>
      <c r="AK1039" s="1007"/>
      <c r="AL1039" s="15"/>
    </row>
    <row r="1040" spans="1:38" ht="12.6" customHeight="1">
      <c r="A1040" s="259"/>
      <c r="B1040" s="259"/>
      <c r="C1040" s="349"/>
      <c r="D1040" s="1007"/>
      <c r="E1040" s="1007"/>
      <c r="F1040" s="1007"/>
      <c r="G1040" s="1007"/>
      <c r="H1040" s="1007"/>
      <c r="I1040" s="1007"/>
      <c r="J1040" s="1007"/>
      <c r="K1040" s="1007"/>
      <c r="L1040" s="1007"/>
      <c r="M1040" s="1007"/>
      <c r="N1040" s="1007"/>
      <c r="O1040" s="1007"/>
      <c r="P1040" s="1007"/>
      <c r="Q1040" s="1007"/>
      <c r="R1040" s="1007"/>
      <c r="S1040" s="1007"/>
      <c r="T1040" s="1007"/>
      <c r="U1040" s="1007"/>
      <c r="V1040" s="1007"/>
      <c r="W1040" s="1007"/>
      <c r="X1040" s="1007"/>
      <c r="Y1040" s="1007"/>
      <c r="Z1040" s="1007"/>
      <c r="AA1040" s="1007"/>
      <c r="AB1040" s="1007"/>
      <c r="AC1040" s="1007"/>
      <c r="AD1040" s="1007"/>
      <c r="AE1040" s="1007"/>
      <c r="AF1040" s="1007"/>
      <c r="AG1040" s="1007"/>
      <c r="AH1040" s="1007"/>
      <c r="AI1040" s="1007"/>
      <c r="AJ1040" s="1007"/>
      <c r="AK1040" s="1007"/>
    </row>
    <row r="1041" spans="1:38" ht="12.6" customHeight="1">
      <c r="A1041" s="66"/>
      <c r="B1041" s="70"/>
      <c r="C1041" s="348"/>
      <c r="D1041" s="1007"/>
      <c r="E1041" s="1007"/>
      <c r="F1041" s="1007"/>
      <c r="G1041" s="1007"/>
      <c r="H1041" s="1007"/>
      <c r="I1041" s="1007"/>
      <c r="J1041" s="1007"/>
      <c r="K1041" s="1007"/>
      <c r="L1041" s="1007"/>
      <c r="M1041" s="1007"/>
      <c r="N1041" s="1007"/>
      <c r="O1041" s="1007"/>
      <c r="P1041" s="1007"/>
      <c r="Q1041" s="1007"/>
      <c r="R1041" s="1007"/>
      <c r="S1041" s="1007"/>
      <c r="T1041" s="1007"/>
      <c r="U1041" s="1007"/>
      <c r="V1041" s="1007"/>
      <c r="W1041" s="1007"/>
      <c r="X1041" s="1007"/>
      <c r="Y1041" s="1007"/>
      <c r="Z1041" s="1007"/>
      <c r="AA1041" s="1007"/>
      <c r="AB1041" s="1007"/>
      <c r="AC1041" s="1007"/>
      <c r="AD1041" s="1007"/>
      <c r="AE1041" s="1007"/>
      <c r="AF1041" s="1007"/>
      <c r="AG1041" s="1007"/>
      <c r="AH1041" s="1007"/>
      <c r="AI1041" s="1007"/>
      <c r="AJ1041" s="1007"/>
      <c r="AK1041" s="1007"/>
    </row>
    <row r="1042" spans="1:38" ht="12.6" customHeight="1">
      <c r="A1042" s="1122" t="s">
        <v>672</v>
      </c>
      <c r="B1042" s="1122"/>
      <c r="C1042" s="348">
        <v>8</v>
      </c>
      <c r="D1042" s="1007" t="s">
        <v>1578</v>
      </c>
      <c r="E1042" s="1007"/>
      <c r="F1042" s="1007"/>
      <c r="G1042" s="1007"/>
      <c r="H1042" s="1007"/>
      <c r="I1042" s="1007"/>
      <c r="J1042" s="1007"/>
      <c r="K1042" s="1007"/>
      <c r="L1042" s="1007"/>
      <c r="M1042" s="1007"/>
      <c r="N1042" s="1007"/>
      <c r="O1042" s="1007"/>
      <c r="P1042" s="1007"/>
      <c r="Q1042" s="1007"/>
      <c r="R1042" s="1007"/>
      <c r="S1042" s="1007"/>
      <c r="T1042" s="1007"/>
      <c r="U1042" s="1007"/>
      <c r="V1042" s="1007"/>
      <c r="W1042" s="1007"/>
      <c r="X1042" s="1007"/>
      <c r="Y1042" s="1007"/>
      <c r="Z1042" s="1007"/>
      <c r="AA1042" s="1007"/>
      <c r="AB1042" s="1007"/>
      <c r="AC1042" s="1007"/>
      <c r="AD1042" s="1007"/>
      <c r="AE1042" s="1007"/>
      <c r="AF1042" s="1007"/>
      <c r="AG1042" s="1007"/>
      <c r="AH1042" s="1007"/>
      <c r="AI1042" s="1007"/>
      <c r="AJ1042" s="1007"/>
      <c r="AK1042" s="1007"/>
    </row>
    <row r="1043" spans="1:38" ht="12.6" customHeight="1">
      <c r="A1043" s="259"/>
      <c r="B1043" s="259"/>
      <c r="C1043" s="348"/>
      <c r="D1043" s="1007"/>
      <c r="E1043" s="1007"/>
      <c r="F1043" s="1007"/>
      <c r="G1043" s="1007"/>
      <c r="H1043" s="1007"/>
      <c r="I1043" s="1007"/>
      <c r="J1043" s="1007"/>
      <c r="K1043" s="1007"/>
      <c r="L1043" s="1007"/>
      <c r="M1043" s="1007"/>
      <c r="N1043" s="1007"/>
      <c r="O1043" s="1007"/>
      <c r="P1043" s="1007"/>
      <c r="Q1043" s="1007"/>
      <c r="R1043" s="1007"/>
      <c r="S1043" s="1007"/>
      <c r="T1043" s="1007"/>
      <c r="U1043" s="1007"/>
      <c r="V1043" s="1007"/>
      <c r="W1043" s="1007"/>
      <c r="X1043" s="1007"/>
      <c r="Y1043" s="1007"/>
      <c r="Z1043" s="1007"/>
      <c r="AA1043" s="1007"/>
      <c r="AB1043" s="1007"/>
      <c r="AC1043" s="1007"/>
      <c r="AD1043" s="1007"/>
      <c r="AE1043" s="1007"/>
      <c r="AF1043" s="1007"/>
      <c r="AG1043" s="1007"/>
      <c r="AH1043" s="1007"/>
      <c r="AI1043" s="1007"/>
      <c r="AJ1043" s="1007"/>
      <c r="AK1043" s="1007"/>
    </row>
    <row r="1044" spans="1:38" ht="12.6" customHeight="1">
      <c r="A1044" s="259"/>
      <c r="B1044" s="259"/>
      <c r="C1044" s="348"/>
      <c r="D1044" s="1007"/>
      <c r="E1044" s="1007"/>
      <c r="F1044" s="1007"/>
      <c r="G1044" s="1007"/>
      <c r="H1044" s="1007"/>
      <c r="I1044" s="1007"/>
      <c r="J1044" s="1007"/>
      <c r="K1044" s="1007"/>
      <c r="L1044" s="1007"/>
      <c r="M1044" s="1007"/>
      <c r="N1044" s="1007"/>
      <c r="O1044" s="1007"/>
      <c r="P1044" s="1007"/>
      <c r="Q1044" s="1007"/>
      <c r="R1044" s="1007"/>
      <c r="S1044" s="1007"/>
      <c r="T1044" s="1007"/>
      <c r="U1044" s="1007"/>
      <c r="V1044" s="1007"/>
      <c r="W1044" s="1007"/>
      <c r="X1044" s="1007"/>
      <c r="Y1044" s="1007"/>
      <c r="Z1044" s="1007"/>
      <c r="AA1044" s="1007"/>
      <c r="AB1044" s="1007"/>
      <c r="AC1044" s="1007"/>
      <c r="AD1044" s="1007"/>
      <c r="AE1044" s="1007"/>
      <c r="AF1044" s="1007"/>
      <c r="AG1044" s="1007"/>
      <c r="AH1044" s="1007"/>
      <c r="AI1044" s="1007"/>
      <c r="AJ1044" s="1007"/>
      <c r="AK1044" s="1007"/>
      <c r="AL1044" s="754"/>
    </row>
    <row r="1045" spans="1:38" ht="15" customHeight="1">
      <c r="A1045" s="66"/>
      <c r="B1045" s="70"/>
      <c r="C1045" s="348"/>
      <c r="D1045" s="1007"/>
      <c r="E1045" s="1007"/>
      <c r="F1045" s="1007"/>
      <c r="G1045" s="1007"/>
      <c r="H1045" s="1007"/>
      <c r="I1045" s="1007"/>
      <c r="J1045" s="1007"/>
      <c r="K1045" s="1007"/>
      <c r="L1045" s="1007"/>
      <c r="M1045" s="1007"/>
      <c r="N1045" s="1007"/>
      <c r="O1045" s="1007"/>
      <c r="P1045" s="1007"/>
      <c r="Q1045" s="1007"/>
      <c r="R1045" s="1007"/>
      <c r="S1045" s="1007"/>
      <c r="T1045" s="1007"/>
      <c r="U1045" s="1007"/>
      <c r="V1045" s="1007"/>
      <c r="W1045" s="1007"/>
      <c r="X1045" s="1007"/>
      <c r="Y1045" s="1007"/>
      <c r="Z1045" s="1007"/>
      <c r="AA1045" s="1007"/>
      <c r="AB1045" s="1007"/>
      <c r="AC1045" s="1007"/>
      <c r="AD1045" s="1007"/>
      <c r="AE1045" s="1007"/>
      <c r="AF1045" s="1007"/>
      <c r="AG1045" s="1007"/>
      <c r="AH1045" s="1007"/>
      <c r="AI1045" s="1007"/>
      <c r="AJ1045" s="1007"/>
      <c r="AK1045" s="1007"/>
    </row>
    <row r="1046" spans="1:38" ht="15" customHeight="1">
      <c r="A1046" s="1122" t="s">
        <v>672</v>
      </c>
      <c r="B1046" s="1122"/>
      <c r="C1046" s="348">
        <v>9</v>
      </c>
      <c r="D1046" s="1007" t="s">
        <v>1318</v>
      </c>
      <c r="E1046" s="1007"/>
      <c r="F1046" s="1007"/>
      <c r="G1046" s="1007"/>
      <c r="H1046" s="1007"/>
      <c r="I1046" s="1007"/>
      <c r="J1046" s="1007"/>
      <c r="K1046" s="1007"/>
      <c r="L1046" s="1007"/>
      <c r="M1046" s="1007"/>
      <c r="N1046" s="1007"/>
      <c r="O1046" s="1007"/>
      <c r="P1046" s="1007"/>
      <c r="Q1046" s="1007"/>
      <c r="R1046" s="1007"/>
      <c r="S1046" s="1007"/>
      <c r="T1046" s="1007"/>
      <c r="U1046" s="1007"/>
      <c r="V1046" s="1007"/>
      <c r="W1046" s="1007"/>
      <c r="X1046" s="1007"/>
      <c r="Y1046" s="1007"/>
      <c r="Z1046" s="1007"/>
      <c r="AA1046" s="1007"/>
      <c r="AB1046" s="1007"/>
      <c r="AC1046" s="1007"/>
      <c r="AD1046" s="1007"/>
      <c r="AE1046" s="1007"/>
      <c r="AF1046" s="1007"/>
      <c r="AG1046" s="1007"/>
      <c r="AH1046" s="1007"/>
      <c r="AI1046" s="1007"/>
      <c r="AJ1046" s="1007"/>
      <c r="AK1046" s="1007"/>
    </row>
    <row r="1047" spans="1:38" ht="15" customHeight="1">
      <c r="A1047" s="66"/>
      <c r="B1047" s="70"/>
      <c r="C1047" s="348"/>
      <c r="D1047" s="1007"/>
      <c r="E1047" s="1007"/>
      <c r="F1047" s="1007"/>
      <c r="G1047" s="1007"/>
      <c r="H1047" s="1007"/>
      <c r="I1047" s="1007"/>
      <c r="J1047" s="1007"/>
      <c r="K1047" s="1007"/>
      <c r="L1047" s="1007"/>
      <c r="M1047" s="1007"/>
      <c r="N1047" s="1007"/>
      <c r="O1047" s="1007"/>
      <c r="P1047" s="1007"/>
      <c r="Q1047" s="1007"/>
      <c r="R1047" s="1007"/>
      <c r="S1047" s="1007"/>
      <c r="T1047" s="1007"/>
      <c r="U1047" s="1007"/>
      <c r="V1047" s="1007"/>
      <c r="W1047" s="1007"/>
      <c r="X1047" s="1007"/>
      <c r="Y1047" s="1007"/>
      <c r="Z1047" s="1007"/>
      <c r="AA1047" s="1007"/>
      <c r="AB1047" s="1007"/>
      <c r="AC1047" s="1007"/>
      <c r="AD1047" s="1007"/>
      <c r="AE1047" s="1007"/>
      <c r="AF1047" s="1007"/>
      <c r="AG1047" s="1007"/>
      <c r="AH1047" s="1007"/>
      <c r="AI1047" s="1007"/>
      <c r="AJ1047" s="1007"/>
      <c r="AK1047" s="1007"/>
    </row>
    <row r="1048" spans="1:38" ht="15" hidden="1" customHeight="1">
      <c r="D1048" s="1007"/>
      <c r="E1048" s="1007"/>
      <c r="F1048" s="1007"/>
      <c r="G1048" s="1007"/>
      <c r="H1048" s="1007"/>
      <c r="I1048" s="1007"/>
      <c r="J1048" s="1007"/>
      <c r="K1048" s="1007"/>
      <c r="L1048" s="1007"/>
      <c r="M1048" s="1007"/>
      <c r="N1048" s="1007"/>
      <c r="O1048" s="1007"/>
      <c r="P1048" s="1007"/>
      <c r="Q1048" s="1007"/>
      <c r="R1048" s="1007"/>
      <c r="S1048" s="1007"/>
      <c r="T1048" s="1007"/>
      <c r="U1048" s="1007"/>
      <c r="V1048" s="1007"/>
      <c r="W1048" s="1007"/>
      <c r="X1048" s="1007"/>
      <c r="Y1048" s="1007"/>
      <c r="Z1048" s="1007"/>
      <c r="AA1048" s="1007"/>
      <c r="AB1048" s="1007"/>
      <c r="AC1048" s="1007"/>
      <c r="AD1048" s="1007"/>
      <c r="AE1048" s="1007"/>
      <c r="AF1048" s="1007"/>
      <c r="AG1048" s="1007"/>
      <c r="AH1048" s="1007"/>
      <c r="AI1048" s="1007"/>
      <c r="AJ1048" s="1007"/>
      <c r="AK1048" s="1007"/>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password="E2FF"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5">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 ref="AA333:AK333"/>
    <mergeCell ref="AA335:AF335"/>
    <mergeCell ref="D436:AF436"/>
    <mergeCell ref="D437:AF437"/>
    <mergeCell ref="D438:AJ439"/>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E408:AJ408"/>
    <mergeCell ref="P412:Q412"/>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P547:T547"/>
    <mergeCell ref="M565:R565"/>
    <mergeCell ref="AF565:AK565"/>
    <mergeCell ref="AF736:AH736"/>
    <mergeCell ref="AA573:AK573"/>
    <mergeCell ref="AG390:AJ390"/>
    <mergeCell ref="AI387:AJ387"/>
    <mergeCell ref="AD725:AH725"/>
    <mergeCell ref="W453:Y453"/>
    <mergeCell ref="T471:AH471"/>
    <mergeCell ref="W459:Y459"/>
    <mergeCell ref="D456:V456"/>
    <mergeCell ref="D464:V464"/>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Z419:AA419"/>
    <mergeCell ref="AC443:AF443"/>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H308:R308"/>
    <mergeCell ref="AA310:AF310"/>
    <mergeCell ref="AA300:AK300"/>
    <mergeCell ref="AA303:AF303"/>
    <mergeCell ref="AA307:AK307"/>
    <mergeCell ref="AI302:AK302"/>
    <mergeCell ref="H307:R307"/>
    <mergeCell ref="H298:R298"/>
    <mergeCell ref="H303:M303"/>
    <mergeCell ref="P302:R302"/>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R604:AS604"/>
    <mergeCell ref="AR590:AS590"/>
    <mergeCell ref="G569:R569"/>
    <mergeCell ref="AG574:AH574"/>
    <mergeCell ref="AI572:AK572"/>
    <mergeCell ref="Z569:AK569"/>
    <mergeCell ref="AA581:AK581"/>
    <mergeCell ref="G568:R568"/>
    <mergeCell ref="G586:R586"/>
    <mergeCell ref="G579:R579"/>
    <mergeCell ref="Z584:AK584"/>
    <mergeCell ref="G603:R603"/>
    <mergeCell ref="Z600:AK600"/>
    <mergeCell ref="G600:R600"/>
    <mergeCell ref="Z602:AK602"/>
    <mergeCell ref="Z601:AK601"/>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AD734:AH734"/>
    <mergeCell ref="AB628:AF628"/>
    <mergeCell ref="AG615:AK617"/>
    <mergeCell ref="Z634:AK634"/>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E544:AK544"/>
    <mergeCell ref="Q485:AK485"/>
    <mergeCell ref="AE412:AF412"/>
    <mergeCell ref="Z576:AK576"/>
    <mergeCell ref="G592:R592"/>
    <mergeCell ref="G596:L596"/>
    <mergeCell ref="H597:R597"/>
    <mergeCell ref="P596:R596"/>
    <mergeCell ref="AI596:AK596"/>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D429:AF429"/>
    <mergeCell ref="D430:AF430"/>
    <mergeCell ref="D431:AF431"/>
    <mergeCell ref="D432:AF432"/>
    <mergeCell ref="D433:AF433"/>
    <mergeCell ref="D434:AF434"/>
    <mergeCell ref="W822:AC822"/>
    <mergeCell ref="W827:AC827"/>
    <mergeCell ref="AG808:AJ80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C519:AF519"/>
    <mergeCell ref="AC516:AF516"/>
    <mergeCell ref="AH517:AK517"/>
    <mergeCell ref="O516:AA516"/>
    <mergeCell ref="O528:AA528"/>
    <mergeCell ref="U544:Y544"/>
    <mergeCell ref="U545:Y545"/>
    <mergeCell ref="U546:Y546"/>
    <mergeCell ref="U550:Y550"/>
    <mergeCell ref="AH529:AK529"/>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AC518:AF518"/>
    <mergeCell ref="AH521:AK521"/>
    <mergeCell ref="AC524:AF524"/>
    <mergeCell ref="AH524:AK524"/>
    <mergeCell ref="AH516:AK516"/>
    <mergeCell ref="G576:R576"/>
    <mergeCell ref="G559:R559"/>
    <mergeCell ref="Z559:AK559"/>
    <mergeCell ref="AI563:AK563"/>
    <mergeCell ref="G580:L580"/>
    <mergeCell ref="V629:AA629"/>
    <mergeCell ref="C629:O629"/>
    <mergeCell ref="S621:U621"/>
    <mergeCell ref="C627:O627"/>
    <mergeCell ref="C625:O625"/>
    <mergeCell ref="S624:U624"/>
    <mergeCell ref="S628:U628"/>
    <mergeCell ref="V622:AA622"/>
    <mergeCell ref="AB619:AF619"/>
    <mergeCell ref="AG619:AK619"/>
    <mergeCell ref="N606:O606"/>
    <mergeCell ref="S618:U618"/>
    <mergeCell ref="AG618:AK618"/>
    <mergeCell ref="AB618:AF618"/>
    <mergeCell ref="V618:AA618"/>
    <mergeCell ref="S615:U617"/>
    <mergeCell ref="V619:AA619"/>
    <mergeCell ref="AB627:AF627"/>
    <mergeCell ref="AG628:AK628"/>
    <mergeCell ref="P626:R626"/>
    <mergeCell ref="P627:R627"/>
    <mergeCell ref="AH503:AK503"/>
    <mergeCell ref="AH511:AK511"/>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A21:AL21"/>
    <mergeCell ref="M239:AE23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L272:AD272"/>
    <mergeCell ref="L275:AD275"/>
    <mergeCell ref="M248:T248"/>
    <mergeCell ref="D135:K135"/>
    <mergeCell ref="I136:AJ136"/>
    <mergeCell ref="B137:AJ137"/>
    <mergeCell ref="B138:R138"/>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3:K113"/>
    <mergeCell ref="A11:AL11"/>
    <mergeCell ref="A12:AL12"/>
    <mergeCell ref="G111:H111"/>
    <mergeCell ref="L111:N111"/>
    <mergeCell ref="Y118:AK118"/>
    <mergeCell ref="M252:T252"/>
    <mergeCell ref="M251:AE251"/>
    <mergeCell ref="M26:Q26"/>
    <mergeCell ref="AF246:AK246"/>
    <mergeCell ref="H16:AJ16"/>
    <mergeCell ref="U258:W258"/>
    <mergeCell ref="Z250:AE250"/>
    <mergeCell ref="M259:AE25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AI224:AJ224"/>
    <mergeCell ref="M243:AE243"/>
    <mergeCell ref="W229:X229"/>
    <mergeCell ref="Y121:AK121"/>
    <mergeCell ref="AA301:AK301"/>
    <mergeCell ref="AA298:AK298"/>
    <mergeCell ref="D265:H265"/>
    <mergeCell ref="X265:AC265"/>
    <mergeCell ref="AA283:AK283"/>
    <mergeCell ref="H282:R282"/>
    <mergeCell ref="AA282:AK282"/>
    <mergeCell ref="T262:X262"/>
    <mergeCell ref="P294:R294"/>
    <mergeCell ref="X176:Y176"/>
    <mergeCell ref="X181:Y181"/>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5:AJ135"/>
    <mergeCell ref="M256:T256"/>
    <mergeCell ref="W256:X256"/>
    <mergeCell ref="AH512:AK512"/>
    <mergeCell ref="AC498:AK498"/>
    <mergeCell ref="AC499:AF499"/>
    <mergeCell ref="A9:AL9"/>
    <mergeCell ref="D203:M203"/>
    <mergeCell ref="P203:U203"/>
    <mergeCell ref="A20:AL20"/>
    <mergeCell ref="AH195:AI195"/>
    <mergeCell ref="AH196:AI196"/>
    <mergeCell ref="U176:V176"/>
    <mergeCell ref="H18:AJ18"/>
    <mergeCell ref="Y115:AK115"/>
    <mergeCell ref="F131:M131"/>
    <mergeCell ref="AC248:AE248"/>
    <mergeCell ref="M244:T244"/>
    <mergeCell ref="W248:X248"/>
    <mergeCell ref="M246:AE246"/>
    <mergeCell ref="A126:AL126"/>
    <mergeCell ref="AA244:AK244"/>
    <mergeCell ref="M242:R242"/>
    <mergeCell ref="M247:AE247"/>
    <mergeCell ref="G133:N133"/>
    <mergeCell ref="T191:AE191"/>
    <mergeCell ref="T195:U195"/>
    <mergeCell ref="E189:AE190"/>
    <mergeCell ref="I191:P191"/>
    <mergeCell ref="Y198:Z198"/>
    <mergeCell ref="T197:U197"/>
    <mergeCell ref="AI221:AJ221"/>
    <mergeCell ref="T192:AE192"/>
    <mergeCell ref="D210:Z210"/>
    <mergeCell ref="J173:S173"/>
    <mergeCell ref="Z549:AD549"/>
    <mergeCell ref="Z550:AD550"/>
    <mergeCell ref="Z551:AD551"/>
    <mergeCell ref="AA287:AF287"/>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H655:R655"/>
    <mergeCell ref="V628:AA628"/>
    <mergeCell ref="G645:R645"/>
    <mergeCell ref="G643:R643"/>
    <mergeCell ref="Z560:AK560"/>
    <mergeCell ref="C553:O553"/>
    <mergeCell ref="C554:O554"/>
    <mergeCell ref="G604:L604"/>
    <mergeCell ref="AE556:AK556"/>
    <mergeCell ref="AE553:AK553"/>
    <mergeCell ref="C555:O555"/>
    <mergeCell ref="AE554:AK554"/>
    <mergeCell ref="C556:O556"/>
    <mergeCell ref="Z596:AE596"/>
    <mergeCell ref="AG598:AH598"/>
    <mergeCell ref="AE545:AK545"/>
    <mergeCell ref="AH534:AK534"/>
    <mergeCell ref="N598:O598"/>
    <mergeCell ref="AA597:AK597"/>
    <mergeCell ref="G602:R602"/>
    <mergeCell ref="U551:Y551"/>
    <mergeCell ref="U552:Y552"/>
    <mergeCell ref="U553:Y553"/>
    <mergeCell ref="U554:Y554"/>
    <mergeCell ref="U555:Y555"/>
    <mergeCell ref="U556:Y556"/>
    <mergeCell ref="Z544:AD544"/>
    <mergeCell ref="P554:T554"/>
    <mergeCell ref="P555:T555"/>
    <mergeCell ref="P556:T556"/>
    <mergeCell ref="Z547:AD547"/>
    <mergeCell ref="Z548:AD54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B623:AF623"/>
    <mergeCell ref="AB625:AF625"/>
    <mergeCell ref="S623:U623"/>
    <mergeCell ref="AG622:AK622"/>
    <mergeCell ref="C618:O618"/>
    <mergeCell ref="P624:R624"/>
    <mergeCell ref="C622:O622"/>
    <mergeCell ref="P622:R622"/>
    <mergeCell ref="C624:O624"/>
    <mergeCell ref="S626:U626"/>
    <mergeCell ref="V627:AA627"/>
    <mergeCell ref="C623:O623"/>
    <mergeCell ref="P625:R625"/>
    <mergeCell ref="C619:O619"/>
    <mergeCell ref="V626:AA626"/>
    <mergeCell ref="AG626:AK626"/>
    <mergeCell ref="N656:O656"/>
    <mergeCell ref="G651:R651"/>
    <mergeCell ref="P623:R623"/>
    <mergeCell ref="S625:U625"/>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B632:AF632"/>
    <mergeCell ref="Y714:AC714"/>
    <mergeCell ref="AD714:AH714"/>
    <mergeCell ref="AI711:AK711"/>
    <mergeCell ref="B718:F718"/>
    <mergeCell ref="AG632:AK632"/>
    <mergeCell ref="Z653:AK653"/>
    <mergeCell ref="Z644:AK644"/>
    <mergeCell ref="AI646:AK646"/>
    <mergeCell ref="P678:R678"/>
    <mergeCell ref="G675:R675"/>
    <mergeCell ref="Z677:AK677"/>
    <mergeCell ref="Z676:AK676"/>
    <mergeCell ref="Z675:AK675"/>
    <mergeCell ref="Z645:AK645"/>
    <mergeCell ref="Z643:AK643"/>
    <mergeCell ref="AI678:AK678"/>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Y769:AC769"/>
    <mergeCell ref="T764:X767"/>
    <mergeCell ref="Y764:AC767"/>
    <mergeCell ref="J760:K760"/>
    <mergeCell ref="J768:N768"/>
    <mergeCell ref="O768:S768"/>
    <mergeCell ref="T768:X768"/>
    <mergeCell ref="Y768:AC768"/>
    <mergeCell ref="Y750:AC753"/>
    <mergeCell ref="Y730:AC730"/>
    <mergeCell ref="Y731:AC731"/>
    <mergeCell ref="P734:T734"/>
    <mergeCell ref="O750:S753"/>
    <mergeCell ref="J750:N753"/>
    <mergeCell ref="U730:X730"/>
    <mergeCell ref="U731:X731"/>
    <mergeCell ref="G732:J732"/>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O757:S757"/>
    <mergeCell ref="T757:X757"/>
    <mergeCell ref="Y757:AC757"/>
    <mergeCell ref="J758:N758"/>
    <mergeCell ref="O758:S758"/>
    <mergeCell ref="T758:X758"/>
    <mergeCell ref="Y758:AC758"/>
    <mergeCell ref="J764:N767"/>
    <mergeCell ref="O764:S767"/>
    <mergeCell ref="Y754:AC754"/>
    <mergeCell ref="J756:N756"/>
    <mergeCell ref="O756:S756"/>
    <mergeCell ref="T756:X756"/>
    <mergeCell ref="Y756:AC756"/>
    <mergeCell ref="J769:N769"/>
    <mergeCell ref="O769:S769"/>
    <mergeCell ref="T769:X769"/>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O936:P936"/>
    <mergeCell ref="D970:Y972"/>
    <mergeCell ref="F937:L937"/>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D981:AK982"/>
    <mergeCell ref="AA955:AB955"/>
    <mergeCell ref="AA978:AB978"/>
    <mergeCell ref="AA932:AG932"/>
    <mergeCell ref="AD948:AK948"/>
    <mergeCell ref="AA911:AF911"/>
    <mergeCell ref="V948:AC948"/>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I907:T907"/>
    <mergeCell ref="I908:T908"/>
    <mergeCell ref="I911:T911"/>
    <mergeCell ref="M917:S917"/>
    <mergeCell ref="AA905:AF905"/>
    <mergeCell ref="AD991:AK993"/>
    <mergeCell ref="AA991:AB991"/>
    <mergeCell ref="Z990:AC990"/>
    <mergeCell ref="A1030:B1030"/>
    <mergeCell ref="A1005:AL1005"/>
    <mergeCell ref="A1027:B1027"/>
    <mergeCell ref="A1021:B1021"/>
    <mergeCell ref="A1015:B1015"/>
    <mergeCell ref="A1009:B1009"/>
    <mergeCell ref="AD994:AK994"/>
    <mergeCell ref="O159:T159"/>
    <mergeCell ref="O156:AH156"/>
    <mergeCell ref="O157:X157"/>
    <mergeCell ref="O158:R158"/>
    <mergeCell ref="W159:X159"/>
    <mergeCell ref="P204:U204"/>
    <mergeCell ref="Z231:AE231"/>
    <mergeCell ref="A217:AL218"/>
    <mergeCell ref="D204:M204"/>
    <mergeCell ref="U178:V178"/>
    <mergeCell ref="U231:W231"/>
    <mergeCell ref="I187:AE187"/>
    <mergeCell ref="AC229:AE229"/>
    <mergeCell ref="M233:T233"/>
    <mergeCell ref="M230:AE230"/>
    <mergeCell ref="M228:AE228"/>
    <mergeCell ref="N193:AE194"/>
    <mergeCell ref="AC240:AE240"/>
    <mergeCell ref="M241:AE241"/>
    <mergeCell ref="M238:AE238"/>
    <mergeCell ref="M229:T229"/>
    <mergeCell ref="U242:W242"/>
    <mergeCell ref="M234:AE234"/>
    <mergeCell ref="M231:R231"/>
    <mergeCell ref="W240:X240"/>
    <mergeCell ref="AH197:AI197"/>
    <mergeCell ref="U719:X719"/>
    <mergeCell ref="U705:X708"/>
    <mergeCell ref="AI705:AK708"/>
    <mergeCell ref="Y710:AC710"/>
    <mergeCell ref="Y709:AC709"/>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I223:AJ223"/>
    <mergeCell ref="AA233:AK233"/>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M809:P809"/>
    <mergeCell ref="M839:V839"/>
    <mergeCell ref="W849:AC849"/>
    <mergeCell ref="Q810:T810"/>
    <mergeCell ref="M805:P805"/>
    <mergeCell ref="Q809:T809"/>
    <mergeCell ref="P720:T720"/>
    <mergeCell ref="K719:O719"/>
    <mergeCell ref="B720:F720"/>
    <mergeCell ref="AD727:AH727"/>
    <mergeCell ref="K723:O723"/>
    <mergeCell ref="Y725:AC725"/>
    <mergeCell ref="P724:T724"/>
    <mergeCell ref="BU635:BY635"/>
    <mergeCell ref="BF635:BJ635"/>
    <mergeCell ref="BK635:BO635"/>
    <mergeCell ref="BP635:BT635"/>
    <mergeCell ref="G654:L654"/>
    <mergeCell ref="G650:R650"/>
    <mergeCell ref="U728:X728"/>
    <mergeCell ref="B724:F724"/>
    <mergeCell ref="AI719:AK719"/>
    <mergeCell ref="AI714:AK714"/>
    <mergeCell ref="AI710:AK710"/>
    <mergeCell ref="AA902:AF902"/>
    <mergeCell ref="Y811:AB811"/>
    <mergeCell ref="AI731:AK73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M811:P811"/>
    <mergeCell ref="B714:F714"/>
    <mergeCell ref="K714:O714"/>
    <mergeCell ref="P714:T714"/>
    <mergeCell ref="T774:X774"/>
    <mergeCell ref="Y774:AC774"/>
    <mergeCell ref="J775:N775"/>
    <mergeCell ref="O775:S775"/>
    <mergeCell ref="U805:X805"/>
    <mergeCell ref="Q807:T807"/>
    <mergeCell ref="U807:X807"/>
    <mergeCell ref="M806:P806"/>
    <mergeCell ref="Q806:T806"/>
    <mergeCell ref="Y726:AC726"/>
    <mergeCell ref="K724:O724"/>
    <mergeCell ref="P723:T723"/>
    <mergeCell ref="C810:H810"/>
    <mergeCell ref="C805:H805"/>
    <mergeCell ref="C806:H806"/>
    <mergeCell ref="B721:F721"/>
    <mergeCell ref="O772:S772"/>
    <mergeCell ref="T772:X772"/>
    <mergeCell ref="Y772:AC772"/>
    <mergeCell ref="J773:N773"/>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K716:O716"/>
    <mergeCell ref="K710:O710"/>
    <mergeCell ref="P711:T711"/>
    <mergeCell ref="G710:J710"/>
    <mergeCell ref="P709:T709"/>
    <mergeCell ref="Y718:AC718"/>
    <mergeCell ref="B711:F711"/>
    <mergeCell ref="B712:F712"/>
    <mergeCell ref="Y712:AC712"/>
    <mergeCell ref="U711:X711"/>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F624:BJ624"/>
    <mergeCell ref="BK628:BO628"/>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BF618:BJ618"/>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W691:AK691"/>
    <mergeCell ref="G725:J725"/>
    <mergeCell ref="G726:J726"/>
    <mergeCell ref="G727:J727"/>
    <mergeCell ref="U723:X723"/>
    <mergeCell ref="AD713:AH713"/>
    <mergeCell ref="Y711:AC711"/>
    <mergeCell ref="U722:X722"/>
    <mergeCell ref="AD722:AH722"/>
    <mergeCell ref="AD721:AH721"/>
    <mergeCell ref="AD717:AH717"/>
    <mergeCell ref="Y713:AC713"/>
    <mergeCell ref="B1004:AK1004"/>
    <mergeCell ref="B1002:AK1003"/>
    <mergeCell ref="AA983:AB983"/>
    <mergeCell ref="AD983:AK984"/>
    <mergeCell ref="D983:Y987"/>
    <mergeCell ref="AD719:AH719"/>
    <mergeCell ref="AD730:AH730"/>
    <mergeCell ref="AD724:AH724"/>
    <mergeCell ref="G717:J717"/>
    <mergeCell ref="G718:J718"/>
    <mergeCell ref="P712:T712"/>
    <mergeCell ref="B713:F713"/>
    <mergeCell ref="E698:AK698"/>
    <mergeCell ref="Y716:AC716"/>
    <mergeCell ref="G721:J721"/>
    <mergeCell ref="G715:J715"/>
    <mergeCell ref="AD718:AH718"/>
    <mergeCell ref="Y721:AC721"/>
    <mergeCell ref="U720:X720"/>
    <mergeCell ref="Y715:AC715"/>
    <mergeCell ref="AQ881:AR881"/>
    <mergeCell ref="AQ883:AS883"/>
    <mergeCell ref="AI730:AK730"/>
    <mergeCell ref="AI716:AK716"/>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AG672:AH672"/>
    <mergeCell ref="Z667:AK667"/>
    <mergeCell ref="AA671:AK671"/>
    <mergeCell ref="Z669:AK669"/>
    <mergeCell ref="Z658:AK658"/>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AE686:AI686"/>
    <mergeCell ref="AE687:AI687"/>
    <mergeCell ref="AE689:AI689"/>
    <mergeCell ref="AE690:AI690"/>
    <mergeCell ref="B489:P491"/>
    <mergeCell ref="Q490:R491"/>
    <mergeCell ref="S490:AK491"/>
    <mergeCell ref="I393:AE393"/>
    <mergeCell ref="J180:K180"/>
    <mergeCell ref="M180:N180"/>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s>
  <phoneticPr fontId="0" type="noConversion"/>
  <conditionalFormatting sqref="Z979:AC980 Z974">
    <cfRule type="cellIs" dxfId="64" priority="2" stopIfTrue="1" operator="equal">
      <formula>"Please Enter Amount:"</formula>
    </cfRule>
  </conditionalFormatting>
  <conditionalFormatting sqref="B1002">
    <cfRule type="cellIs" dxfId="63" priority="3" stopIfTrue="1" operator="equal">
      <formula>#N/A</formula>
    </cfRule>
  </conditionalFormatting>
  <conditionalFormatting sqref="AD973">
    <cfRule type="cellIs" dxfId="62" priority="4" stopIfTrue="1" operator="greaterThan">
      <formula>$AD$953*0.15</formula>
    </cfRule>
  </conditionalFormatting>
  <conditionalFormatting sqref="AD988:AD989">
    <cfRule type="cellIs" dxfId="61" priority="5" stopIfTrue="1" operator="equal">
      <formula>"#DIV/0!"</formula>
    </cfRule>
  </conditionalFormatting>
  <conditionalFormatting sqref="AG428:AJ428">
    <cfRule type="expression" dxfId="60"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1 U178 R183" xr:uid="{00000000-0002-0000-0400-000001000000}">
      <formula1>"Yes, No"</formula1>
    </dataValidation>
    <dataValidation type="list" allowBlank="1" showInputMessage="1" showErrorMessage="1" sqref="AA981:AB981 AA978:AB978 AA983:AB983 AA958:AB958 AA962:AB962 AA955:AB955 AA966:AB966 AA968:AB968 AA970:AB970 AA973:AB973 Q490" xr:uid="{00000000-0002-0000-0400-000002000000}">
      <formula1>"Yes,No"</formula1>
    </dataValidation>
    <dataValidation type="list" allowBlank="1" showInputMessage="1" showErrorMessage="1" sqref="I977"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Z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6:T906" xr:uid="{00000000-0002-0000-0400-000019000000}">
      <formula1>"No,Yes"</formula1>
    </dataValidation>
    <dataValidation type="list" allowBlank="1" showInputMessage="1" showErrorMessage="1" sqref="M919:S919 AE919:AK919 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C738:AE738 V376:W377 AF736:AH736 AG374:AH375"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xr:uid="{00000000-0004-0000-0400-000000000000}"/>
    <hyperlink ref="D164" r:id="rId3" xr:uid="{00000000-0004-0000-0400-000001000000}"/>
  </hyperlinks>
  <printOptions horizontalCentered="1"/>
  <pageMargins left="0.5" right="0.5" top="1" bottom="1" header="0.5" footer="0.5"/>
  <pageSetup scale="83" fitToHeight="26" orientation="portrait" useFirstPageNumber="1" r:id="rId4"/>
  <headerFooter alignWithMargins="0">
    <oddFooter>&amp;C&amp;P&amp;R&amp;A</oddFooter>
  </headerFooter>
  <rowBreaks count="23" manualBreakCount="23">
    <brk id="57" max="37" man="1"/>
    <brk id="109"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9" zoomScaleNormal="100" zoomScaleSheetLayoutView="100" workbookViewId="0">
      <selection activeCell="E113" sqref="E113"/>
    </sheetView>
  </sheetViews>
  <sheetFormatPr defaultColWidth="0" defaultRowHeight="12" zeroHeight="1"/>
  <cols>
    <col min="1" max="1" width="32.7109375" style="328" customWidth="1"/>
    <col min="2" max="12" width="12.140625" style="253" customWidth="1"/>
    <col min="13" max="17" width="11.28515625" style="253" customWidth="1"/>
    <col min="18" max="18" width="12.7109375" style="253" customWidth="1"/>
    <col min="19" max="20" width="12.140625" style="253" customWidth="1"/>
    <col min="21" max="21" width="0.28515625" style="256" customWidth="1"/>
    <col min="22" max="16383" width="8.85546875" style="253" hidden="1"/>
    <col min="16384" max="16384" width="0.140625" style="253" customWidth="1"/>
  </cols>
  <sheetData>
    <row r="1" spans="1:21" s="179" customFormat="1" ht="13.5">
      <c r="A1" s="270" t="s">
        <v>626</v>
      </c>
      <c r="B1" s="213"/>
      <c r="C1" s="213"/>
      <c r="D1" s="213"/>
      <c r="E1" s="214"/>
      <c r="F1" s="1592" t="s">
        <v>702</v>
      </c>
      <c r="G1" s="1593"/>
      <c r="H1" s="1593"/>
      <c r="I1" s="1593"/>
      <c r="J1" s="1593"/>
      <c r="K1" s="1593"/>
      <c r="L1" s="1593"/>
      <c r="M1" s="1593"/>
      <c r="N1" s="1593"/>
      <c r="O1" s="1593"/>
      <c r="P1" s="1593"/>
      <c r="Q1" s="1593"/>
      <c r="R1" s="1594"/>
      <c r="S1" s="181"/>
      <c r="T1" s="180"/>
      <c r="U1" s="182"/>
    </row>
    <row r="2" spans="1:21" s="232" customFormat="1" ht="71.25" customHeight="1">
      <c r="A2" s="231"/>
      <c r="B2" s="232" t="s">
        <v>27</v>
      </c>
      <c r="C2" s="232" t="s">
        <v>419</v>
      </c>
      <c r="D2" s="232" t="s">
        <v>418</v>
      </c>
      <c r="E2" s="232" t="s">
        <v>28</v>
      </c>
      <c r="F2" s="233" t="str">
        <f>Application!B618&amp;Application!C618</f>
        <v>1)Umpqua - Tax exempt bond loan</v>
      </c>
      <c r="G2" s="233" t="str">
        <f>Application!B619&amp;Application!C619</f>
        <v>2)Net operating income</v>
      </c>
      <c r="H2" s="233" t="str">
        <f>Application!B620&amp;Application!C620</f>
        <v>3)Deferred Developer Fee</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421223.54771784233</v>
      </c>
      <c r="C4" s="587">
        <f>583000/9640000*(6965000)</f>
        <v>421223.54771784233</v>
      </c>
      <c r="D4" s="241"/>
      <c r="E4" s="241"/>
      <c r="F4" s="241">
        <f>C4</f>
        <v>421223.54771784233</v>
      </c>
      <c r="G4" s="241"/>
      <c r="H4" s="241"/>
      <c r="I4" s="241"/>
      <c r="J4" s="241"/>
      <c r="K4" s="241"/>
      <c r="L4" s="241"/>
      <c r="M4" s="241"/>
      <c r="N4" s="241"/>
      <c r="O4" s="241"/>
      <c r="P4" s="241"/>
      <c r="Q4" s="241"/>
      <c r="R4" s="587">
        <f>SUM(E4:Q4)</f>
        <v>421223.54771784233</v>
      </c>
      <c r="S4" s="242"/>
      <c r="T4" s="242"/>
      <c r="U4" s="237"/>
    </row>
    <row r="5" spans="1:21" s="238" customFormat="1">
      <c r="A5" s="239" t="s">
        <v>32</v>
      </c>
      <c r="B5" s="240">
        <f>SUM(C5+D5)</f>
        <v>0</v>
      </c>
      <c r="C5" s="241"/>
      <c r="D5" s="241"/>
      <c r="E5" s="241"/>
      <c r="F5" s="241"/>
      <c r="G5" s="241"/>
      <c r="H5" s="241"/>
      <c r="I5" s="241"/>
      <c r="J5" s="241"/>
      <c r="K5" s="241"/>
      <c r="L5" s="241"/>
      <c r="M5" s="241"/>
      <c r="N5" s="241"/>
      <c r="O5" s="241"/>
      <c r="P5" s="241"/>
      <c r="Q5" s="241"/>
      <c r="R5" s="587">
        <f>SUM(E5:Q5)</f>
        <v>0</v>
      </c>
      <c r="S5" s="242"/>
      <c r="T5" s="242"/>
      <c r="U5" s="237"/>
    </row>
    <row r="6" spans="1:21" s="238" customFormat="1">
      <c r="A6" s="239" t="s">
        <v>33</v>
      </c>
      <c r="B6" s="240">
        <f>SUM(C6+D6)</f>
        <v>0</v>
      </c>
      <c r="C6" s="241"/>
      <c r="D6" s="241"/>
      <c r="E6" s="241"/>
      <c r="F6" s="241"/>
      <c r="G6" s="241"/>
      <c r="H6" s="241"/>
      <c r="I6" s="241"/>
      <c r="J6" s="241"/>
      <c r="K6" s="241"/>
      <c r="L6" s="241"/>
      <c r="M6" s="241"/>
      <c r="N6" s="241"/>
      <c r="O6" s="241"/>
      <c r="P6" s="241"/>
      <c r="Q6" s="241"/>
      <c r="R6" s="587">
        <f>SUM(E6:Q6)</f>
        <v>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587">
        <f>SUM(E7:Q7)</f>
        <v>0</v>
      </c>
      <c r="S7" s="242"/>
      <c r="T7" s="242"/>
      <c r="U7" s="237"/>
    </row>
    <row r="8" spans="1:21" s="238" customFormat="1">
      <c r="A8" s="243" t="s">
        <v>674</v>
      </c>
      <c r="B8" s="240">
        <f>SUM(C8:D8)</f>
        <v>421223.54771784233</v>
      </c>
      <c r="C8" s="240">
        <f t="shared" ref="C8:Q8" si="0">SUM(C4:C7)</f>
        <v>421223.54771784233</v>
      </c>
      <c r="D8" s="240">
        <f t="shared" si="0"/>
        <v>0</v>
      </c>
      <c r="E8" s="240">
        <f t="shared" si="0"/>
        <v>0</v>
      </c>
      <c r="F8" s="240">
        <f t="shared" si="0"/>
        <v>421223.54771784233</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8">
        <f>SUM(R4:R7)</f>
        <v>421223.54771784233</v>
      </c>
      <c r="S8" s="242"/>
      <c r="T8" s="242"/>
      <c r="U8" s="237"/>
    </row>
    <row r="9" spans="1:21" s="238" customFormat="1">
      <c r="A9" s="239" t="s">
        <v>675</v>
      </c>
      <c r="B9" s="240">
        <f>SUM(C9+D9)</f>
        <v>6553796</v>
      </c>
      <c r="C9" s="241">
        <f>6965000-411204</f>
        <v>6553796</v>
      </c>
      <c r="D9" s="241"/>
      <c r="E9" s="241">
        <f>C9-F9</f>
        <v>0</v>
      </c>
      <c r="F9" s="241">
        <f>MIN(Application!AG618-F8,C9)</f>
        <v>6553796</v>
      </c>
      <c r="G9" s="241"/>
      <c r="H9" s="241"/>
      <c r="I9" s="241"/>
      <c r="J9" s="241"/>
      <c r="K9" s="241"/>
      <c r="L9" s="241"/>
      <c r="M9" s="241"/>
      <c r="N9" s="241"/>
      <c r="O9" s="241"/>
      <c r="P9" s="241"/>
      <c r="Q9" s="241"/>
      <c r="R9" s="587">
        <f>SUM(E9:Q9)</f>
        <v>6553796</v>
      </c>
      <c r="S9" s="242"/>
      <c r="T9" s="241">
        <f>C9</f>
        <v>6553796</v>
      </c>
      <c r="U9" s="237"/>
    </row>
    <row r="10" spans="1:21" s="238" customFormat="1">
      <c r="A10" s="239" t="s">
        <v>676</v>
      </c>
      <c r="B10" s="240">
        <f>SUM(C10+D10)</f>
        <v>0</v>
      </c>
      <c r="C10" s="241"/>
      <c r="D10" s="241"/>
      <c r="E10" s="241"/>
      <c r="F10" s="241"/>
      <c r="G10" s="241"/>
      <c r="H10" s="241"/>
      <c r="I10" s="241"/>
      <c r="J10" s="241"/>
      <c r="K10" s="241"/>
      <c r="L10" s="241"/>
      <c r="M10" s="241"/>
      <c r="N10" s="241"/>
      <c r="O10" s="241"/>
      <c r="P10" s="241"/>
      <c r="Q10" s="241"/>
      <c r="R10" s="587">
        <f>SUM(E10:Q10)</f>
        <v>0</v>
      </c>
      <c r="S10" s="241"/>
      <c r="T10" s="241"/>
      <c r="U10" s="237"/>
    </row>
    <row r="11" spans="1:21" s="238" customFormat="1">
      <c r="A11" s="243" t="s">
        <v>677</v>
      </c>
      <c r="B11" s="240">
        <f>SUM(C11:D11)</f>
        <v>6553796</v>
      </c>
      <c r="C11" s="240">
        <f t="shared" ref="C11:Q11" si="1">SUM(C9:C10)</f>
        <v>6553796</v>
      </c>
      <c r="D11" s="240">
        <f t="shared" si="1"/>
        <v>0</v>
      </c>
      <c r="E11" s="240">
        <f t="shared" si="1"/>
        <v>0</v>
      </c>
      <c r="F11" s="240">
        <f t="shared" si="1"/>
        <v>6553796</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8">
        <f>SUM(R9:R10)</f>
        <v>6553796</v>
      </c>
      <c r="S11" s="242"/>
      <c r="T11" s="244">
        <f>SUM(T9:T10)</f>
        <v>6553796</v>
      </c>
      <c r="U11" s="237"/>
    </row>
    <row r="12" spans="1:21" s="238" customFormat="1">
      <c r="A12" s="243" t="s">
        <v>92</v>
      </c>
      <c r="B12" s="240">
        <f t="shared" ref="B12:Q12" si="2">SUM(B8+B11)</f>
        <v>6975019.5477178423</v>
      </c>
      <c r="C12" s="240">
        <f t="shared" si="2"/>
        <v>6975019.5477178423</v>
      </c>
      <c r="D12" s="240">
        <f t="shared" si="2"/>
        <v>0</v>
      </c>
      <c r="E12" s="240">
        <f t="shared" si="2"/>
        <v>0</v>
      </c>
      <c r="F12" s="240">
        <f t="shared" si="2"/>
        <v>6975019.5477178423</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8">
        <f>SUM(R8+R11)</f>
        <v>6975019.5477178423</v>
      </c>
      <c r="S12" s="242"/>
      <c r="T12" s="242"/>
      <c r="U12" s="237"/>
    </row>
    <row r="13" spans="1:21" s="238" customFormat="1">
      <c r="A13" s="488" t="s">
        <v>1035</v>
      </c>
      <c r="B13" s="240">
        <f>SUM(C13+D13)</f>
        <v>0</v>
      </c>
      <c r="C13" s="241"/>
      <c r="D13" s="241"/>
      <c r="E13" s="241"/>
      <c r="F13" s="241"/>
      <c r="G13" s="241"/>
      <c r="H13" s="241"/>
      <c r="I13" s="241"/>
      <c r="J13" s="241"/>
      <c r="K13" s="241"/>
      <c r="L13" s="241"/>
      <c r="M13" s="241"/>
      <c r="N13" s="241"/>
      <c r="O13" s="241"/>
      <c r="P13" s="241"/>
      <c r="Q13" s="241"/>
      <c r="R13" s="587">
        <f>SUM(E13:Q13)</f>
        <v>0</v>
      </c>
      <c r="S13" s="241"/>
      <c r="T13" s="241"/>
      <c r="U13" s="237"/>
    </row>
    <row r="14" spans="1:21" s="238" customFormat="1" ht="24">
      <c r="A14" s="489" t="s">
        <v>1036</v>
      </c>
      <c r="B14" s="240">
        <f>SUM(C14+D14)</f>
        <v>0</v>
      </c>
      <c r="C14" s="241"/>
      <c r="D14" s="241"/>
      <c r="E14" s="241"/>
      <c r="F14" s="241"/>
      <c r="G14" s="241"/>
      <c r="H14" s="241"/>
      <c r="I14" s="241"/>
      <c r="J14" s="241"/>
      <c r="K14" s="241"/>
      <c r="L14" s="241"/>
      <c r="M14" s="241"/>
      <c r="N14" s="241"/>
      <c r="O14" s="241"/>
      <c r="P14" s="241"/>
      <c r="Q14" s="241"/>
      <c r="R14" s="587">
        <f>SUM(E14:Q14)</f>
        <v>0</v>
      </c>
      <c r="S14" s="241"/>
      <c r="T14" s="241"/>
      <c r="U14" s="237"/>
    </row>
    <row r="15" spans="1:21" s="238" customFormat="1">
      <c r="A15" s="489" t="s">
        <v>1475</v>
      </c>
      <c r="B15" s="240">
        <f>SUM(C15+D15)</f>
        <v>0</v>
      </c>
      <c r="C15" s="241"/>
      <c r="D15" s="241"/>
      <c r="E15" s="241"/>
      <c r="F15" s="241"/>
      <c r="G15" s="241"/>
      <c r="H15" s="241"/>
      <c r="I15" s="241"/>
      <c r="J15" s="241"/>
      <c r="K15" s="241"/>
      <c r="L15" s="241"/>
      <c r="M15" s="241"/>
      <c r="N15" s="241"/>
      <c r="O15" s="241"/>
      <c r="P15" s="241"/>
      <c r="Q15" s="241"/>
      <c r="R15" s="587">
        <f>SUM(E15:Q15)</f>
        <v>0</v>
      </c>
      <c r="S15" s="242"/>
      <c r="T15" s="242"/>
      <c r="U15" s="237"/>
    </row>
    <row r="16" spans="1:21" s="238" customFormat="1">
      <c r="A16" s="235" t="s">
        <v>678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679</v>
      </c>
      <c r="B17" s="240">
        <f t="shared" ref="B17:B25" si="3">SUM(C17+D17)</f>
        <v>0</v>
      </c>
      <c r="C17" s="241"/>
      <c r="D17" s="241"/>
      <c r="E17" s="241"/>
      <c r="F17" s="241"/>
      <c r="G17" s="241"/>
      <c r="H17" s="241"/>
      <c r="I17" s="241"/>
      <c r="J17" s="241"/>
      <c r="K17" s="241"/>
      <c r="L17" s="241"/>
      <c r="M17" s="241"/>
      <c r="N17" s="241"/>
      <c r="O17" s="241"/>
      <c r="P17" s="241"/>
      <c r="Q17" s="241"/>
      <c r="R17" s="587">
        <f>SUM(E17:Q17)</f>
        <v>0</v>
      </c>
      <c r="S17" s="241"/>
      <c r="T17" s="241"/>
      <c r="U17" s="237"/>
    </row>
    <row r="18" spans="1:21" s="238" customFormat="1">
      <c r="A18" s="239" t="s">
        <v>680</v>
      </c>
      <c r="B18" s="240">
        <f t="shared" si="3"/>
        <v>4096169</v>
      </c>
      <c r="C18" s="241">
        <f>4096169</f>
        <v>4096169</v>
      </c>
      <c r="D18" s="241"/>
      <c r="E18" s="241">
        <f>C18-F18</f>
        <v>1951188.5477178423</v>
      </c>
      <c r="F18" s="241">
        <f>Application!AG618-F12</f>
        <v>2144980.4522821577</v>
      </c>
      <c r="G18" s="241"/>
      <c r="H18" s="241"/>
      <c r="I18" s="241"/>
      <c r="J18" s="241"/>
      <c r="K18" s="241"/>
      <c r="L18" s="241"/>
      <c r="M18" s="241"/>
      <c r="N18" s="241"/>
      <c r="O18" s="241"/>
      <c r="P18" s="241"/>
      <c r="Q18" s="241"/>
      <c r="R18" s="587">
        <f>SUM(E18:Q18)</f>
        <v>4096169</v>
      </c>
      <c r="S18" s="241">
        <f>C18</f>
        <v>4096169</v>
      </c>
      <c r="T18" s="241"/>
      <c r="U18" s="237"/>
    </row>
    <row r="19" spans="1:21" s="238" customFormat="1">
      <c r="A19" s="239" t="s">
        <v>681</v>
      </c>
      <c r="B19" s="240">
        <f t="shared" si="3"/>
        <v>245770</v>
      </c>
      <c r="C19" s="241">
        <v>245770</v>
      </c>
      <c r="D19" s="241"/>
      <c r="E19" s="241">
        <f>C19</f>
        <v>245770</v>
      </c>
      <c r="F19" s="241"/>
      <c r="G19" s="241"/>
      <c r="H19" s="241"/>
      <c r="I19" s="241"/>
      <c r="J19" s="241"/>
      <c r="K19" s="241"/>
      <c r="L19" s="241"/>
      <c r="M19" s="241"/>
      <c r="N19" s="241"/>
      <c r="O19" s="241"/>
      <c r="P19" s="241"/>
      <c r="Q19" s="241"/>
      <c r="R19" s="587">
        <f>SUM(E19:Q19)</f>
        <v>245770</v>
      </c>
      <c r="S19" s="241">
        <f>C19</f>
        <v>245770</v>
      </c>
      <c r="T19" s="241"/>
      <c r="U19" s="237"/>
    </row>
    <row r="20" spans="1:21" s="238" customFormat="1">
      <c r="A20" s="239" t="s">
        <v>148</v>
      </c>
      <c r="B20" s="240">
        <f t="shared" si="3"/>
        <v>86839</v>
      </c>
      <c r="C20" s="241">
        <v>86839</v>
      </c>
      <c r="D20" s="241"/>
      <c r="E20" s="241">
        <f>C20</f>
        <v>86839</v>
      </c>
      <c r="F20" s="241"/>
      <c r="G20" s="241"/>
      <c r="H20" s="241"/>
      <c r="I20" s="241"/>
      <c r="J20" s="241"/>
      <c r="K20" s="241"/>
      <c r="L20" s="241"/>
      <c r="M20" s="241"/>
      <c r="N20" s="241"/>
      <c r="O20" s="241"/>
      <c r="P20" s="241"/>
      <c r="Q20" s="241"/>
      <c r="R20" s="587">
        <f t="shared" ref="R20:R26" si="4">SUM(E20:Q20)</f>
        <v>86839</v>
      </c>
      <c r="S20" s="241">
        <f>C20</f>
        <v>86839</v>
      </c>
      <c r="T20" s="241"/>
      <c r="U20" s="237"/>
    </row>
    <row r="21" spans="1:21" s="238" customFormat="1">
      <c r="A21" s="239" t="s">
        <v>149</v>
      </c>
      <c r="B21" s="240">
        <f t="shared" si="3"/>
        <v>260516</v>
      </c>
      <c r="C21" s="241">
        <v>260516</v>
      </c>
      <c r="D21" s="241"/>
      <c r="E21" s="241">
        <f>C21</f>
        <v>260516</v>
      </c>
      <c r="F21" s="241"/>
      <c r="G21" s="241"/>
      <c r="H21" s="241"/>
      <c r="I21" s="241"/>
      <c r="J21" s="241"/>
      <c r="K21" s="241"/>
      <c r="L21" s="241"/>
      <c r="M21" s="241"/>
      <c r="N21" s="241"/>
      <c r="O21" s="241"/>
      <c r="P21" s="241"/>
      <c r="Q21" s="241"/>
      <c r="R21" s="587">
        <f t="shared" si="4"/>
        <v>260516</v>
      </c>
      <c r="S21" s="241">
        <f>C21</f>
        <v>260516</v>
      </c>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587">
        <f t="shared" si="4"/>
        <v>0</v>
      </c>
      <c r="S22" s="241"/>
      <c r="T22" s="241"/>
      <c r="U22" s="237"/>
    </row>
    <row r="23" spans="1:21" s="238" customFormat="1">
      <c r="A23" s="239" t="s">
        <v>151</v>
      </c>
      <c r="B23" s="240">
        <f t="shared" si="3"/>
        <v>112778</v>
      </c>
      <c r="C23" s="241">
        <v>112778</v>
      </c>
      <c r="D23" s="241"/>
      <c r="E23" s="241">
        <f>C23</f>
        <v>112778</v>
      </c>
      <c r="F23" s="241"/>
      <c r="G23" s="241"/>
      <c r="H23" s="241"/>
      <c r="I23" s="241"/>
      <c r="J23" s="241"/>
      <c r="K23" s="241"/>
      <c r="L23" s="241"/>
      <c r="M23" s="241"/>
      <c r="N23" s="241"/>
      <c r="O23" s="241"/>
      <c r="P23" s="241"/>
      <c r="Q23" s="241"/>
      <c r="R23" s="587">
        <f t="shared" si="4"/>
        <v>112778</v>
      </c>
      <c r="S23" s="241">
        <f>C23</f>
        <v>112778</v>
      </c>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587">
        <f t="shared" si="4"/>
        <v>0</v>
      </c>
      <c r="S24" s="241"/>
      <c r="T24" s="241"/>
      <c r="U24" s="237"/>
    </row>
    <row r="25" spans="1:21" s="238" customFormat="1">
      <c r="A25" s="243" t="s">
        <v>144</v>
      </c>
      <c r="B25" s="240">
        <f t="shared" si="3"/>
        <v>4802072</v>
      </c>
      <c r="C25" s="240">
        <f>SUM(C17:C24)</f>
        <v>4802072</v>
      </c>
      <c r="D25" s="240">
        <f t="shared" ref="D25:Q25" si="5">SUM(D17:D24)</f>
        <v>0</v>
      </c>
      <c r="E25" s="240">
        <f t="shared" si="5"/>
        <v>2657091.5477178423</v>
      </c>
      <c r="F25" s="240">
        <f t="shared" si="5"/>
        <v>2144980.4522821577</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8">
        <f>SUM(R17:R24)</f>
        <v>4802072</v>
      </c>
      <c r="S25" s="244">
        <f>SUM(S17:S24)</f>
        <v>4802072</v>
      </c>
      <c r="T25" s="244">
        <f>SUM(T17:T24)</f>
        <v>0</v>
      </c>
      <c r="U25" s="237"/>
    </row>
    <row r="26" spans="1:21" s="238" customFormat="1">
      <c r="A26" s="243" t="s">
        <v>152</v>
      </c>
      <c r="B26" s="240">
        <f>SUM(C26:D26)</f>
        <v>109350</v>
      </c>
      <c r="C26" s="241">
        <v>109350</v>
      </c>
      <c r="D26" s="241"/>
      <c r="E26" s="241">
        <f>C26</f>
        <v>109350</v>
      </c>
      <c r="F26" s="241"/>
      <c r="G26" s="241"/>
      <c r="H26" s="241"/>
      <c r="I26" s="241"/>
      <c r="J26" s="241"/>
      <c r="K26" s="241"/>
      <c r="L26" s="241"/>
      <c r="M26" s="241"/>
      <c r="N26" s="241"/>
      <c r="O26" s="241"/>
      <c r="P26" s="241"/>
      <c r="Q26" s="241"/>
      <c r="R26" s="587">
        <f t="shared" si="4"/>
        <v>109350</v>
      </c>
      <c r="S26" s="241">
        <f>C26</f>
        <v>109350</v>
      </c>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679</v>
      </c>
      <c r="B28" s="240">
        <f t="shared" ref="B28:B36" si="6">SUM(C28+D28)</f>
        <v>0</v>
      </c>
      <c r="C28" s="241"/>
      <c r="D28" s="241"/>
      <c r="E28" s="241"/>
      <c r="F28" s="241"/>
      <c r="G28" s="241"/>
      <c r="H28" s="241"/>
      <c r="I28" s="241"/>
      <c r="J28" s="241"/>
      <c r="K28" s="241"/>
      <c r="L28" s="241"/>
      <c r="M28" s="241"/>
      <c r="N28" s="241"/>
      <c r="O28" s="241"/>
      <c r="P28" s="241"/>
      <c r="Q28" s="241"/>
      <c r="R28" s="587">
        <f t="shared" ref="R28:R35" si="7">SUM(E28:Q28)</f>
        <v>0</v>
      </c>
      <c r="S28" s="241"/>
      <c r="T28" s="241"/>
      <c r="U28" s="237"/>
    </row>
    <row r="29" spans="1:21" s="238" customFormat="1">
      <c r="A29" s="239" t="s">
        <v>680</v>
      </c>
      <c r="B29" s="240">
        <f t="shared" si="6"/>
        <v>0</v>
      </c>
      <c r="C29" s="241"/>
      <c r="D29" s="241"/>
      <c r="E29" s="241"/>
      <c r="F29" s="241"/>
      <c r="G29" s="241"/>
      <c r="H29" s="241"/>
      <c r="I29" s="241"/>
      <c r="J29" s="241"/>
      <c r="K29" s="241"/>
      <c r="L29" s="241"/>
      <c r="M29" s="241"/>
      <c r="N29" s="241"/>
      <c r="O29" s="241"/>
      <c r="P29" s="241"/>
      <c r="Q29" s="241"/>
      <c r="R29" s="587">
        <f t="shared" si="7"/>
        <v>0</v>
      </c>
      <c r="S29" s="241"/>
      <c r="T29" s="241"/>
      <c r="U29" s="237"/>
    </row>
    <row r="30" spans="1:21" s="238" customFormat="1">
      <c r="A30" s="239" t="s">
        <v>681</v>
      </c>
      <c r="B30" s="240">
        <f t="shared" si="6"/>
        <v>0</v>
      </c>
      <c r="C30" s="241"/>
      <c r="D30" s="241"/>
      <c r="E30" s="241"/>
      <c r="F30" s="241"/>
      <c r="G30" s="241"/>
      <c r="H30" s="241"/>
      <c r="I30" s="241"/>
      <c r="J30" s="241"/>
      <c r="K30" s="241"/>
      <c r="L30" s="241"/>
      <c r="M30" s="241"/>
      <c r="N30" s="241"/>
      <c r="O30" s="241"/>
      <c r="P30" s="241"/>
      <c r="Q30" s="241"/>
      <c r="R30" s="587">
        <f t="shared" si="7"/>
        <v>0</v>
      </c>
      <c r="S30" s="241"/>
      <c r="T30" s="241"/>
      <c r="U30" s="237"/>
    </row>
    <row r="31" spans="1:21" s="238" customFormat="1">
      <c r="A31" s="239" t="s">
        <v>148</v>
      </c>
      <c r="B31" s="240">
        <f t="shared" si="6"/>
        <v>0</v>
      </c>
      <c r="C31" s="241"/>
      <c r="D31" s="241"/>
      <c r="E31" s="241"/>
      <c r="F31" s="241"/>
      <c r="G31" s="241"/>
      <c r="H31" s="241"/>
      <c r="I31" s="241"/>
      <c r="J31" s="241"/>
      <c r="K31" s="241"/>
      <c r="L31" s="241"/>
      <c r="M31" s="241"/>
      <c r="N31" s="241"/>
      <c r="O31" s="241"/>
      <c r="P31" s="241"/>
      <c r="Q31" s="241"/>
      <c r="R31" s="587">
        <f t="shared" si="7"/>
        <v>0</v>
      </c>
      <c r="S31" s="241"/>
      <c r="T31" s="241"/>
      <c r="U31" s="237"/>
    </row>
    <row r="32" spans="1:21" s="238" customFormat="1">
      <c r="A32" s="239" t="s">
        <v>149</v>
      </c>
      <c r="B32" s="240">
        <f t="shared" si="6"/>
        <v>0</v>
      </c>
      <c r="C32" s="241"/>
      <c r="D32" s="241"/>
      <c r="E32" s="241"/>
      <c r="F32" s="241"/>
      <c r="G32" s="241"/>
      <c r="H32" s="241"/>
      <c r="I32" s="241"/>
      <c r="J32" s="241"/>
      <c r="K32" s="241"/>
      <c r="L32" s="241"/>
      <c r="M32" s="241"/>
      <c r="N32" s="241"/>
      <c r="O32" s="241"/>
      <c r="P32" s="241"/>
      <c r="Q32" s="241"/>
      <c r="R32" s="587">
        <f t="shared" si="7"/>
        <v>0</v>
      </c>
      <c r="S32" s="241"/>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587">
        <f t="shared" si="7"/>
        <v>0</v>
      </c>
      <c r="S33" s="241"/>
      <c r="T33" s="241"/>
      <c r="U33" s="237"/>
    </row>
    <row r="34" spans="1:21" s="238" customFormat="1">
      <c r="A34" s="239" t="s">
        <v>151</v>
      </c>
      <c r="B34" s="240">
        <f t="shared" si="6"/>
        <v>0</v>
      </c>
      <c r="C34" s="241"/>
      <c r="D34" s="241"/>
      <c r="E34" s="241"/>
      <c r="F34" s="241"/>
      <c r="G34" s="241"/>
      <c r="H34" s="241"/>
      <c r="I34" s="241"/>
      <c r="J34" s="241"/>
      <c r="K34" s="241"/>
      <c r="L34" s="241"/>
      <c r="M34" s="241"/>
      <c r="N34" s="241"/>
      <c r="O34" s="241"/>
      <c r="P34" s="241"/>
      <c r="Q34" s="241"/>
      <c r="R34" s="587">
        <f t="shared" si="7"/>
        <v>0</v>
      </c>
      <c r="S34" s="241"/>
      <c r="T34" s="241"/>
      <c r="U34" s="237"/>
    </row>
    <row r="35" spans="1:21" s="238" customFormat="1">
      <c r="A35" s="246" t="s">
        <v>38</v>
      </c>
      <c r="B35" s="240">
        <f t="shared" si="6"/>
        <v>0</v>
      </c>
      <c r="C35" s="241"/>
      <c r="D35" s="241"/>
      <c r="E35" s="241"/>
      <c r="F35" s="241"/>
      <c r="G35" s="241"/>
      <c r="H35" s="241"/>
      <c r="I35" s="241"/>
      <c r="J35" s="241"/>
      <c r="K35" s="241"/>
      <c r="L35" s="241"/>
      <c r="M35" s="241"/>
      <c r="N35" s="241"/>
      <c r="O35" s="241"/>
      <c r="P35" s="241"/>
      <c r="Q35" s="241"/>
      <c r="R35" s="587">
        <f t="shared" si="7"/>
        <v>0</v>
      </c>
      <c r="S35" s="241"/>
      <c r="T35" s="241"/>
      <c r="U35" s="237"/>
    </row>
    <row r="36" spans="1:21" s="238" customFormat="1">
      <c r="A36" s="243" t="s">
        <v>154</v>
      </c>
      <c r="B36" s="240">
        <f t="shared" si="6"/>
        <v>0</v>
      </c>
      <c r="C36" s="240">
        <f>SUM(C28:C35)</f>
        <v>0</v>
      </c>
      <c r="D36" s="240">
        <f t="shared" ref="D36:Q36" si="8">SUM(D28:D35)</f>
        <v>0</v>
      </c>
      <c r="E36" s="240">
        <f t="shared" si="8"/>
        <v>0</v>
      </c>
      <c r="F36" s="240">
        <f t="shared" si="8"/>
        <v>0</v>
      </c>
      <c r="G36" s="240">
        <f t="shared" si="8"/>
        <v>0</v>
      </c>
      <c r="H36" s="240">
        <f t="shared" si="8"/>
        <v>0</v>
      </c>
      <c r="I36" s="240">
        <f t="shared" si="8"/>
        <v>0</v>
      </c>
      <c r="J36" s="240">
        <f t="shared" si="8"/>
        <v>0</v>
      </c>
      <c r="K36" s="240">
        <f t="shared" si="8"/>
        <v>0</v>
      </c>
      <c r="L36" s="240">
        <f t="shared" si="8"/>
        <v>0</v>
      </c>
      <c r="M36" s="240">
        <f t="shared" si="8"/>
        <v>0</v>
      </c>
      <c r="N36" s="240">
        <f t="shared" si="8"/>
        <v>0</v>
      </c>
      <c r="O36" s="240">
        <f t="shared" si="8"/>
        <v>0</v>
      </c>
      <c r="P36" s="240">
        <f t="shared" si="8"/>
        <v>0</v>
      </c>
      <c r="Q36" s="240">
        <f t="shared" si="8"/>
        <v>0</v>
      </c>
      <c r="R36" s="588">
        <f>SUM(R28:R35)</f>
        <v>0</v>
      </c>
      <c r="S36" s="244">
        <f>SUM(S28:S35)</f>
        <v>0</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75000</v>
      </c>
      <c r="C38" s="241">
        <v>75000</v>
      </c>
      <c r="D38" s="241"/>
      <c r="E38" s="241">
        <f>C38</f>
        <v>75000</v>
      </c>
      <c r="F38" s="241"/>
      <c r="G38" s="241"/>
      <c r="H38" s="241"/>
      <c r="I38" s="241"/>
      <c r="J38" s="241"/>
      <c r="K38" s="241"/>
      <c r="L38" s="241"/>
      <c r="M38" s="241"/>
      <c r="N38" s="241"/>
      <c r="O38" s="241"/>
      <c r="P38" s="241"/>
      <c r="Q38" s="241"/>
      <c r="R38" s="587">
        <f>SUM(E38:Q38)</f>
        <v>75000</v>
      </c>
      <c r="S38" s="241">
        <f>C38</f>
        <v>75000</v>
      </c>
      <c r="T38" s="241"/>
      <c r="U38" s="237"/>
    </row>
    <row r="39" spans="1:21" s="238" customFormat="1">
      <c r="A39" s="239" t="s">
        <v>157</v>
      </c>
      <c r="B39" s="240">
        <f>SUM(C39+D39)</f>
        <v>25000</v>
      </c>
      <c r="C39" s="241">
        <v>25000</v>
      </c>
      <c r="D39" s="241"/>
      <c r="E39" s="241">
        <f>C39</f>
        <v>25000</v>
      </c>
      <c r="F39" s="241"/>
      <c r="G39" s="241"/>
      <c r="H39" s="241"/>
      <c r="I39" s="241"/>
      <c r="J39" s="241"/>
      <c r="K39" s="241"/>
      <c r="L39" s="241"/>
      <c r="M39" s="241"/>
      <c r="N39" s="241"/>
      <c r="O39" s="241"/>
      <c r="P39" s="241"/>
      <c r="Q39" s="241"/>
      <c r="R39" s="587">
        <f>SUM(E39:Q39)</f>
        <v>25000</v>
      </c>
      <c r="S39" s="241">
        <f>C39</f>
        <v>25000</v>
      </c>
      <c r="T39" s="241"/>
      <c r="U39" s="237"/>
    </row>
    <row r="40" spans="1:21" s="238" customFormat="1">
      <c r="A40" s="243" t="s">
        <v>158</v>
      </c>
      <c r="B40" s="240">
        <f>SUM(C40:D40)</f>
        <v>100000</v>
      </c>
      <c r="C40" s="240">
        <f>SUM(C37:C39)</f>
        <v>100000</v>
      </c>
      <c r="D40" s="240">
        <f>SUM(D37:D39)</f>
        <v>0</v>
      </c>
      <c r="E40" s="240">
        <f t="shared" ref="E40:T40" si="9">SUM(E38:E39)</f>
        <v>100000</v>
      </c>
      <c r="F40" s="240">
        <f t="shared" si="9"/>
        <v>0</v>
      </c>
      <c r="G40" s="240">
        <f t="shared" si="9"/>
        <v>0</v>
      </c>
      <c r="H40" s="240">
        <f t="shared" si="9"/>
        <v>0</v>
      </c>
      <c r="I40" s="240">
        <f t="shared" si="9"/>
        <v>0</v>
      </c>
      <c r="J40" s="240">
        <f t="shared" si="9"/>
        <v>0</v>
      </c>
      <c r="K40" s="240">
        <f t="shared" si="9"/>
        <v>0</v>
      </c>
      <c r="L40" s="240">
        <f t="shared" si="9"/>
        <v>0</v>
      </c>
      <c r="M40" s="240">
        <f t="shared" si="9"/>
        <v>0</v>
      </c>
      <c r="N40" s="240">
        <f t="shared" si="9"/>
        <v>0</v>
      </c>
      <c r="O40" s="240">
        <f t="shared" si="9"/>
        <v>0</v>
      </c>
      <c r="P40" s="240">
        <f t="shared" si="9"/>
        <v>0</v>
      </c>
      <c r="Q40" s="240">
        <f t="shared" si="9"/>
        <v>0</v>
      </c>
      <c r="R40" s="588">
        <f>SUM(R38:R39)</f>
        <v>100000</v>
      </c>
      <c r="S40" s="244">
        <f t="shared" si="9"/>
        <v>100000</v>
      </c>
      <c r="T40" s="244">
        <f t="shared" si="9"/>
        <v>0</v>
      </c>
      <c r="U40" s="237"/>
    </row>
    <row r="41" spans="1:21" s="238" customFormat="1">
      <c r="A41" s="243" t="s">
        <v>159</v>
      </c>
      <c r="B41" s="240">
        <f>SUM(C41:D41)</f>
        <v>35000</v>
      </c>
      <c r="C41" s="241">
        <v>35000</v>
      </c>
      <c r="D41" s="241"/>
      <c r="E41" s="241">
        <f>C41</f>
        <v>35000</v>
      </c>
      <c r="F41" s="241"/>
      <c r="G41" s="241"/>
      <c r="H41" s="241"/>
      <c r="I41" s="241"/>
      <c r="J41" s="241"/>
      <c r="K41" s="241"/>
      <c r="L41" s="241"/>
      <c r="M41" s="241"/>
      <c r="N41" s="241"/>
      <c r="O41" s="241"/>
      <c r="P41" s="241"/>
      <c r="Q41" s="241"/>
      <c r="R41" s="587">
        <f>SUM(E41:Q41)</f>
        <v>35000</v>
      </c>
      <c r="S41" s="241">
        <f>C41</f>
        <v>35000</v>
      </c>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0">SUM(C43+D43)</f>
        <v>334342</v>
      </c>
      <c r="C43" s="241">
        <v>334342</v>
      </c>
      <c r="D43" s="241"/>
      <c r="E43" s="241">
        <f>C43-G43</f>
        <v>85557</v>
      </c>
      <c r="F43" s="241"/>
      <c r="G43" s="241">
        <f>Application!AG619</f>
        <v>248785</v>
      </c>
      <c r="H43" s="241"/>
      <c r="I43" s="241"/>
      <c r="J43" s="241"/>
      <c r="K43" s="241"/>
      <c r="L43" s="241"/>
      <c r="M43" s="241"/>
      <c r="N43" s="241"/>
      <c r="O43" s="241"/>
      <c r="P43" s="241"/>
      <c r="Q43" s="241"/>
      <c r="R43" s="587">
        <f t="shared" ref="R43:R52" si="11">SUM(E43:Q43)</f>
        <v>334342</v>
      </c>
      <c r="S43" s="241"/>
      <c r="T43" s="241"/>
      <c r="U43" s="237"/>
    </row>
    <row r="44" spans="1:21" s="238" customFormat="1">
      <c r="A44" s="239" t="s">
        <v>162</v>
      </c>
      <c r="B44" s="240">
        <f t="shared" si="10"/>
        <v>0</v>
      </c>
      <c r="C44" s="241"/>
      <c r="D44" s="241"/>
      <c r="E44" s="241"/>
      <c r="F44" s="241"/>
      <c r="G44" s="241"/>
      <c r="H44" s="241"/>
      <c r="I44" s="241"/>
      <c r="J44" s="241"/>
      <c r="K44" s="241"/>
      <c r="L44" s="241"/>
      <c r="M44" s="241"/>
      <c r="N44" s="241"/>
      <c r="O44" s="241"/>
      <c r="P44" s="241"/>
      <c r="Q44" s="241"/>
      <c r="R44" s="587">
        <f t="shared" si="11"/>
        <v>0</v>
      </c>
      <c r="S44" s="241"/>
      <c r="T44" s="241"/>
      <c r="U44" s="237"/>
    </row>
    <row r="45" spans="1:21" s="238" customFormat="1">
      <c r="A45" s="327" t="s">
        <v>163</v>
      </c>
      <c r="B45" s="240">
        <f t="shared" si="10"/>
        <v>0</v>
      </c>
      <c r="C45" s="241"/>
      <c r="D45" s="241"/>
      <c r="E45" s="241"/>
      <c r="F45" s="241"/>
      <c r="G45" s="241"/>
      <c r="H45" s="241"/>
      <c r="I45" s="241"/>
      <c r="J45" s="241"/>
      <c r="K45" s="241"/>
      <c r="L45" s="241"/>
      <c r="M45" s="241"/>
      <c r="N45" s="241"/>
      <c r="O45" s="241"/>
      <c r="P45" s="241"/>
      <c r="Q45" s="241"/>
      <c r="R45" s="587">
        <f t="shared" si="11"/>
        <v>0</v>
      </c>
      <c r="S45" s="241"/>
      <c r="T45" s="241"/>
      <c r="U45" s="237"/>
    </row>
    <row r="46" spans="1:21" s="238" customFormat="1">
      <c r="A46" s="239" t="s">
        <v>164</v>
      </c>
      <c r="B46" s="240">
        <f t="shared" si="10"/>
        <v>0</v>
      </c>
      <c r="C46" s="241"/>
      <c r="D46" s="241"/>
      <c r="E46" s="241"/>
      <c r="F46" s="241"/>
      <c r="G46" s="241"/>
      <c r="H46" s="241"/>
      <c r="I46" s="241"/>
      <c r="J46" s="241"/>
      <c r="K46" s="241"/>
      <c r="L46" s="241"/>
      <c r="M46" s="241"/>
      <c r="N46" s="241"/>
      <c r="O46" s="241"/>
      <c r="P46" s="241"/>
      <c r="Q46" s="241"/>
      <c r="R46" s="587">
        <f t="shared" si="11"/>
        <v>0</v>
      </c>
      <c r="S46" s="241"/>
      <c r="T46" s="241"/>
      <c r="U46" s="237"/>
    </row>
    <row r="47" spans="1:21" s="238" customFormat="1">
      <c r="A47" s="239" t="s">
        <v>63</v>
      </c>
      <c r="B47" s="240">
        <f t="shared" si="10"/>
        <v>0</v>
      </c>
      <c r="C47" s="241"/>
      <c r="D47" s="241"/>
      <c r="E47" s="241"/>
      <c r="F47" s="241"/>
      <c r="G47" s="241"/>
      <c r="H47" s="241"/>
      <c r="I47" s="241"/>
      <c r="J47" s="241"/>
      <c r="K47" s="241"/>
      <c r="L47" s="241"/>
      <c r="M47" s="241"/>
      <c r="N47" s="241"/>
      <c r="O47" s="241"/>
      <c r="P47" s="241"/>
      <c r="Q47" s="241"/>
      <c r="R47" s="587">
        <f t="shared" si="11"/>
        <v>0</v>
      </c>
      <c r="S47" s="241"/>
      <c r="T47" s="241"/>
      <c r="U47" s="237"/>
    </row>
    <row r="48" spans="1:21" s="238" customFormat="1">
      <c r="A48" s="239" t="s">
        <v>167</v>
      </c>
      <c r="B48" s="240">
        <f t="shared" si="10"/>
        <v>75000</v>
      </c>
      <c r="C48" s="241">
        <v>75000</v>
      </c>
      <c r="D48" s="241"/>
      <c r="E48" s="241">
        <f>C48</f>
        <v>75000</v>
      </c>
      <c r="F48" s="241"/>
      <c r="G48" s="241"/>
      <c r="H48" s="241"/>
      <c r="I48" s="241"/>
      <c r="J48" s="241"/>
      <c r="K48" s="241"/>
      <c r="L48" s="241"/>
      <c r="M48" s="241"/>
      <c r="N48" s="241"/>
      <c r="O48" s="241"/>
      <c r="P48" s="241"/>
      <c r="Q48" s="241"/>
      <c r="R48" s="587">
        <f t="shared" si="11"/>
        <v>75000</v>
      </c>
      <c r="S48" s="241"/>
      <c r="T48" s="241">
        <f>C48</f>
        <v>75000</v>
      </c>
      <c r="U48" s="237"/>
    </row>
    <row r="49" spans="1:21" s="238" customFormat="1">
      <c r="A49" s="479" t="s">
        <v>165</v>
      </c>
      <c r="B49" s="240">
        <f t="shared" si="10"/>
        <v>0</v>
      </c>
      <c r="C49" s="241"/>
      <c r="D49" s="241"/>
      <c r="E49" s="241"/>
      <c r="F49" s="241"/>
      <c r="G49" s="241"/>
      <c r="H49" s="241"/>
      <c r="I49" s="241"/>
      <c r="J49" s="241"/>
      <c r="K49" s="241"/>
      <c r="L49" s="241"/>
      <c r="M49" s="241"/>
      <c r="N49" s="241"/>
      <c r="O49" s="241"/>
      <c r="P49" s="241"/>
      <c r="Q49" s="241"/>
      <c r="R49" s="587">
        <f t="shared" si="11"/>
        <v>0</v>
      </c>
      <c r="S49" s="241"/>
      <c r="T49" s="241"/>
      <c r="U49" s="237"/>
    </row>
    <row r="50" spans="1:21" s="238" customFormat="1">
      <c r="A50" s="239" t="s">
        <v>166</v>
      </c>
      <c r="B50" s="240">
        <f t="shared" si="10"/>
        <v>0</v>
      </c>
      <c r="C50" s="241"/>
      <c r="D50" s="241"/>
      <c r="E50" s="241"/>
      <c r="F50" s="241"/>
      <c r="G50" s="241"/>
      <c r="H50" s="241"/>
      <c r="I50" s="241"/>
      <c r="J50" s="241"/>
      <c r="K50" s="241"/>
      <c r="L50" s="241"/>
      <c r="M50" s="241"/>
      <c r="N50" s="241"/>
      <c r="O50" s="241"/>
      <c r="P50" s="241"/>
      <c r="Q50" s="241"/>
      <c r="R50" s="587">
        <f t="shared" si="11"/>
        <v>0</v>
      </c>
      <c r="S50" s="241"/>
      <c r="T50" s="241"/>
      <c r="U50" s="237"/>
    </row>
    <row r="51" spans="1:21" s="238" customFormat="1">
      <c r="A51" s="246" t="s">
        <v>38</v>
      </c>
      <c r="B51" s="240">
        <f t="shared" si="10"/>
        <v>0</v>
      </c>
      <c r="C51" s="241"/>
      <c r="D51" s="241"/>
      <c r="E51" s="241"/>
      <c r="F51" s="241"/>
      <c r="G51" s="241"/>
      <c r="H51" s="241"/>
      <c r="I51" s="241"/>
      <c r="J51" s="241"/>
      <c r="K51" s="241"/>
      <c r="L51" s="241"/>
      <c r="M51" s="241"/>
      <c r="N51" s="241"/>
      <c r="O51" s="241"/>
      <c r="P51" s="241"/>
      <c r="Q51" s="241"/>
      <c r="R51" s="587">
        <f t="shared" si="11"/>
        <v>0</v>
      </c>
      <c r="S51" s="241"/>
      <c r="T51" s="241"/>
      <c r="U51" s="237"/>
    </row>
    <row r="52" spans="1:21" s="238" customFormat="1">
      <c r="A52" s="246" t="s">
        <v>38</v>
      </c>
      <c r="B52" s="240">
        <f t="shared" si="10"/>
        <v>0</v>
      </c>
      <c r="C52" s="241"/>
      <c r="D52" s="241"/>
      <c r="E52" s="241"/>
      <c r="F52" s="241"/>
      <c r="G52" s="241"/>
      <c r="H52" s="241"/>
      <c r="I52" s="241"/>
      <c r="J52" s="241"/>
      <c r="K52" s="241"/>
      <c r="L52" s="241"/>
      <c r="M52" s="241"/>
      <c r="N52" s="241"/>
      <c r="O52" s="241"/>
      <c r="P52" s="241"/>
      <c r="Q52" s="241"/>
      <c r="R52" s="587">
        <f t="shared" si="11"/>
        <v>0</v>
      </c>
      <c r="S52" s="241"/>
      <c r="T52" s="241"/>
      <c r="U52" s="237"/>
    </row>
    <row r="53" spans="1:21" s="248" customFormat="1">
      <c r="A53" s="243" t="s">
        <v>168</v>
      </c>
      <c r="B53" s="244">
        <f>SUM(C53:D53)</f>
        <v>409342</v>
      </c>
      <c r="C53" s="244">
        <f t="shared" ref="C53:T53" si="12">SUM(C43:C52)</f>
        <v>409342</v>
      </c>
      <c r="D53" s="244">
        <f t="shared" si="12"/>
        <v>0</v>
      </c>
      <c r="E53" s="244">
        <f t="shared" si="12"/>
        <v>160557</v>
      </c>
      <c r="F53" s="244">
        <f t="shared" si="12"/>
        <v>0</v>
      </c>
      <c r="G53" s="244">
        <f t="shared" si="12"/>
        <v>248785</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588">
        <f>SUM(R43:R52)</f>
        <v>409342</v>
      </c>
      <c r="S53" s="244">
        <f t="shared" si="12"/>
        <v>0</v>
      </c>
      <c r="T53" s="244">
        <f t="shared" si="12"/>
        <v>75000</v>
      </c>
      <c r="U53" s="247"/>
    </row>
    <row r="54" spans="1:21" s="238" customFormat="1">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3">SUM(C55+D55)</f>
        <v>170000</v>
      </c>
      <c r="C55" s="241">
        <v>170000</v>
      </c>
      <c r="D55" s="241"/>
      <c r="E55" s="241">
        <f>C55</f>
        <v>170000</v>
      </c>
      <c r="F55" s="241"/>
      <c r="G55" s="241"/>
      <c r="H55" s="241"/>
      <c r="I55" s="241"/>
      <c r="J55" s="241"/>
      <c r="K55" s="241"/>
      <c r="L55" s="241"/>
      <c r="M55" s="241"/>
      <c r="N55" s="241"/>
      <c r="O55" s="241"/>
      <c r="P55" s="241"/>
      <c r="Q55" s="241"/>
      <c r="R55" s="587">
        <f t="shared" ref="R55:R61" si="14">SUM(E55:Q55)</f>
        <v>170000</v>
      </c>
      <c r="S55" s="242"/>
      <c r="T55" s="242"/>
      <c r="U55" s="237"/>
    </row>
    <row r="56" spans="1:21" s="333" customFormat="1">
      <c r="A56" s="327" t="s">
        <v>163</v>
      </c>
      <c r="B56" s="334">
        <f t="shared" si="13"/>
        <v>0</v>
      </c>
      <c r="C56" s="331"/>
      <c r="D56" s="331"/>
      <c r="E56" s="331"/>
      <c r="F56" s="331"/>
      <c r="G56" s="331"/>
      <c r="H56" s="331"/>
      <c r="I56" s="331"/>
      <c r="J56" s="331"/>
      <c r="K56" s="331"/>
      <c r="L56" s="331"/>
      <c r="M56" s="331"/>
      <c r="N56" s="331"/>
      <c r="O56" s="331"/>
      <c r="P56" s="331"/>
      <c r="Q56" s="331"/>
      <c r="R56" s="587">
        <f t="shared" si="14"/>
        <v>0</v>
      </c>
      <c r="S56" s="335"/>
      <c r="T56" s="335"/>
      <c r="U56" s="332"/>
    </row>
    <row r="57" spans="1:21" s="238" customFormat="1">
      <c r="A57" s="239" t="s">
        <v>167</v>
      </c>
      <c r="B57" s="240">
        <f t="shared" si="13"/>
        <v>0</v>
      </c>
      <c r="C57" s="241"/>
      <c r="D57" s="241"/>
      <c r="E57" s="241"/>
      <c r="F57" s="241"/>
      <c r="G57" s="241"/>
      <c r="H57" s="241"/>
      <c r="I57" s="241"/>
      <c r="J57" s="241"/>
      <c r="K57" s="241"/>
      <c r="L57" s="241"/>
      <c r="M57" s="241"/>
      <c r="N57" s="241"/>
      <c r="O57" s="241"/>
      <c r="P57" s="241"/>
      <c r="Q57" s="241"/>
      <c r="R57" s="587">
        <f t="shared" si="14"/>
        <v>0</v>
      </c>
      <c r="S57" s="242"/>
      <c r="T57" s="242"/>
      <c r="U57" s="237"/>
    </row>
    <row r="58" spans="1:21" s="238" customFormat="1">
      <c r="A58" s="479" t="s">
        <v>165</v>
      </c>
      <c r="B58" s="240">
        <f t="shared" si="13"/>
        <v>0</v>
      </c>
      <c r="C58" s="241"/>
      <c r="D58" s="241"/>
      <c r="E58" s="241"/>
      <c r="F58" s="241"/>
      <c r="G58" s="241"/>
      <c r="H58" s="241"/>
      <c r="I58" s="241"/>
      <c r="J58" s="241"/>
      <c r="K58" s="241"/>
      <c r="L58" s="241"/>
      <c r="M58" s="241"/>
      <c r="N58" s="241"/>
      <c r="O58" s="241"/>
      <c r="P58" s="241"/>
      <c r="Q58" s="241"/>
      <c r="R58" s="587">
        <f t="shared" si="14"/>
        <v>0</v>
      </c>
      <c r="S58" s="242"/>
      <c r="T58" s="242"/>
      <c r="U58" s="237"/>
    </row>
    <row r="59" spans="1:21" s="238" customFormat="1">
      <c r="A59" s="239" t="s">
        <v>166</v>
      </c>
      <c r="B59" s="240">
        <f t="shared" si="13"/>
        <v>0</v>
      </c>
      <c r="C59" s="241"/>
      <c r="D59" s="241"/>
      <c r="E59" s="241"/>
      <c r="F59" s="241"/>
      <c r="G59" s="241"/>
      <c r="H59" s="241"/>
      <c r="I59" s="241"/>
      <c r="J59" s="241"/>
      <c r="K59" s="241"/>
      <c r="L59" s="241"/>
      <c r="M59" s="241"/>
      <c r="N59" s="241"/>
      <c r="O59" s="241"/>
      <c r="P59" s="241"/>
      <c r="Q59" s="241"/>
      <c r="R59" s="587">
        <f t="shared" si="14"/>
        <v>0</v>
      </c>
      <c r="S59" s="242"/>
      <c r="T59" s="242"/>
      <c r="U59" s="237"/>
    </row>
    <row r="60" spans="1:21" s="238" customFormat="1">
      <c r="A60" s="967" t="s">
        <v>1666</v>
      </c>
      <c r="B60" s="240">
        <f t="shared" si="13"/>
        <v>255000</v>
      </c>
      <c r="C60" s="241">
        <v>255000</v>
      </c>
      <c r="D60" s="241"/>
      <c r="E60" s="241">
        <f>C60</f>
        <v>255000</v>
      </c>
      <c r="F60" s="241"/>
      <c r="G60" s="241"/>
      <c r="H60" s="241"/>
      <c r="I60" s="241"/>
      <c r="J60" s="241"/>
      <c r="K60" s="241"/>
      <c r="L60" s="241"/>
      <c r="M60" s="241"/>
      <c r="N60" s="241"/>
      <c r="O60" s="241"/>
      <c r="P60" s="241"/>
      <c r="Q60" s="241"/>
      <c r="R60" s="587">
        <f t="shared" si="14"/>
        <v>255000</v>
      </c>
      <c r="S60" s="242"/>
      <c r="T60" s="242"/>
      <c r="U60" s="237"/>
    </row>
    <row r="61" spans="1:21" s="238" customFormat="1">
      <c r="A61" s="246" t="s">
        <v>38</v>
      </c>
      <c r="B61" s="240">
        <f t="shared" si="13"/>
        <v>0</v>
      </c>
      <c r="C61" s="241"/>
      <c r="D61" s="241"/>
      <c r="E61" s="241"/>
      <c r="F61" s="241"/>
      <c r="G61" s="241"/>
      <c r="H61" s="241"/>
      <c r="I61" s="241"/>
      <c r="J61" s="241"/>
      <c r="K61" s="241"/>
      <c r="L61" s="241"/>
      <c r="M61" s="241"/>
      <c r="N61" s="241"/>
      <c r="O61" s="241"/>
      <c r="P61" s="241"/>
      <c r="Q61" s="241"/>
      <c r="R61" s="587">
        <f t="shared" si="14"/>
        <v>0</v>
      </c>
      <c r="S61" s="242"/>
      <c r="T61" s="242"/>
      <c r="U61" s="237"/>
    </row>
    <row r="62" spans="1:21" s="238" customFormat="1" ht="13.7" customHeight="1">
      <c r="A62" s="243" t="s">
        <v>324</v>
      </c>
      <c r="B62" s="240">
        <f>SUM(C62:D62)</f>
        <v>425000</v>
      </c>
      <c r="C62" s="240">
        <f t="shared" ref="C62:Q62" si="15">SUM(C55:C61)</f>
        <v>425000</v>
      </c>
      <c r="D62" s="240">
        <f t="shared" si="15"/>
        <v>0</v>
      </c>
      <c r="E62" s="240">
        <f t="shared" si="15"/>
        <v>425000</v>
      </c>
      <c r="F62" s="240">
        <f t="shared" si="15"/>
        <v>0</v>
      </c>
      <c r="G62" s="240">
        <f t="shared" si="15"/>
        <v>0</v>
      </c>
      <c r="H62" s="240">
        <f t="shared" si="15"/>
        <v>0</v>
      </c>
      <c r="I62" s="240">
        <f t="shared" si="15"/>
        <v>0</v>
      </c>
      <c r="J62" s="240">
        <f t="shared" si="15"/>
        <v>0</v>
      </c>
      <c r="K62" s="240">
        <f t="shared" si="15"/>
        <v>0</v>
      </c>
      <c r="L62" s="240">
        <f t="shared" si="15"/>
        <v>0</v>
      </c>
      <c r="M62" s="240">
        <f t="shared" si="15"/>
        <v>0</v>
      </c>
      <c r="N62" s="240">
        <f t="shared" si="15"/>
        <v>0</v>
      </c>
      <c r="O62" s="240">
        <f t="shared" si="15"/>
        <v>0</v>
      </c>
      <c r="P62" s="240">
        <f t="shared" si="15"/>
        <v>0</v>
      </c>
      <c r="Q62" s="240">
        <f t="shared" si="15"/>
        <v>0</v>
      </c>
      <c r="R62" s="588">
        <f>SUM(R55:R61)</f>
        <v>425000</v>
      </c>
      <c r="S62" s="242"/>
      <c r="T62" s="242"/>
      <c r="U62" s="237"/>
    </row>
    <row r="63" spans="1:21" s="238" customFormat="1">
      <c r="A63" s="249" t="s">
        <v>325</v>
      </c>
      <c r="B63" s="240">
        <f>SUM(B8+B11+B13+B14+B15+B25+B26+B36+B40+B41+B53+B62)</f>
        <v>12855783.547717843</v>
      </c>
      <c r="C63" s="240">
        <f t="shared" ref="C63:Q63" si="16">SUM(C8+C11+C13+C14+C15+C25+C26+C36+C40+C41+C53+C62)</f>
        <v>12855783.547717843</v>
      </c>
      <c r="D63" s="240">
        <f t="shared" si="16"/>
        <v>0</v>
      </c>
      <c r="E63" s="240">
        <f t="shared" si="16"/>
        <v>3486998.5477178423</v>
      </c>
      <c r="F63" s="240">
        <f t="shared" si="16"/>
        <v>9120000</v>
      </c>
      <c r="G63" s="240">
        <f t="shared" si="16"/>
        <v>248785</v>
      </c>
      <c r="H63" s="240">
        <f t="shared" si="16"/>
        <v>0</v>
      </c>
      <c r="I63" s="240">
        <f t="shared" si="16"/>
        <v>0</v>
      </c>
      <c r="J63" s="240">
        <f t="shared" si="16"/>
        <v>0</v>
      </c>
      <c r="K63" s="240">
        <f t="shared" si="16"/>
        <v>0</v>
      </c>
      <c r="L63" s="240">
        <f t="shared" si="16"/>
        <v>0</v>
      </c>
      <c r="M63" s="240">
        <f t="shared" si="16"/>
        <v>0</v>
      </c>
      <c r="N63" s="240">
        <f t="shared" si="16"/>
        <v>0</v>
      </c>
      <c r="O63" s="240">
        <f t="shared" si="16"/>
        <v>0</v>
      </c>
      <c r="P63" s="240">
        <f t="shared" si="16"/>
        <v>0</v>
      </c>
      <c r="Q63" s="240">
        <f t="shared" si="16"/>
        <v>0</v>
      </c>
      <c r="R63" s="588">
        <f>SUM(R8+R11+R13+R14+R15+R25+R26+R36+R40+R41+R53+R62)</f>
        <v>12855783.547717843</v>
      </c>
      <c r="S63" s="240">
        <f>SUM(S10+S13+S14+S15+S25+S26+S36+S40+S41+S53)</f>
        <v>5046422</v>
      </c>
      <c r="T63" s="240">
        <f>SUM(T11+T13+T14+T15+T25+T26+T36+T40+T41+T53)</f>
        <v>6628796</v>
      </c>
      <c r="U63" s="237"/>
    </row>
    <row r="64" spans="1:21" s="238" customFormat="1">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183</v>
      </c>
      <c r="B65" s="240">
        <f>SUM(C65+D65)</f>
        <v>75000</v>
      </c>
      <c r="C65" s="241">
        <v>75000</v>
      </c>
      <c r="D65" s="241"/>
      <c r="E65" s="241">
        <f>C65</f>
        <v>75000</v>
      </c>
      <c r="F65" s="241"/>
      <c r="G65" s="241"/>
      <c r="H65" s="241"/>
      <c r="I65" s="241"/>
      <c r="J65" s="241"/>
      <c r="K65" s="241"/>
      <c r="L65" s="241"/>
      <c r="M65" s="241"/>
      <c r="N65" s="241"/>
      <c r="O65" s="241"/>
      <c r="P65" s="241"/>
      <c r="Q65" s="241"/>
      <c r="R65" s="587">
        <f>SUM(E65:Q65)</f>
        <v>75000</v>
      </c>
      <c r="S65" s="241"/>
      <c r="T65" s="241"/>
      <c r="U65" s="237"/>
    </row>
    <row r="66" spans="1:21" s="238" customFormat="1">
      <c r="A66" s="967" t="s">
        <v>1667</v>
      </c>
      <c r="B66" s="240">
        <f>SUM(C66+D66)</f>
        <v>75000</v>
      </c>
      <c r="C66" s="241">
        <f>50000+25000</f>
        <v>75000</v>
      </c>
      <c r="D66" s="241"/>
      <c r="E66" s="241">
        <f>C66</f>
        <v>75000</v>
      </c>
      <c r="F66" s="241"/>
      <c r="G66" s="241"/>
      <c r="H66" s="241"/>
      <c r="I66" s="241"/>
      <c r="J66" s="241"/>
      <c r="K66" s="241"/>
      <c r="L66" s="241"/>
      <c r="M66" s="241"/>
      <c r="N66" s="241"/>
      <c r="O66" s="241"/>
      <c r="P66" s="241"/>
      <c r="Q66" s="241"/>
      <c r="R66" s="587">
        <f>SUM(E66:Q66)</f>
        <v>75000</v>
      </c>
      <c r="S66" s="241"/>
      <c r="T66" s="241"/>
      <c r="U66" s="237"/>
    </row>
    <row r="67" spans="1:21" s="238" customFormat="1">
      <c r="A67" s="243" t="s">
        <v>682</v>
      </c>
      <c r="B67" s="240">
        <f>SUM(C67:D67)</f>
        <v>150000</v>
      </c>
      <c r="C67" s="240">
        <f>SUM(C64:C66)</f>
        <v>150000</v>
      </c>
      <c r="D67" s="240">
        <f>SUM(D64:D66)</f>
        <v>0</v>
      </c>
      <c r="E67" s="240">
        <f t="shared" ref="E67:T67" si="17">SUM(E65:E66)</f>
        <v>150000</v>
      </c>
      <c r="F67" s="240">
        <f t="shared" si="17"/>
        <v>0</v>
      </c>
      <c r="G67" s="240">
        <f t="shared" si="17"/>
        <v>0</v>
      </c>
      <c r="H67" s="240">
        <f t="shared" si="17"/>
        <v>0</v>
      </c>
      <c r="I67" s="240">
        <f t="shared" si="17"/>
        <v>0</v>
      </c>
      <c r="J67" s="240">
        <f t="shared" si="17"/>
        <v>0</v>
      </c>
      <c r="K67" s="240">
        <f t="shared" si="17"/>
        <v>0</v>
      </c>
      <c r="L67" s="240">
        <f t="shared" si="17"/>
        <v>0</v>
      </c>
      <c r="M67" s="240">
        <f t="shared" si="17"/>
        <v>0</v>
      </c>
      <c r="N67" s="240">
        <f t="shared" si="17"/>
        <v>0</v>
      </c>
      <c r="O67" s="240">
        <f t="shared" si="17"/>
        <v>0</v>
      </c>
      <c r="P67" s="240">
        <f t="shared" si="17"/>
        <v>0</v>
      </c>
      <c r="Q67" s="240">
        <f t="shared" si="17"/>
        <v>0</v>
      </c>
      <c r="R67" s="588">
        <f>SUM(R65:R66)</f>
        <v>150000</v>
      </c>
      <c r="S67" s="244">
        <f>SUM(S65:S66)</f>
        <v>0</v>
      </c>
      <c r="T67" s="244">
        <f t="shared" si="17"/>
        <v>0</v>
      </c>
      <c r="U67" s="237"/>
    </row>
    <row r="68" spans="1:21" s="238" customFormat="1">
      <c r="A68" s="235" t="s">
        <v>683</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684</v>
      </c>
      <c r="B69" s="240">
        <f>SUM(C69+D69)</f>
        <v>300000</v>
      </c>
      <c r="C69" s="241">
        <v>300000</v>
      </c>
      <c r="D69" s="241"/>
      <c r="E69" s="241">
        <f>C69</f>
        <v>300000</v>
      </c>
      <c r="F69" s="241"/>
      <c r="G69" s="241"/>
      <c r="H69" s="241"/>
      <c r="I69" s="241"/>
      <c r="J69" s="241"/>
      <c r="K69" s="241"/>
      <c r="L69" s="241"/>
      <c r="M69" s="241"/>
      <c r="N69" s="241"/>
      <c r="O69" s="241"/>
      <c r="P69" s="241"/>
      <c r="Q69" s="241"/>
      <c r="R69" s="587">
        <f>SUM(E69:Q69)</f>
        <v>300000</v>
      </c>
      <c r="S69" s="242"/>
      <c r="T69" s="242"/>
      <c r="U69" s="237"/>
    </row>
    <row r="70" spans="1:21" s="238" customFormat="1">
      <c r="A70" s="239" t="s">
        <v>685</v>
      </c>
      <c r="B70" s="240">
        <f>SUM(C70+D70)</f>
        <v>0</v>
      </c>
      <c r="C70" s="241"/>
      <c r="D70" s="241"/>
      <c r="E70" s="241"/>
      <c r="F70" s="241"/>
      <c r="G70" s="241"/>
      <c r="H70" s="241"/>
      <c r="I70" s="241"/>
      <c r="J70" s="241"/>
      <c r="K70" s="241"/>
      <c r="L70" s="241"/>
      <c r="M70" s="241"/>
      <c r="N70" s="241"/>
      <c r="O70" s="241"/>
      <c r="P70" s="241"/>
      <c r="Q70" s="241"/>
      <c r="R70" s="587">
        <f>SUM(E70:Q70)</f>
        <v>0</v>
      </c>
      <c r="S70" s="242"/>
      <c r="T70" s="242"/>
      <c r="U70" s="237"/>
    </row>
    <row r="71" spans="1:21" s="238" customFormat="1">
      <c r="A71" s="810" t="s">
        <v>1173</v>
      </c>
      <c r="B71" s="240">
        <f>SUM(C71+D71)</f>
        <v>0</v>
      </c>
      <c r="C71" s="241"/>
      <c r="D71" s="241"/>
      <c r="E71" s="241"/>
      <c r="F71" s="241"/>
      <c r="G71" s="241"/>
      <c r="H71" s="241"/>
      <c r="I71" s="241"/>
      <c r="J71" s="241"/>
      <c r="K71" s="241"/>
      <c r="L71" s="241"/>
      <c r="M71" s="241"/>
      <c r="N71" s="241"/>
      <c r="O71" s="241"/>
      <c r="P71" s="241"/>
      <c r="Q71" s="241"/>
      <c r="R71" s="587">
        <f>SUM(E71:Q71)</f>
        <v>0</v>
      </c>
      <c r="S71" s="242"/>
      <c r="T71" s="242"/>
      <c r="U71" s="237"/>
    </row>
    <row r="72" spans="1:21" s="238" customFormat="1">
      <c r="A72" s="239" t="s">
        <v>686</v>
      </c>
      <c r="B72" s="240">
        <f>SUM(C72+D72)</f>
        <v>234640</v>
      </c>
      <c r="C72" s="241">
        <f>ROUND(Application!AC864,0)</f>
        <v>234640</v>
      </c>
      <c r="D72" s="241"/>
      <c r="E72" s="241">
        <f>C72</f>
        <v>234640</v>
      </c>
      <c r="F72" s="241"/>
      <c r="G72" s="241"/>
      <c r="H72" s="241"/>
      <c r="I72" s="241"/>
      <c r="J72" s="241"/>
      <c r="K72" s="241"/>
      <c r="L72" s="241"/>
      <c r="M72" s="241"/>
      <c r="N72" s="241"/>
      <c r="O72" s="241"/>
      <c r="P72" s="241"/>
      <c r="Q72" s="241"/>
      <c r="R72" s="587">
        <f>SUM(E72:Q72)</f>
        <v>234640</v>
      </c>
      <c r="S72" s="242"/>
      <c r="T72" s="242"/>
      <c r="U72" s="237"/>
    </row>
    <row r="73" spans="1:21" s="238" customFormat="1">
      <c r="A73" s="246" t="s">
        <v>38</v>
      </c>
      <c r="B73" s="240">
        <f>SUM(C73+D73)</f>
        <v>0</v>
      </c>
      <c r="C73" s="241"/>
      <c r="D73" s="241"/>
      <c r="E73" s="241"/>
      <c r="F73" s="241"/>
      <c r="G73" s="241"/>
      <c r="H73" s="241"/>
      <c r="I73" s="241"/>
      <c r="J73" s="241"/>
      <c r="K73" s="241"/>
      <c r="L73" s="241"/>
      <c r="M73" s="241"/>
      <c r="N73" s="241"/>
      <c r="O73" s="241"/>
      <c r="P73" s="241"/>
      <c r="Q73" s="241"/>
      <c r="R73" s="587">
        <f>SUM(E73:Q73)</f>
        <v>0</v>
      </c>
      <c r="S73" s="242"/>
      <c r="T73" s="242"/>
      <c r="U73" s="237"/>
    </row>
    <row r="74" spans="1:21" s="238" customFormat="1">
      <c r="A74" s="243" t="s">
        <v>687</v>
      </c>
      <c r="B74" s="240">
        <f>SUM(C74:D74)</f>
        <v>534640</v>
      </c>
      <c r="C74" s="240">
        <f>SUM(C69:C73)</f>
        <v>534640</v>
      </c>
      <c r="D74" s="240">
        <f>SUM(D69:D73)</f>
        <v>0</v>
      </c>
      <c r="E74" s="240">
        <f t="shared" ref="E74:Q74" si="18">SUM(E69:E73)</f>
        <v>534640</v>
      </c>
      <c r="F74" s="240">
        <f t="shared" si="18"/>
        <v>0</v>
      </c>
      <c r="G74" s="240">
        <f t="shared" si="18"/>
        <v>0</v>
      </c>
      <c r="H74" s="240">
        <f t="shared" si="18"/>
        <v>0</v>
      </c>
      <c r="I74" s="240">
        <f t="shared" si="18"/>
        <v>0</v>
      </c>
      <c r="J74" s="240">
        <f t="shared" si="18"/>
        <v>0</v>
      </c>
      <c r="K74" s="240">
        <f t="shared" si="18"/>
        <v>0</v>
      </c>
      <c r="L74" s="240">
        <f t="shared" si="18"/>
        <v>0</v>
      </c>
      <c r="M74" s="240">
        <f t="shared" si="18"/>
        <v>0</v>
      </c>
      <c r="N74" s="240">
        <f t="shared" si="18"/>
        <v>0</v>
      </c>
      <c r="O74" s="240">
        <f t="shared" si="18"/>
        <v>0</v>
      </c>
      <c r="P74" s="240">
        <f t="shared" si="18"/>
        <v>0</v>
      </c>
      <c r="Q74" s="240">
        <f t="shared" si="18"/>
        <v>0</v>
      </c>
      <c r="R74" s="588">
        <f>SUM(R69:R73)</f>
        <v>534640</v>
      </c>
      <c r="S74" s="242"/>
      <c r="T74" s="242"/>
      <c r="U74" s="237"/>
    </row>
    <row r="75" spans="1:21" s="238" customFormat="1">
      <c r="A75" s="235" t="s">
        <v>1560</v>
      </c>
      <c r="B75" s="245"/>
      <c r="C75" s="245"/>
      <c r="D75" s="245"/>
      <c r="E75" s="245"/>
      <c r="F75" s="245"/>
      <c r="G75" s="245"/>
      <c r="H75" s="245"/>
      <c r="I75" s="245"/>
      <c r="J75" s="245"/>
      <c r="K75" s="245"/>
      <c r="L75" s="245"/>
      <c r="M75" s="245"/>
      <c r="N75" s="245"/>
      <c r="O75" s="245"/>
      <c r="P75" s="245"/>
      <c r="Q75" s="245"/>
      <c r="R75" s="589"/>
      <c r="S75" s="245"/>
      <c r="T75" s="245"/>
      <c r="U75" s="237"/>
    </row>
    <row r="76" spans="1:21" s="238" customFormat="1">
      <c r="A76" s="479" t="s">
        <v>1562</v>
      </c>
      <c r="B76" s="240">
        <f>SUM(C76:D76)</f>
        <v>480207</v>
      </c>
      <c r="C76" s="241">
        <v>480207</v>
      </c>
      <c r="D76" s="241"/>
      <c r="E76" s="241">
        <f>C76</f>
        <v>480207</v>
      </c>
      <c r="F76" s="241"/>
      <c r="G76" s="241"/>
      <c r="H76" s="241"/>
      <c r="I76" s="241"/>
      <c r="J76" s="241"/>
      <c r="K76" s="241"/>
      <c r="L76" s="241"/>
      <c r="M76" s="241"/>
      <c r="N76" s="241"/>
      <c r="O76" s="241"/>
      <c r="P76" s="241"/>
      <c r="Q76" s="241"/>
      <c r="R76" s="587">
        <f>SUM(E76:Q76)</f>
        <v>480207</v>
      </c>
      <c r="S76" s="241">
        <f>C76</f>
        <v>480207</v>
      </c>
      <c r="T76" s="241"/>
      <c r="U76" s="237"/>
    </row>
    <row r="77" spans="1:21" s="238" customFormat="1">
      <c r="A77" s="479" t="s">
        <v>64</v>
      </c>
      <c r="B77" s="240">
        <f>SUM(C77:D77)</f>
        <v>75248</v>
      </c>
      <c r="C77" s="241">
        <v>75248</v>
      </c>
      <c r="D77" s="241"/>
      <c r="E77" s="241">
        <f>C77</f>
        <v>75248</v>
      </c>
      <c r="F77" s="241"/>
      <c r="G77" s="241"/>
      <c r="H77" s="241"/>
      <c r="I77" s="241"/>
      <c r="J77" s="241"/>
      <c r="K77" s="241"/>
      <c r="L77" s="241"/>
      <c r="M77" s="241"/>
      <c r="N77" s="241"/>
      <c r="O77" s="241"/>
      <c r="P77" s="241"/>
      <c r="Q77" s="241"/>
      <c r="R77" s="587">
        <f>SUM(E77:Q77)</f>
        <v>75248</v>
      </c>
      <c r="S77" s="241">
        <f>C77</f>
        <v>75248</v>
      </c>
      <c r="T77" s="241"/>
      <c r="U77" s="237"/>
    </row>
    <row r="78" spans="1:21" s="238" customFormat="1">
      <c r="A78" s="243" t="s">
        <v>1559</v>
      </c>
      <c r="B78" s="240">
        <f>SUM(C78:D78)</f>
        <v>555455</v>
      </c>
      <c r="C78" s="944">
        <f>SUM(C76:C77)</f>
        <v>555455</v>
      </c>
      <c r="D78" s="944">
        <f t="shared" ref="D78:T78" si="19">SUM(D76:D77)</f>
        <v>0</v>
      </c>
      <c r="E78" s="944">
        <f t="shared" si="19"/>
        <v>555455</v>
      </c>
      <c r="F78" s="944">
        <f t="shared" si="19"/>
        <v>0</v>
      </c>
      <c r="G78" s="944">
        <f t="shared" si="19"/>
        <v>0</v>
      </c>
      <c r="H78" s="944">
        <f t="shared" si="19"/>
        <v>0</v>
      </c>
      <c r="I78" s="944">
        <f t="shared" si="19"/>
        <v>0</v>
      </c>
      <c r="J78" s="944">
        <f t="shared" si="19"/>
        <v>0</v>
      </c>
      <c r="K78" s="944">
        <f t="shared" si="19"/>
        <v>0</v>
      </c>
      <c r="L78" s="944">
        <f t="shared" si="19"/>
        <v>0</v>
      </c>
      <c r="M78" s="944">
        <f t="shared" si="19"/>
        <v>0</v>
      </c>
      <c r="N78" s="944">
        <f t="shared" si="19"/>
        <v>0</v>
      </c>
      <c r="O78" s="944">
        <f t="shared" si="19"/>
        <v>0</v>
      </c>
      <c r="P78" s="944">
        <f t="shared" si="19"/>
        <v>0</v>
      </c>
      <c r="Q78" s="944">
        <f t="shared" si="19"/>
        <v>0</v>
      </c>
      <c r="R78" s="944">
        <f t="shared" si="19"/>
        <v>555455</v>
      </c>
      <c r="S78" s="944">
        <f t="shared" si="19"/>
        <v>555455</v>
      </c>
      <c r="T78" s="944">
        <f t="shared" si="19"/>
        <v>0</v>
      </c>
      <c r="U78" s="237"/>
    </row>
    <row r="79" spans="1:21" s="238" customFormat="1">
      <c r="A79" s="235" t="s">
        <v>876</v>
      </c>
      <c r="B79" s="245"/>
      <c r="C79" s="245"/>
      <c r="D79" s="245"/>
      <c r="E79" s="245"/>
      <c r="F79" s="245"/>
      <c r="G79" s="245"/>
      <c r="H79" s="245"/>
      <c r="I79" s="245"/>
      <c r="J79" s="245"/>
      <c r="K79" s="245"/>
      <c r="L79" s="245"/>
      <c r="M79" s="245"/>
      <c r="N79" s="245"/>
      <c r="O79" s="245"/>
      <c r="P79" s="245"/>
      <c r="Q79" s="245"/>
      <c r="R79" s="589"/>
      <c r="S79" s="245"/>
      <c r="T79" s="245"/>
      <c r="U79" s="237"/>
    </row>
    <row r="80" spans="1:21" s="238" customFormat="1" ht="13.7" customHeight="1">
      <c r="A80" s="239" t="s">
        <v>877</v>
      </c>
      <c r="B80" s="240">
        <f t="shared" ref="B80:B94" si="20">SUM(C80+D80)</f>
        <v>37605</v>
      </c>
      <c r="C80" s="241">
        <f>1620+33210+2775</f>
        <v>37605</v>
      </c>
      <c r="D80" s="241"/>
      <c r="E80" s="241">
        <f>C80</f>
        <v>37605</v>
      </c>
      <c r="F80" s="241"/>
      <c r="G80" s="241"/>
      <c r="H80" s="241"/>
      <c r="I80" s="241"/>
      <c r="J80" s="241"/>
      <c r="K80" s="241"/>
      <c r="L80" s="241"/>
      <c r="M80" s="241"/>
      <c r="N80" s="241"/>
      <c r="O80" s="241"/>
      <c r="P80" s="241"/>
      <c r="Q80" s="241"/>
      <c r="R80" s="587">
        <f t="shared" ref="R80:R94" si="21">SUM(E80:Q80)</f>
        <v>37605</v>
      </c>
      <c r="S80" s="242"/>
      <c r="T80" s="242"/>
      <c r="U80" s="237"/>
    </row>
    <row r="81" spans="1:21" s="238" customFormat="1">
      <c r="A81" s="239" t="s">
        <v>878</v>
      </c>
      <c r="B81" s="240">
        <f t="shared" si="20"/>
        <v>10000</v>
      </c>
      <c r="C81" s="241">
        <v>10000</v>
      </c>
      <c r="D81" s="241"/>
      <c r="E81" s="241">
        <f>C81</f>
        <v>10000</v>
      </c>
      <c r="F81" s="241"/>
      <c r="G81" s="241"/>
      <c r="H81" s="241"/>
      <c r="I81" s="241"/>
      <c r="J81" s="241"/>
      <c r="K81" s="241"/>
      <c r="L81" s="241"/>
      <c r="M81" s="241"/>
      <c r="N81" s="241"/>
      <c r="O81" s="241"/>
      <c r="P81" s="241"/>
      <c r="Q81" s="241"/>
      <c r="R81" s="587">
        <f t="shared" si="21"/>
        <v>10000</v>
      </c>
      <c r="S81" s="241">
        <f>C81</f>
        <v>10000</v>
      </c>
      <c r="T81" s="241"/>
      <c r="U81" s="237"/>
    </row>
    <row r="82" spans="1:21" s="238" customFormat="1">
      <c r="A82" s="239" t="s">
        <v>879</v>
      </c>
      <c r="B82" s="240">
        <f t="shared" si="20"/>
        <v>0</v>
      </c>
      <c r="C82" s="241"/>
      <c r="D82" s="241"/>
      <c r="E82" s="241"/>
      <c r="F82" s="241"/>
      <c r="G82" s="241"/>
      <c r="H82" s="241"/>
      <c r="I82" s="241"/>
      <c r="J82" s="241"/>
      <c r="K82" s="241"/>
      <c r="L82" s="241"/>
      <c r="M82" s="241"/>
      <c r="N82" s="241"/>
      <c r="O82" s="241"/>
      <c r="P82" s="241"/>
      <c r="Q82" s="241"/>
      <c r="R82" s="587">
        <f t="shared" si="21"/>
        <v>0</v>
      </c>
      <c r="S82" s="241"/>
      <c r="T82" s="241"/>
      <c r="U82" s="237"/>
    </row>
    <row r="83" spans="1:21" s="238" customFormat="1">
      <c r="A83" s="239" t="s">
        <v>880</v>
      </c>
      <c r="B83" s="240">
        <f t="shared" si="20"/>
        <v>50000</v>
      </c>
      <c r="C83" s="241">
        <v>50000</v>
      </c>
      <c r="D83" s="241"/>
      <c r="E83" s="241">
        <f>C83</f>
        <v>50000</v>
      </c>
      <c r="F83" s="241"/>
      <c r="G83" s="241"/>
      <c r="H83" s="241"/>
      <c r="I83" s="241"/>
      <c r="J83" s="241"/>
      <c r="K83" s="241"/>
      <c r="L83" s="241"/>
      <c r="M83" s="241"/>
      <c r="N83" s="241"/>
      <c r="O83" s="241"/>
      <c r="P83" s="241"/>
      <c r="Q83" s="241"/>
      <c r="R83" s="587">
        <f t="shared" si="21"/>
        <v>50000</v>
      </c>
      <c r="S83" s="241">
        <f>C83</f>
        <v>50000</v>
      </c>
      <c r="T83" s="241"/>
      <c r="U83" s="237"/>
    </row>
    <row r="84" spans="1:21" s="238" customFormat="1">
      <c r="A84" s="239" t="s">
        <v>881</v>
      </c>
      <c r="B84" s="240">
        <f t="shared" si="20"/>
        <v>0</v>
      </c>
      <c r="C84" s="241"/>
      <c r="D84" s="241"/>
      <c r="E84" s="241"/>
      <c r="F84" s="241"/>
      <c r="G84" s="241"/>
      <c r="H84" s="241"/>
      <c r="I84" s="241"/>
      <c r="J84" s="241"/>
      <c r="K84" s="241"/>
      <c r="L84" s="241"/>
      <c r="M84" s="241"/>
      <c r="N84" s="241"/>
      <c r="O84" s="241"/>
      <c r="P84" s="241"/>
      <c r="Q84" s="241"/>
      <c r="R84" s="587">
        <f t="shared" si="21"/>
        <v>0</v>
      </c>
      <c r="S84" s="241"/>
      <c r="T84" s="241"/>
      <c r="U84" s="237"/>
    </row>
    <row r="85" spans="1:21" s="238" customFormat="1">
      <c r="A85" s="239" t="s">
        <v>882</v>
      </c>
      <c r="B85" s="240">
        <f t="shared" si="20"/>
        <v>25000</v>
      </c>
      <c r="C85" s="241">
        <v>25000</v>
      </c>
      <c r="D85" s="241"/>
      <c r="E85" s="241">
        <f>C85</f>
        <v>25000</v>
      </c>
      <c r="F85" s="241"/>
      <c r="G85" s="241"/>
      <c r="H85" s="241"/>
      <c r="I85" s="241"/>
      <c r="J85" s="241"/>
      <c r="K85" s="241"/>
      <c r="L85" s="241"/>
      <c r="M85" s="241"/>
      <c r="N85" s="241"/>
      <c r="O85" s="241"/>
      <c r="P85" s="241"/>
      <c r="Q85" s="241"/>
      <c r="R85" s="587">
        <f t="shared" si="21"/>
        <v>25000</v>
      </c>
      <c r="S85" s="242"/>
      <c r="T85" s="242"/>
      <c r="U85" s="237"/>
    </row>
    <row r="86" spans="1:21" s="238" customFormat="1">
      <c r="A86" s="239" t="s">
        <v>883</v>
      </c>
      <c r="B86" s="240">
        <f t="shared" si="20"/>
        <v>0</v>
      </c>
      <c r="C86" s="241"/>
      <c r="D86" s="241"/>
      <c r="E86" s="241"/>
      <c r="F86" s="241"/>
      <c r="G86" s="241"/>
      <c r="H86" s="241"/>
      <c r="I86" s="241"/>
      <c r="J86" s="241"/>
      <c r="K86" s="241"/>
      <c r="L86" s="241"/>
      <c r="M86" s="241"/>
      <c r="N86" s="241"/>
      <c r="O86" s="241"/>
      <c r="P86" s="241"/>
      <c r="Q86" s="241"/>
      <c r="R86" s="587">
        <f t="shared" si="21"/>
        <v>0</v>
      </c>
      <c r="S86" s="241"/>
      <c r="T86" s="241"/>
      <c r="U86" s="237"/>
    </row>
    <row r="87" spans="1:21" s="238" customFormat="1">
      <c r="A87" s="239" t="s">
        <v>884</v>
      </c>
      <c r="B87" s="240">
        <f t="shared" si="20"/>
        <v>2500</v>
      </c>
      <c r="C87" s="241">
        <v>2500</v>
      </c>
      <c r="D87" s="241"/>
      <c r="E87" s="241">
        <f>C87</f>
        <v>2500</v>
      </c>
      <c r="F87" s="241"/>
      <c r="G87" s="241"/>
      <c r="H87" s="241"/>
      <c r="I87" s="241"/>
      <c r="J87" s="241"/>
      <c r="K87" s="241"/>
      <c r="L87" s="241"/>
      <c r="M87" s="241"/>
      <c r="N87" s="241"/>
      <c r="O87" s="241"/>
      <c r="P87" s="241"/>
      <c r="Q87" s="241"/>
      <c r="R87" s="587">
        <f t="shared" si="21"/>
        <v>2500</v>
      </c>
      <c r="S87" s="241">
        <f>C87</f>
        <v>2500</v>
      </c>
      <c r="T87" s="241"/>
      <c r="U87" s="237"/>
    </row>
    <row r="88" spans="1:21" s="238" customFormat="1">
      <c r="A88" s="250" t="s">
        <v>417</v>
      </c>
      <c r="B88" s="240">
        <f t="shared" si="20"/>
        <v>5000</v>
      </c>
      <c r="C88" s="241">
        <f>5000</f>
        <v>5000</v>
      </c>
      <c r="D88" s="241"/>
      <c r="E88" s="241">
        <f>C88</f>
        <v>5000</v>
      </c>
      <c r="F88" s="241"/>
      <c r="G88" s="241"/>
      <c r="H88" s="241"/>
      <c r="I88" s="241"/>
      <c r="J88" s="241"/>
      <c r="K88" s="241"/>
      <c r="L88" s="241"/>
      <c r="M88" s="241"/>
      <c r="N88" s="241"/>
      <c r="O88" s="241"/>
      <c r="P88" s="241"/>
      <c r="Q88" s="241"/>
      <c r="R88" s="587">
        <f t="shared" si="21"/>
        <v>5000</v>
      </c>
      <c r="S88" s="241">
        <f>C88</f>
        <v>5000</v>
      </c>
      <c r="T88" s="241"/>
      <c r="U88" s="237"/>
    </row>
    <row r="89" spans="1:21" s="238" customFormat="1">
      <c r="A89" s="943" t="s">
        <v>1561</v>
      </c>
      <c r="B89" s="240">
        <f t="shared" si="20"/>
        <v>7000</v>
      </c>
      <c r="C89" s="241">
        <v>7000</v>
      </c>
      <c r="D89" s="241"/>
      <c r="E89" s="241">
        <f>C89</f>
        <v>7000</v>
      </c>
      <c r="F89" s="241"/>
      <c r="G89" s="241"/>
      <c r="H89" s="241"/>
      <c r="I89" s="241"/>
      <c r="J89" s="241"/>
      <c r="K89" s="241"/>
      <c r="L89" s="241"/>
      <c r="M89" s="241"/>
      <c r="N89" s="241"/>
      <c r="O89" s="241"/>
      <c r="P89" s="241"/>
      <c r="Q89" s="241"/>
      <c r="R89" s="587">
        <f t="shared" si="21"/>
        <v>7000</v>
      </c>
      <c r="S89" s="241">
        <f>C89</f>
        <v>7000</v>
      </c>
      <c r="T89" s="241"/>
      <c r="U89" s="237"/>
    </row>
    <row r="90" spans="1:21" s="238" customFormat="1">
      <c r="A90" s="246" t="s">
        <v>38</v>
      </c>
      <c r="B90" s="240">
        <f t="shared" si="20"/>
        <v>0</v>
      </c>
      <c r="C90" s="241"/>
      <c r="D90" s="241"/>
      <c r="E90" s="241"/>
      <c r="F90" s="241"/>
      <c r="G90" s="241"/>
      <c r="H90" s="241"/>
      <c r="I90" s="241"/>
      <c r="J90" s="241"/>
      <c r="K90" s="241"/>
      <c r="L90" s="241"/>
      <c r="M90" s="241"/>
      <c r="N90" s="241"/>
      <c r="O90" s="241"/>
      <c r="P90" s="241"/>
      <c r="Q90" s="241"/>
      <c r="R90" s="587">
        <f t="shared" si="21"/>
        <v>0</v>
      </c>
      <c r="S90" s="241"/>
      <c r="T90" s="241"/>
      <c r="U90" s="237"/>
    </row>
    <row r="91" spans="1:21" s="238" customFormat="1">
      <c r="A91" s="246" t="s">
        <v>38</v>
      </c>
      <c r="B91" s="240">
        <f t="shared" si="20"/>
        <v>0</v>
      </c>
      <c r="C91" s="241"/>
      <c r="D91" s="241"/>
      <c r="E91" s="241"/>
      <c r="F91" s="241"/>
      <c r="G91" s="241"/>
      <c r="H91" s="241"/>
      <c r="I91" s="241"/>
      <c r="J91" s="241"/>
      <c r="K91" s="241"/>
      <c r="L91" s="241"/>
      <c r="M91" s="241"/>
      <c r="N91" s="241"/>
      <c r="O91" s="241"/>
      <c r="P91" s="241"/>
      <c r="Q91" s="241"/>
      <c r="R91" s="587">
        <f t="shared" si="21"/>
        <v>0</v>
      </c>
      <c r="S91" s="241"/>
      <c r="T91" s="241"/>
      <c r="U91" s="237"/>
    </row>
    <row r="92" spans="1:21" s="238" customFormat="1">
      <c r="A92" s="246" t="s">
        <v>38</v>
      </c>
      <c r="B92" s="240">
        <f t="shared" si="20"/>
        <v>0</v>
      </c>
      <c r="C92" s="241"/>
      <c r="D92" s="241"/>
      <c r="E92" s="241"/>
      <c r="F92" s="241"/>
      <c r="G92" s="241"/>
      <c r="H92" s="241"/>
      <c r="I92" s="241"/>
      <c r="J92" s="241"/>
      <c r="K92" s="241"/>
      <c r="L92" s="241"/>
      <c r="M92" s="241"/>
      <c r="N92" s="241"/>
      <c r="O92" s="241"/>
      <c r="P92" s="241"/>
      <c r="Q92" s="241"/>
      <c r="R92" s="587">
        <f t="shared" si="21"/>
        <v>0</v>
      </c>
      <c r="S92" s="241"/>
      <c r="T92" s="241"/>
      <c r="U92" s="237"/>
    </row>
    <row r="93" spans="1:21" s="238" customFormat="1">
      <c r="A93" s="246" t="s">
        <v>38</v>
      </c>
      <c r="B93" s="240">
        <f t="shared" si="20"/>
        <v>0</v>
      </c>
      <c r="C93" s="241"/>
      <c r="D93" s="241"/>
      <c r="E93" s="241"/>
      <c r="F93" s="241"/>
      <c r="G93" s="241"/>
      <c r="H93" s="241"/>
      <c r="I93" s="241"/>
      <c r="J93" s="241"/>
      <c r="K93" s="241"/>
      <c r="L93" s="241"/>
      <c r="M93" s="241"/>
      <c r="N93" s="241"/>
      <c r="O93" s="241"/>
      <c r="P93" s="241"/>
      <c r="Q93" s="241"/>
      <c r="R93" s="587">
        <f t="shared" si="21"/>
        <v>0</v>
      </c>
      <c r="S93" s="241"/>
      <c r="T93" s="241"/>
      <c r="U93" s="237"/>
    </row>
    <row r="94" spans="1:21" s="238" customFormat="1">
      <c r="A94" s="246" t="s">
        <v>38</v>
      </c>
      <c r="B94" s="240">
        <f t="shared" si="20"/>
        <v>0</v>
      </c>
      <c r="C94" s="241"/>
      <c r="D94" s="241"/>
      <c r="E94" s="241"/>
      <c r="F94" s="241"/>
      <c r="G94" s="241"/>
      <c r="H94" s="241"/>
      <c r="I94" s="241"/>
      <c r="J94" s="241"/>
      <c r="K94" s="241"/>
      <c r="L94" s="241"/>
      <c r="M94" s="241"/>
      <c r="N94" s="241"/>
      <c r="O94" s="241"/>
      <c r="P94" s="241"/>
      <c r="Q94" s="241"/>
      <c r="R94" s="587">
        <f t="shared" si="21"/>
        <v>0</v>
      </c>
      <c r="S94" s="241"/>
      <c r="T94" s="241"/>
      <c r="U94" s="237"/>
    </row>
    <row r="95" spans="1:21" s="238" customFormat="1">
      <c r="A95" s="243" t="s">
        <v>885</v>
      </c>
      <c r="B95" s="240">
        <f>SUM(C95:D95)</f>
        <v>137105</v>
      </c>
      <c r="C95" s="240">
        <f t="shared" ref="C95:Q95" si="22">SUM(C80:C94)</f>
        <v>137105</v>
      </c>
      <c r="D95" s="240">
        <f t="shared" si="22"/>
        <v>0</v>
      </c>
      <c r="E95" s="240">
        <f t="shared" si="22"/>
        <v>137105</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588">
        <f>SUM(R80:R94)</f>
        <v>137105</v>
      </c>
      <c r="S95" s="244">
        <f>SUM(S81:S84,S86:S94)</f>
        <v>74500</v>
      </c>
      <c r="T95" s="240">
        <f>SUM(T81:T84,T86:T94)</f>
        <v>0</v>
      </c>
      <c r="U95" s="237"/>
    </row>
    <row r="96" spans="1:21" s="238" customFormat="1">
      <c r="A96" s="243" t="s">
        <v>886</v>
      </c>
      <c r="B96" s="240">
        <f>SUM(C96:D96)</f>
        <v>14232983.547717843</v>
      </c>
      <c r="C96" s="240">
        <f>SUM(C63+C67+C74+C78+C95)</f>
        <v>14232983.547717843</v>
      </c>
      <c r="D96" s="240">
        <f t="shared" ref="D96:R96" si="23">SUM(D63+D67+D74+D78+D95)</f>
        <v>0</v>
      </c>
      <c r="E96" s="240">
        <f t="shared" si="23"/>
        <v>4864198.5477178423</v>
      </c>
      <c r="F96" s="240">
        <f t="shared" si="23"/>
        <v>9120000</v>
      </c>
      <c r="G96" s="240">
        <f t="shared" si="23"/>
        <v>248785</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14232983.547717843</v>
      </c>
      <c r="S96" s="240">
        <f>SUM(S63+S67+S78+S95)</f>
        <v>5676377</v>
      </c>
      <c r="T96" s="240">
        <f>SUM(T63+T67+T78+T95)</f>
        <v>6628796</v>
      </c>
      <c r="U96" s="237"/>
    </row>
    <row r="97" spans="1:21" s="238" customFormat="1">
      <c r="A97" s="235" t="s">
        <v>887</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888</v>
      </c>
      <c r="B98" s="240">
        <f t="shared" ref="B98:B103" si="24">SUM(C98+D98)</f>
        <v>1845775</v>
      </c>
      <c r="C98" s="241">
        <f>S98+T98</f>
        <v>1845775</v>
      </c>
      <c r="D98" s="241"/>
      <c r="E98" s="241">
        <f>C98-H98</f>
        <v>0</v>
      </c>
      <c r="F98" s="241"/>
      <c r="G98" s="241"/>
      <c r="H98" s="241">
        <f>Application!AG620</f>
        <v>1845775</v>
      </c>
      <c r="I98" s="241"/>
      <c r="J98" s="241"/>
      <c r="K98" s="241"/>
      <c r="L98" s="241"/>
      <c r="M98" s="241"/>
      <c r="N98" s="241"/>
      <c r="O98" s="241"/>
      <c r="P98" s="241"/>
      <c r="Q98" s="241"/>
      <c r="R98" s="587">
        <f t="shared" ref="R98:R103" si="25">SUM(E98:Q98)</f>
        <v>1845775</v>
      </c>
      <c r="S98" s="241">
        <f>ROUNDDOWN(S96*0.15,0)</f>
        <v>851456</v>
      </c>
      <c r="T98" s="241">
        <f>ROUNDDOWN(T96*0.15,0)</f>
        <v>994319</v>
      </c>
      <c r="U98" s="237"/>
    </row>
    <row r="99" spans="1:21" s="238" customFormat="1">
      <c r="A99" s="239" t="s">
        <v>889</v>
      </c>
      <c r="B99" s="240">
        <f t="shared" si="24"/>
        <v>0</v>
      </c>
      <c r="C99" s="241"/>
      <c r="D99" s="241"/>
      <c r="E99" s="241"/>
      <c r="F99" s="241"/>
      <c r="G99" s="241"/>
      <c r="H99" s="241"/>
      <c r="I99" s="241"/>
      <c r="J99" s="241"/>
      <c r="K99" s="241"/>
      <c r="L99" s="241"/>
      <c r="M99" s="241"/>
      <c r="N99" s="241"/>
      <c r="O99" s="241"/>
      <c r="P99" s="241"/>
      <c r="Q99" s="241"/>
      <c r="R99" s="587">
        <f t="shared" si="25"/>
        <v>0</v>
      </c>
      <c r="S99" s="241"/>
      <c r="T99" s="241"/>
      <c r="U99" s="237"/>
    </row>
    <row r="100" spans="1:21" s="238" customFormat="1">
      <c r="A100" s="239" t="s">
        <v>890</v>
      </c>
      <c r="B100" s="240">
        <f t="shared" si="24"/>
        <v>0</v>
      </c>
      <c r="C100" s="241"/>
      <c r="D100" s="241"/>
      <c r="E100" s="241"/>
      <c r="F100" s="241"/>
      <c r="G100" s="241"/>
      <c r="H100" s="241"/>
      <c r="I100" s="241"/>
      <c r="J100" s="241"/>
      <c r="K100" s="241"/>
      <c r="L100" s="241"/>
      <c r="M100" s="241"/>
      <c r="N100" s="241"/>
      <c r="O100" s="241"/>
      <c r="P100" s="241"/>
      <c r="Q100" s="241"/>
      <c r="R100" s="587">
        <f t="shared" si="25"/>
        <v>0</v>
      </c>
      <c r="S100" s="241"/>
      <c r="T100" s="241"/>
      <c r="U100" s="237"/>
    </row>
    <row r="101" spans="1:21" s="238" customFormat="1" ht="12" customHeight="1">
      <c r="A101" s="239" t="s">
        <v>891</v>
      </c>
      <c r="B101" s="240">
        <f t="shared" si="24"/>
        <v>0</v>
      </c>
      <c r="C101" s="241"/>
      <c r="D101" s="241"/>
      <c r="E101" s="241"/>
      <c r="F101" s="241"/>
      <c r="G101" s="241"/>
      <c r="H101" s="241"/>
      <c r="I101" s="241"/>
      <c r="J101" s="241"/>
      <c r="K101" s="241"/>
      <c r="L101" s="241"/>
      <c r="M101" s="241"/>
      <c r="N101" s="241"/>
      <c r="O101" s="241"/>
      <c r="P101" s="241"/>
      <c r="Q101" s="241"/>
      <c r="R101" s="587">
        <f t="shared" si="25"/>
        <v>0</v>
      </c>
      <c r="S101" s="241"/>
      <c r="T101" s="241"/>
      <c r="U101" s="237"/>
    </row>
    <row r="102" spans="1:21" s="238" customFormat="1">
      <c r="A102" s="479" t="s">
        <v>1178</v>
      </c>
      <c r="B102" s="240">
        <f t="shared" si="24"/>
        <v>0</v>
      </c>
      <c r="C102" s="241"/>
      <c r="D102" s="241"/>
      <c r="E102" s="241"/>
      <c r="F102" s="241"/>
      <c r="G102" s="241"/>
      <c r="H102" s="241"/>
      <c r="I102" s="241"/>
      <c r="J102" s="241"/>
      <c r="K102" s="241"/>
      <c r="L102" s="241"/>
      <c r="M102" s="241"/>
      <c r="N102" s="241"/>
      <c r="O102" s="241"/>
      <c r="P102" s="241"/>
      <c r="Q102" s="241"/>
      <c r="R102" s="587">
        <f t="shared" si="25"/>
        <v>0</v>
      </c>
      <c r="S102" s="241"/>
      <c r="T102" s="241"/>
      <c r="U102" s="237"/>
    </row>
    <row r="103" spans="1:21" s="238" customFormat="1">
      <c r="A103" s="246" t="s">
        <v>38</v>
      </c>
      <c r="B103" s="240">
        <f t="shared" si="24"/>
        <v>0</v>
      </c>
      <c r="C103" s="241"/>
      <c r="D103" s="241"/>
      <c r="E103" s="241"/>
      <c r="F103" s="241"/>
      <c r="G103" s="241"/>
      <c r="H103" s="241"/>
      <c r="I103" s="241"/>
      <c r="J103" s="241"/>
      <c r="K103" s="241"/>
      <c r="L103" s="241"/>
      <c r="M103" s="241"/>
      <c r="N103" s="241"/>
      <c r="O103" s="241"/>
      <c r="P103" s="241"/>
      <c r="Q103" s="241"/>
      <c r="R103" s="587">
        <f t="shared" si="25"/>
        <v>0</v>
      </c>
      <c r="S103" s="241"/>
      <c r="T103" s="241"/>
      <c r="U103" s="237"/>
    </row>
    <row r="104" spans="1:21" s="238" customFormat="1">
      <c r="A104" s="243" t="s">
        <v>893</v>
      </c>
      <c r="B104" s="240">
        <f>SUM(C104:D104)</f>
        <v>1845775</v>
      </c>
      <c r="C104" s="240">
        <f t="shared" ref="C104:T104" si="26">SUM(C98:C103)</f>
        <v>1845775</v>
      </c>
      <c r="D104" s="240">
        <f t="shared" si="26"/>
        <v>0</v>
      </c>
      <c r="E104" s="240">
        <f t="shared" si="26"/>
        <v>0</v>
      </c>
      <c r="F104" s="240">
        <f t="shared" si="26"/>
        <v>0</v>
      </c>
      <c r="G104" s="240">
        <f t="shared" si="26"/>
        <v>0</v>
      </c>
      <c r="H104" s="240">
        <f t="shared" si="26"/>
        <v>1845775</v>
      </c>
      <c r="I104" s="240">
        <f t="shared" si="26"/>
        <v>0</v>
      </c>
      <c r="J104" s="240">
        <f t="shared" si="26"/>
        <v>0</v>
      </c>
      <c r="K104" s="240">
        <f t="shared" si="26"/>
        <v>0</v>
      </c>
      <c r="L104" s="240">
        <f t="shared" si="26"/>
        <v>0</v>
      </c>
      <c r="M104" s="240">
        <f t="shared" si="26"/>
        <v>0</v>
      </c>
      <c r="N104" s="240">
        <f t="shared" si="26"/>
        <v>0</v>
      </c>
      <c r="O104" s="240">
        <f t="shared" si="26"/>
        <v>0</v>
      </c>
      <c r="P104" s="240">
        <f t="shared" si="26"/>
        <v>0</v>
      </c>
      <c r="Q104" s="240">
        <f t="shared" si="26"/>
        <v>0</v>
      </c>
      <c r="R104" s="588">
        <f>SUM(R98:R103)</f>
        <v>1845775</v>
      </c>
      <c r="S104" s="244">
        <f t="shared" si="26"/>
        <v>851456</v>
      </c>
      <c r="T104" s="244">
        <f t="shared" si="26"/>
        <v>994319</v>
      </c>
      <c r="U104" s="237"/>
    </row>
    <row r="105" spans="1:21" s="238" customFormat="1">
      <c r="A105" s="243" t="s">
        <v>894</v>
      </c>
      <c r="B105" s="244">
        <f>SUM(C105:D105)</f>
        <v>16078758.547717843</v>
      </c>
      <c r="C105" s="244">
        <f t="shared" ref="C105:R105" si="27">SUM(C96+C104)</f>
        <v>16078758.547717843</v>
      </c>
      <c r="D105" s="244">
        <f t="shared" si="27"/>
        <v>0</v>
      </c>
      <c r="E105" s="244">
        <f t="shared" si="27"/>
        <v>4864198.5477178423</v>
      </c>
      <c r="F105" s="244">
        <f t="shared" si="27"/>
        <v>9120000</v>
      </c>
      <c r="G105" s="244">
        <f t="shared" si="27"/>
        <v>248785</v>
      </c>
      <c r="H105" s="244">
        <f t="shared" si="27"/>
        <v>1845775</v>
      </c>
      <c r="I105" s="244">
        <f t="shared" si="27"/>
        <v>0</v>
      </c>
      <c r="J105" s="244">
        <f t="shared" si="27"/>
        <v>0</v>
      </c>
      <c r="K105" s="244">
        <f t="shared" si="27"/>
        <v>0</v>
      </c>
      <c r="L105" s="244">
        <f t="shared" si="27"/>
        <v>0</v>
      </c>
      <c r="M105" s="244">
        <f t="shared" si="27"/>
        <v>0</v>
      </c>
      <c r="N105" s="244">
        <f t="shared" si="27"/>
        <v>0</v>
      </c>
      <c r="O105" s="244">
        <f t="shared" si="27"/>
        <v>0</v>
      </c>
      <c r="P105" s="244">
        <f t="shared" si="27"/>
        <v>0</v>
      </c>
      <c r="Q105" s="244">
        <f t="shared" si="27"/>
        <v>0</v>
      </c>
      <c r="R105" s="588">
        <f t="shared" si="27"/>
        <v>16078758.547717843</v>
      </c>
      <c r="S105" s="244">
        <f>S96+S104</f>
        <v>6527833</v>
      </c>
      <c r="T105" s="244">
        <f>T96+T104</f>
        <v>7623115</v>
      </c>
      <c r="U105" s="237"/>
    </row>
    <row r="106" spans="1:21">
      <c r="A106" s="952" t="s">
        <v>1223</v>
      </c>
      <c r="B106" s="252"/>
      <c r="C106" s="252"/>
      <c r="D106" s="252"/>
      <c r="H106" s="254" t="s">
        <v>100</v>
      </c>
      <c r="I106" s="254"/>
      <c r="J106" s="254"/>
      <c r="R106" s="255" t="s">
        <v>101</v>
      </c>
      <c r="S106" s="241"/>
      <c r="T106" s="241"/>
    </row>
    <row r="107" spans="1:21">
      <c r="A107" s="252" t="s">
        <v>201</v>
      </c>
      <c r="C107" s="252"/>
      <c r="D107" s="252"/>
      <c r="I107" s="257" t="s">
        <v>379</v>
      </c>
      <c r="J107" s="257"/>
      <c r="R107" s="255" t="s">
        <v>102</v>
      </c>
      <c r="S107" s="258">
        <f>S105+S106</f>
        <v>6527833</v>
      </c>
      <c r="T107" s="258">
        <f>T105+T106</f>
        <v>7623115</v>
      </c>
    </row>
    <row r="108" spans="1:21" s="330" customFormat="1">
      <c r="A108" s="257" t="s">
        <v>1007</v>
      </c>
      <c r="B108" s="252"/>
      <c r="C108" s="252"/>
      <c r="D108" s="252"/>
      <c r="E108" s="503">
        <f>Application!AG631</f>
        <v>4864199</v>
      </c>
      <c r="F108" s="503">
        <f>Application!AG618</f>
        <v>9120000</v>
      </c>
      <c r="G108" s="503">
        <f>Application!AG619</f>
        <v>248785</v>
      </c>
      <c r="H108" s="503">
        <f>Application!AG620</f>
        <v>1845775</v>
      </c>
      <c r="I108" s="503">
        <f>Application!AG621</f>
        <v>0</v>
      </c>
      <c r="J108" s="503">
        <f>Application!AG622</f>
        <v>0</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15" customHeight="1">
      <c r="A109" s="252"/>
      <c r="B109" s="252"/>
      <c r="C109" s="252"/>
      <c r="D109" s="252"/>
    </row>
    <row r="110" spans="1:21">
      <c r="A110" s="257" t="s">
        <v>1109</v>
      </c>
      <c r="B110" s="252"/>
      <c r="C110" s="252"/>
      <c r="D110" s="252"/>
    </row>
    <row r="111" spans="1:21">
      <c r="A111" s="251" t="s">
        <v>1110</v>
      </c>
      <c r="B111" s="252"/>
      <c r="C111" s="252"/>
      <c r="D111" s="252"/>
    </row>
    <row r="112" spans="1:21" ht="12" customHeight="1">
      <c r="A112" s="524"/>
      <c r="B112" s="252"/>
      <c r="C112" s="252"/>
      <c r="D112" s="252"/>
    </row>
    <row r="113" spans="1:21">
      <c r="A113" s="251" t="s">
        <v>1216</v>
      </c>
      <c r="B113" s="252"/>
      <c r="C113" s="252"/>
      <c r="D113" s="252"/>
    </row>
    <row r="114" spans="1:21">
      <c r="A114" s="251" t="s">
        <v>1217</v>
      </c>
      <c r="B114" s="252"/>
      <c r="C114" s="252"/>
      <c r="D114" s="252"/>
    </row>
    <row r="115" spans="1:21" ht="12" customHeight="1">
      <c r="A115" s="524"/>
      <c r="B115" s="252"/>
      <c r="C115" s="252"/>
      <c r="D115" s="252"/>
    </row>
    <row r="116" spans="1:21">
      <c r="A116" s="591" t="s">
        <v>1225</v>
      </c>
      <c r="B116" s="252"/>
      <c r="C116" s="252"/>
      <c r="D116" s="252"/>
    </row>
    <row r="117" spans="1:21">
      <c r="A117" s="591" t="s">
        <v>1601</v>
      </c>
      <c r="B117" s="252"/>
      <c r="C117" s="252"/>
      <c r="D117" s="252"/>
    </row>
    <row r="118" spans="1:21">
      <c r="A118" s="591" t="s">
        <v>1224</v>
      </c>
      <c r="B118" s="252"/>
      <c r="C118" s="252"/>
      <c r="D118" s="252"/>
    </row>
    <row r="119" spans="1:21">
      <c r="A119" s="591" t="s">
        <v>1226</v>
      </c>
      <c r="B119" s="252"/>
      <c r="C119" s="252"/>
      <c r="D119" s="252"/>
    </row>
    <row r="120" spans="1:21" ht="12" customHeight="1">
      <c r="A120" s="590"/>
      <c r="B120" s="252"/>
      <c r="C120" s="252"/>
      <c r="D120" s="252"/>
    </row>
    <row r="121" spans="1:21" ht="15.75">
      <c r="A121" s="580" t="s">
        <v>1200</v>
      </c>
      <c r="B121" s="252"/>
      <c r="C121" s="252"/>
      <c r="D121" s="252"/>
    </row>
    <row r="122" spans="1:21">
      <c r="A122" s="565" t="s">
        <v>1184</v>
      </c>
      <c r="B122" s="564"/>
      <c r="C122" s="564"/>
      <c r="D122" s="1598" t="s">
        <v>1185</v>
      </c>
      <c r="E122" s="1598"/>
      <c r="F122" s="1598"/>
      <c r="G122" s="564"/>
      <c r="H122" s="564"/>
      <c r="I122" s="564"/>
      <c r="J122" s="564"/>
      <c r="K122" s="564"/>
      <c r="L122" s="564"/>
      <c r="M122" s="564"/>
      <c r="N122" s="564"/>
      <c r="O122" s="564"/>
      <c r="P122" s="564"/>
      <c r="Q122" s="564"/>
      <c r="R122" s="564"/>
      <c r="S122" s="564"/>
      <c r="T122" s="564"/>
      <c r="U122" s="566"/>
    </row>
    <row r="123" spans="1:21">
      <c r="A123" s="564" t="s">
        <v>1186</v>
      </c>
      <c r="B123" s="573"/>
      <c r="C123" s="564"/>
      <c r="D123" s="1601" t="s">
        <v>1602</v>
      </c>
      <c r="E123" s="1602"/>
      <c r="F123" s="1602"/>
      <c r="G123" s="1602"/>
      <c r="H123" s="1602"/>
      <c r="I123" s="1602"/>
      <c r="J123" s="1602"/>
      <c r="K123" s="1602"/>
      <c r="L123" s="1602"/>
      <c r="M123" s="1602"/>
      <c r="N123" s="1602"/>
      <c r="O123" s="1602"/>
      <c r="P123" s="1602"/>
      <c r="Q123" s="1602"/>
      <c r="R123" s="1602"/>
      <c r="S123" s="1602"/>
      <c r="T123" s="564"/>
      <c r="U123" s="566"/>
    </row>
    <row r="124" spans="1:21" ht="12.75">
      <c r="A124" s="563" t="s">
        <v>1187</v>
      </c>
      <c r="B124" s="573"/>
      <c r="C124" s="563"/>
      <c r="D124" s="1602"/>
      <c r="E124" s="1602"/>
      <c r="F124" s="1602"/>
      <c r="G124" s="1602"/>
      <c r="H124" s="1602"/>
      <c r="I124" s="1602"/>
      <c r="J124" s="1602"/>
      <c r="K124" s="1602"/>
      <c r="L124" s="1602"/>
      <c r="M124" s="1602"/>
      <c r="N124" s="1602"/>
      <c r="O124" s="1602"/>
      <c r="P124" s="1602"/>
      <c r="Q124" s="1602"/>
      <c r="R124" s="1602"/>
      <c r="S124" s="1602"/>
      <c r="T124" s="564"/>
      <c r="U124" s="566"/>
    </row>
    <row r="125" spans="1:21" ht="12.75">
      <c r="A125" s="563" t="s">
        <v>1188</v>
      </c>
      <c r="B125" s="573"/>
      <c r="C125" s="563"/>
      <c r="D125" s="1602"/>
      <c r="E125" s="1602"/>
      <c r="F125" s="1602"/>
      <c r="G125" s="1602"/>
      <c r="H125" s="1602"/>
      <c r="I125" s="1602"/>
      <c r="J125" s="1602"/>
      <c r="K125" s="1602"/>
      <c r="L125" s="1602"/>
      <c r="M125" s="1602"/>
      <c r="N125" s="1602"/>
      <c r="O125" s="1602"/>
      <c r="P125" s="1602"/>
      <c r="Q125" s="1602"/>
      <c r="R125" s="1602"/>
      <c r="S125" s="1602"/>
      <c r="T125" s="564"/>
      <c r="U125" s="566"/>
    </row>
    <row r="126" spans="1:21" ht="12.75">
      <c r="A126" s="563" t="s">
        <v>1189</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2.75">
      <c r="A127" s="563" t="s">
        <v>1190</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2.75">
      <c r="A128" s="563" t="s">
        <v>1191</v>
      </c>
      <c r="B128" s="573"/>
      <c r="C128" s="563"/>
      <c r="D128" s="1595"/>
      <c r="E128" s="1595"/>
      <c r="F128" s="1595"/>
      <c r="G128" s="1595"/>
      <c r="H128" s="1595"/>
      <c r="I128" s="563"/>
      <c r="J128" s="1596"/>
      <c r="K128" s="1596"/>
      <c r="L128" s="563"/>
      <c r="M128" s="563"/>
      <c r="N128" s="563"/>
      <c r="O128" s="563"/>
      <c r="P128" s="563"/>
      <c r="Q128" s="563"/>
      <c r="R128" s="563"/>
      <c r="S128" s="563"/>
      <c r="T128" s="564"/>
      <c r="U128" s="566"/>
    </row>
    <row r="129" spans="1:21" ht="12.75">
      <c r="A129" s="563" t="s">
        <v>323</v>
      </c>
      <c r="B129" s="573"/>
      <c r="C129" s="563"/>
      <c r="D129" s="1597" t="s">
        <v>1192</v>
      </c>
      <c r="E129" s="1597"/>
      <c r="F129" s="1597"/>
      <c r="G129" s="1597"/>
      <c r="H129" s="1597"/>
      <c r="I129" s="563"/>
      <c r="J129" s="563" t="s">
        <v>1193</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2.75">
      <c r="A131" s="576" t="s">
        <v>1194</v>
      </c>
      <c r="B131" s="574">
        <f>SUM(B123:B129)</f>
        <v>0</v>
      </c>
      <c r="C131" s="563"/>
      <c r="D131" s="1584"/>
      <c r="E131" s="1584"/>
      <c r="F131" s="1584"/>
      <c r="G131" s="1584"/>
      <c r="H131" s="1584"/>
      <c r="I131" s="563"/>
      <c r="J131" s="1584"/>
      <c r="K131" s="1584"/>
      <c r="L131" s="1584"/>
      <c r="M131" s="1584"/>
      <c r="N131" s="563"/>
      <c r="O131" s="563"/>
      <c r="P131" s="563"/>
      <c r="Q131" s="563"/>
      <c r="R131" s="563"/>
      <c r="S131" s="563"/>
      <c r="T131" s="564"/>
      <c r="U131" s="566"/>
    </row>
    <row r="132" spans="1:21" ht="12" customHeight="1">
      <c r="A132" s="577"/>
      <c r="B132" s="563"/>
      <c r="C132" s="563"/>
      <c r="D132" s="1603" t="s">
        <v>1195</v>
      </c>
      <c r="E132" s="1603"/>
      <c r="F132" s="1603"/>
      <c r="G132" s="1603"/>
      <c r="H132" s="1603"/>
      <c r="I132" s="563"/>
      <c r="J132" s="1603" t="s">
        <v>1196</v>
      </c>
      <c r="K132" s="1603"/>
      <c r="L132" s="1603"/>
      <c r="M132" s="1603"/>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2.75">
      <c r="A134" s="578" t="s">
        <v>1197</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2.75">
      <c r="A135" s="524" t="s">
        <v>1198</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2.75">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04"/>
      <c r="B138" s="1605"/>
      <c r="C138" s="1605"/>
      <c r="D138" s="568"/>
      <c r="E138" s="1596"/>
      <c r="F138" s="1596"/>
      <c r="G138" s="563"/>
      <c r="H138" s="563"/>
      <c r="I138" s="563"/>
      <c r="J138" s="563"/>
      <c r="K138" s="563"/>
      <c r="L138" s="563"/>
      <c r="M138" s="563"/>
      <c r="N138" s="563"/>
      <c r="O138" s="563"/>
      <c r="P138" s="563"/>
      <c r="Q138" s="563"/>
      <c r="R138" s="563"/>
      <c r="S138" s="563"/>
      <c r="T138" s="570"/>
      <c r="U138" s="571"/>
    </row>
    <row r="139" spans="1:21" ht="12.75">
      <c r="A139" s="1599" t="s">
        <v>1199</v>
      </c>
      <c r="B139" s="1600"/>
      <c r="C139" s="1600"/>
      <c r="D139" s="568"/>
      <c r="E139" s="563" t="s">
        <v>1193</v>
      </c>
      <c r="F139" s="563"/>
      <c r="G139" s="563"/>
      <c r="H139" s="563"/>
      <c r="I139" s="563"/>
      <c r="J139" s="563"/>
      <c r="K139" s="563"/>
      <c r="L139" s="563"/>
      <c r="M139" s="563"/>
      <c r="N139" s="563"/>
      <c r="O139" s="563"/>
      <c r="P139" s="563"/>
      <c r="Q139" s="563"/>
      <c r="R139" s="563"/>
      <c r="S139" s="563"/>
      <c r="T139" s="570"/>
      <c r="U139" s="571"/>
    </row>
    <row r="140" spans="1:21" ht="12.75">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password="E2FF"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59" priority="60" stopIfTrue="1">
      <formula>T9&gt;B9</formula>
    </cfRule>
  </conditionalFormatting>
  <conditionalFormatting sqref="S10:T10">
    <cfRule type="expression" priority="59" stopIfTrue="1">
      <formula>(S10+T10)&gt;B10</formula>
    </cfRule>
  </conditionalFormatting>
  <conditionalFormatting sqref="S24:T24">
    <cfRule type="expression" dxfId="58" priority="58" stopIfTrue="1">
      <formula>(S16+T16)&gt;B16</formula>
    </cfRule>
  </conditionalFormatting>
  <conditionalFormatting sqref="T41 S29:T34 T38:T39">
    <cfRule type="expression" dxfId="57" priority="57" stopIfTrue="1">
      <formula>(S16+T16)&gt;B16</formula>
    </cfRule>
  </conditionalFormatting>
  <conditionalFormatting sqref="S65:T66">
    <cfRule type="expression" dxfId="56" priority="56" stopIfTrue="1">
      <formula>(S42+T42)&gt;B42</formula>
    </cfRule>
  </conditionalFormatting>
  <conditionalFormatting sqref="S92:T92 T88 T76:T77">
    <cfRule type="expression" dxfId="55" priority="55" stopIfTrue="1">
      <formula>(S60+T60)&gt;B60</formula>
    </cfRule>
  </conditionalFormatting>
  <conditionalFormatting sqref="T26">
    <cfRule type="expression" dxfId="54" priority="61" stopIfTrue="1">
      <formula>(T17+U17)&gt;C17</formula>
    </cfRule>
  </conditionalFormatting>
  <conditionalFormatting sqref="S43:T47">
    <cfRule type="expression" dxfId="53" priority="63" stopIfTrue="1">
      <formula>(S19+T19)&gt;B19</formula>
    </cfRule>
  </conditionalFormatting>
  <conditionalFormatting sqref="S48:T52">
    <cfRule type="expression" dxfId="52" priority="65" stopIfTrue="1">
      <formula>(S25+T25)&gt;B25</formula>
    </cfRule>
  </conditionalFormatting>
  <conditionalFormatting sqref="S35:T35">
    <cfRule type="expression" dxfId="51" priority="53" stopIfTrue="1">
      <formula>(S22+T22)&gt;B22</formula>
    </cfRule>
  </conditionalFormatting>
  <conditionalFormatting sqref="S90:T91 T89">
    <cfRule type="expression" dxfId="50" priority="68" stopIfTrue="1">
      <formula>(R74+S74)&gt;A74</formula>
    </cfRule>
  </conditionalFormatting>
  <conditionalFormatting sqref="S94:T94">
    <cfRule type="expression" dxfId="49" priority="69" stopIfTrue="1">
      <formula>(S76+T76)&gt;B76</formula>
    </cfRule>
  </conditionalFormatting>
  <conditionalFormatting sqref="S28:T28">
    <cfRule type="expression" dxfId="48" priority="70" stopIfTrue="1">
      <formula>(S12+T12)&gt;B12</formula>
    </cfRule>
  </conditionalFormatting>
  <conditionalFormatting sqref="S17:T23">
    <cfRule type="expression" dxfId="47" priority="71" stopIfTrue="1">
      <formula>(S6+T6)&gt;B6</formula>
    </cfRule>
  </conditionalFormatting>
  <conditionalFormatting sqref="S13:T14">
    <cfRule type="expression" dxfId="46" priority="52" stopIfTrue="1">
      <formula>(S2+T2)&gt;B2</formula>
    </cfRule>
  </conditionalFormatting>
  <conditionalFormatting sqref="R8">
    <cfRule type="cellIs" dxfId="45" priority="48" stopIfTrue="1" operator="notEqual">
      <formula>$B8</formula>
    </cfRule>
    <cfRule type="cellIs" priority="51" stopIfTrue="1" operator="notEqual">
      <formula>$B8</formula>
    </cfRule>
  </conditionalFormatting>
  <conditionalFormatting sqref="R4:R7">
    <cfRule type="cellIs" dxfId="44" priority="50" stopIfTrue="1" operator="notEqual">
      <formula>$B4</formula>
    </cfRule>
  </conditionalFormatting>
  <conditionalFormatting sqref="R9:R10">
    <cfRule type="cellIs" dxfId="43" priority="49" stopIfTrue="1" operator="notEqual">
      <formula>$B9</formula>
    </cfRule>
  </conditionalFormatting>
  <conditionalFormatting sqref="R11:R12">
    <cfRule type="cellIs" dxfId="42" priority="46" stopIfTrue="1" operator="notEqual">
      <formula>$B11</formula>
    </cfRule>
    <cfRule type="cellIs" priority="47" stopIfTrue="1" operator="notEqual">
      <formula>$B11</formula>
    </cfRule>
  </conditionalFormatting>
  <conditionalFormatting sqref="R13:R15">
    <cfRule type="cellIs" dxfId="41" priority="45" stopIfTrue="1" operator="notEqual">
      <formula>$B13</formula>
    </cfRule>
  </conditionalFormatting>
  <conditionalFormatting sqref="R25">
    <cfRule type="cellIs" dxfId="40" priority="43" stopIfTrue="1" operator="notEqual">
      <formula>$B25</formula>
    </cfRule>
    <cfRule type="cellIs" priority="44" stopIfTrue="1" operator="notEqual">
      <formula>$B25</formula>
    </cfRule>
  </conditionalFormatting>
  <conditionalFormatting sqref="R17:R24">
    <cfRule type="cellIs" dxfId="39" priority="42" stopIfTrue="1" operator="notEqual">
      <formula>$B17</formula>
    </cfRule>
  </conditionalFormatting>
  <conditionalFormatting sqref="R26">
    <cfRule type="cellIs" dxfId="38" priority="41" stopIfTrue="1" operator="notEqual">
      <formula>$B26</formula>
    </cfRule>
  </conditionalFormatting>
  <conditionalFormatting sqref="R36">
    <cfRule type="cellIs" dxfId="37" priority="39" stopIfTrue="1" operator="notEqual">
      <formula>$B36</formula>
    </cfRule>
    <cfRule type="cellIs" priority="40" stopIfTrue="1" operator="notEqual">
      <formula>$B36</formula>
    </cfRule>
  </conditionalFormatting>
  <conditionalFormatting sqref="R28:R35">
    <cfRule type="cellIs" dxfId="36" priority="38" stopIfTrue="1" operator="notEqual">
      <formula>$B28</formula>
    </cfRule>
  </conditionalFormatting>
  <conditionalFormatting sqref="R40">
    <cfRule type="cellIs" dxfId="35" priority="36" stopIfTrue="1" operator="notEqual">
      <formula>$B40</formula>
    </cfRule>
    <cfRule type="cellIs" priority="37" stopIfTrue="1" operator="notEqual">
      <formula>$B40</formula>
    </cfRule>
  </conditionalFormatting>
  <conditionalFormatting sqref="R38:R39">
    <cfRule type="cellIs" dxfId="34" priority="35" stopIfTrue="1" operator="notEqual">
      <formula>$B38</formula>
    </cfRule>
  </conditionalFormatting>
  <conditionalFormatting sqref="R41">
    <cfRule type="cellIs" dxfId="33" priority="34" stopIfTrue="1" operator="notEqual">
      <formula>$B41</formula>
    </cfRule>
  </conditionalFormatting>
  <conditionalFormatting sqref="R53">
    <cfRule type="cellIs" dxfId="32" priority="32" stopIfTrue="1" operator="notEqual">
      <formula>$B53</formula>
    </cfRule>
    <cfRule type="cellIs" priority="33" stopIfTrue="1" operator="notEqual">
      <formula>$B53</formula>
    </cfRule>
  </conditionalFormatting>
  <conditionalFormatting sqref="R43:R52">
    <cfRule type="cellIs" dxfId="31" priority="31" stopIfTrue="1" operator="notEqual">
      <formula>$B43</formula>
    </cfRule>
  </conditionalFormatting>
  <conditionalFormatting sqref="R62:R63">
    <cfRule type="cellIs" dxfId="30" priority="29" stopIfTrue="1" operator="notEqual">
      <formula>$B62</formula>
    </cfRule>
    <cfRule type="cellIs" priority="30" stopIfTrue="1" operator="notEqual">
      <formula>$B62</formula>
    </cfRule>
  </conditionalFormatting>
  <conditionalFormatting sqref="R55:R61">
    <cfRule type="cellIs" dxfId="29" priority="28" stopIfTrue="1" operator="notEqual">
      <formula>$B55</formula>
    </cfRule>
  </conditionalFormatting>
  <conditionalFormatting sqref="R67">
    <cfRule type="cellIs" dxfId="28" priority="26" stopIfTrue="1" operator="notEqual">
      <formula>$B67</formula>
    </cfRule>
    <cfRule type="cellIs" priority="27" stopIfTrue="1" operator="notEqual">
      <formula>$B67</formula>
    </cfRule>
  </conditionalFormatting>
  <conditionalFormatting sqref="R65:R66">
    <cfRule type="cellIs" dxfId="27" priority="25" stopIfTrue="1" operator="notEqual">
      <formula>$B65</formula>
    </cfRule>
  </conditionalFormatting>
  <conditionalFormatting sqref="R74">
    <cfRule type="cellIs" dxfId="26" priority="23" stopIfTrue="1" operator="notEqual">
      <formula>$B74</formula>
    </cfRule>
    <cfRule type="cellIs" priority="24" stopIfTrue="1" operator="notEqual">
      <formula>$B74</formula>
    </cfRule>
  </conditionalFormatting>
  <conditionalFormatting sqref="R95">
    <cfRule type="cellIs" dxfId="25" priority="21" stopIfTrue="1" operator="notEqual">
      <formula>$B95</formula>
    </cfRule>
    <cfRule type="cellIs" priority="22" stopIfTrue="1" operator="notEqual">
      <formula>$B95</formula>
    </cfRule>
  </conditionalFormatting>
  <conditionalFormatting sqref="R69:R73">
    <cfRule type="cellIs" dxfId="24" priority="20" stopIfTrue="1" operator="notEqual">
      <formula>$B69</formula>
    </cfRule>
  </conditionalFormatting>
  <conditionalFormatting sqref="R76:R77">
    <cfRule type="cellIs" dxfId="23" priority="19" stopIfTrue="1" operator="notEqual">
      <formula>$B76</formula>
    </cfRule>
  </conditionalFormatting>
  <conditionalFormatting sqref="R80:R94">
    <cfRule type="cellIs" dxfId="22" priority="18" stopIfTrue="1" operator="notEqual">
      <formula>$B80</formula>
    </cfRule>
  </conditionalFormatting>
  <conditionalFormatting sqref="R104:R105">
    <cfRule type="cellIs" dxfId="21" priority="16" stopIfTrue="1" operator="notEqual">
      <formula>$B104</formula>
    </cfRule>
    <cfRule type="cellIs" priority="17" stopIfTrue="1" operator="notEqual">
      <formula>$B104</formula>
    </cfRule>
  </conditionalFormatting>
  <conditionalFormatting sqref="R98:R103">
    <cfRule type="cellIs" dxfId="20" priority="15" stopIfTrue="1" operator="notEqual">
      <formula>$B98</formula>
    </cfRule>
  </conditionalFormatting>
  <conditionalFormatting sqref="E105:Q105">
    <cfRule type="cellIs" dxfId="19" priority="14" stopIfTrue="1" operator="notEqual">
      <formula>E$108</formula>
    </cfRule>
  </conditionalFormatting>
  <conditionalFormatting sqref="S82:T82 S86:T86 S93:T93 T81 S84:T84 T83 T87">
    <cfRule type="expression" dxfId="18" priority="73" stopIfTrue="1">
      <formula>(S64+T64)&gt;B64</formula>
    </cfRule>
  </conditionalFormatting>
  <conditionalFormatting sqref="S26">
    <cfRule type="expression" dxfId="17" priority="11" stopIfTrue="1">
      <formula>(S15+T15)&gt;B15</formula>
    </cfRule>
  </conditionalFormatting>
  <conditionalFormatting sqref="S38">
    <cfRule type="expression" dxfId="16" priority="10" stopIfTrue="1">
      <formula>(S27+T27)&gt;B27</formula>
    </cfRule>
  </conditionalFormatting>
  <conditionalFormatting sqref="S39">
    <cfRule type="expression" dxfId="15" priority="9" stopIfTrue="1">
      <formula>(S28+T28)&gt;B28</formula>
    </cfRule>
  </conditionalFormatting>
  <conditionalFormatting sqref="S41">
    <cfRule type="expression" dxfId="14" priority="8" stopIfTrue="1">
      <formula>(S30+T30)&gt;B30</formula>
    </cfRule>
  </conditionalFormatting>
  <conditionalFormatting sqref="S76">
    <cfRule type="expression" dxfId="13" priority="7" stopIfTrue="1">
      <formula>(S65+T65)&gt;B65</formula>
    </cfRule>
  </conditionalFormatting>
  <conditionalFormatting sqref="S77">
    <cfRule type="expression" dxfId="12" priority="6" stopIfTrue="1">
      <formula>(S66+T66)&gt;B66</formula>
    </cfRule>
  </conditionalFormatting>
  <conditionalFormatting sqref="S81">
    <cfRule type="expression" dxfId="11" priority="5" stopIfTrue="1">
      <formula>(S70+T70)&gt;B70</formula>
    </cfRule>
  </conditionalFormatting>
  <conditionalFormatting sqref="S83">
    <cfRule type="expression" dxfId="10" priority="4" stopIfTrue="1">
      <formula>(S72+T72)&gt;B72</formula>
    </cfRule>
  </conditionalFormatting>
  <conditionalFormatting sqref="S87">
    <cfRule type="expression" dxfId="9" priority="3" stopIfTrue="1">
      <formula>(S76+T76)&gt;B76</formula>
    </cfRule>
  </conditionalFormatting>
  <conditionalFormatting sqref="S88">
    <cfRule type="expression" dxfId="8" priority="2" stopIfTrue="1">
      <formula>(S77+T77)&gt;B77</formula>
    </cfRule>
  </conditionalFormatting>
  <conditionalFormatting sqref="S89">
    <cfRule type="expression" dxfId="7" priority="1" stopIfTrue="1">
      <formula>(S78+T78)&gt;B78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96" zoomScaleNormal="100" zoomScaleSheetLayoutView="100" workbookViewId="0">
      <selection activeCell="I117" sqref="I117"/>
    </sheetView>
  </sheetViews>
  <sheetFormatPr defaultColWidth="0" defaultRowHeight="12" zeroHeight="1"/>
  <cols>
    <col min="1" max="1" width="32.7109375" style="664" customWidth="1"/>
    <col min="2" max="3" width="12.140625" style="657" customWidth="1"/>
    <col min="4" max="4" width="12.85546875" style="657" customWidth="1"/>
    <col min="5" max="9" width="12.140625" style="657" customWidth="1"/>
    <col min="10" max="10" width="12.140625" style="658" customWidth="1"/>
    <col min="11" max="11" width="8.85546875" style="659" hidden="1" customWidth="1"/>
    <col min="12" max="21" width="8.85546875" style="657" hidden="1" customWidth="1"/>
    <col min="22" max="23" width="0" style="657" hidden="1"/>
    <col min="24" max="256" width="8.85546875" style="657" hidden="1"/>
    <col min="257" max="257" width="32.7109375" style="657" hidden="1" customWidth="1"/>
    <col min="258" max="259" width="12.140625" style="657" hidden="1" customWidth="1"/>
    <col min="260" max="260" width="12.85546875" style="657" hidden="1" customWidth="1"/>
    <col min="261" max="266" width="12.140625" style="657" hidden="1" customWidth="1"/>
    <col min="267" max="277" width="8.85546875" style="657" hidden="1" customWidth="1"/>
    <col min="278" max="512" width="8.85546875" style="657" hidden="1"/>
    <col min="513" max="513" width="32.7109375" style="657" hidden="1" customWidth="1"/>
    <col min="514" max="515" width="12.140625" style="657" hidden="1" customWidth="1"/>
    <col min="516" max="516" width="12.85546875" style="657" hidden="1" customWidth="1"/>
    <col min="517" max="522" width="12.140625" style="657" hidden="1" customWidth="1"/>
    <col min="523" max="533" width="8.85546875" style="657" hidden="1" customWidth="1"/>
    <col min="534" max="768" width="8.85546875" style="657" hidden="1"/>
    <col min="769" max="769" width="32.7109375" style="657" hidden="1" customWidth="1"/>
    <col min="770" max="771" width="12.140625" style="657" hidden="1" customWidth="1"/>
    <col min="772" max="772" width="12.85546875" style="657" hidden="1" customWidth="1"/>
    <col min="773" max="778" width="12.140625" style="657" hidden="1" customWidth="1"/>
    <col min="779" max="789" width="8.85546875" style="657" hidden="1" customWidth="1"/>
    <col min="790" max="1024" width="8.85546875" style="657" hidden="1"/>
    <col min="1025" max="1025" width="32.7109375" style="657" hidden="1" customWidth="1"/>
    <col min="1026" max="1027" width="12.140625" style="657" hidden="1" customWidth="1"/>
    <col min="1028" max="1028" width="12.85546875" style="657" hidden="1" customWidth="1"/>
    <col min="1029" max="1034" width="12.140625" style="657" hidden="1" customWidth="1"/>
    <col min="1035" max="1045" width="8.85546875" style="657" hidden="1" customWidth="1"/>
    <col min="1046" max="1280" width="8.85546875" style="657" hidden="1"/>
    <col min="1281" max="1281" width="32.7109375" style="657" hidden="1" customWidth="1"/>
    <col min="1282" max="1283" width="12.140625" style="657" hidden="1" customWidth="1"/>
    <col min="1284" max="1284" width="12.85546875" style="657" hidden="1" customWidth="1"/>
    <col min="1285" max="1290" width="12.140625" style="657" hidden="1" customWidth="1"/>
    <col min="1291" max="1301" width="8.85546875" style="657" hidden="1" customWidth="1"/>
    <col min="1302" max="1536" width="8.85546875" style="657" hidden="1"/>
    <col min="1537" max="1537" width="32.7109375" style="657" hidden="1" customWidth="1"/>
    <col min="1538" max="1539" width="12.140625" style="657" hidden="1" customWidth="1"/>
    <col min="1540" max="1540" width="12.85546875" style="657" hidden="1" customWidth="1"/>
    <col min="1541" max="1546" width="12.140625" style="657" hidden="1" customWidth="1"/>
    <col min="1547" max="1557" width="8.85546875" style="657" hidden="1" customWidth="1"/>
    <col min="1558" max="1792" width="8.85546875" style="657" hidden="1"/>
    <col min="1793" max="1793" width="32.7109375" style="657" hidden="1" customWidth="1"/>
    <col min="1794" max="1795" width="12.140625" style="657" hidden="1" customWidth="1"/>
    <col min="1796" max="1796" width="12.85546875" style="657" hidden="1" customWidth="1"/>
    <col min="1797" max="1802" width="12.140625" style="657" hidden="1" customWidth="1"/>
    <col min="1803" max="1813" width="8.85546875" style="657" hidden="1" customWidth="1"/>
    <col min="1814" max="2048" width="8.85546875" style="657" hidden="1"/>
    <col min="2049" max="2049" width="32.7109375" style="657" hidden="1" customWidth="1"/>
    <col min="2050" max="2051" width="12.140625" style="657" hidden="1" customWidth="1"/>
    <col min="2052" max="2052" width="12.85546875" style="657" hidden="1" customWidth="1"/>
    <col min="2053" max="2058" width="12.140625" style="657" hidden="1" customWidth="1"/>
    <col min="2059" max="2069" width="8.85546875" style="657" hidden="1" customWidth="1"/>
    <col min="2070" max="2304" width="8.85546875" style="657" hidden="1"/>
    <col min="2305" max="2305" width="32.7109375" style="657" hidden="1" customWidth="1"/>
    <col min="2306" max="2307" width="12.140625" style="657" hidden="1" customWidth="1"/>
    <col min="2308" max="2308" width="12.85546875" style="657" hidden="1" customWidth="1"/>
    <col min="2309" max="2314" width="12.140625" style="657" hidden="1" customWidth="1"/>
    <col min="2315" max="2325" width="8.85546875" style="657" hidden="1" customWidth="1"/>
    <col min="2326" max="2560" width="8.85546875" style="657" hidden="1"/>
    <col min="2561" max="2561" width="32.7109375" style="657" hidden="1" customWidth="1"/>
    <col min="2562" max="2563" width="12.140625" style="657" hidden="1" customWidth="1"/>
    <col min="2564" max="2564" width="12.85546875" style="657" hidden="1" customWidth="1"/>
    <col min="2565" max="2570" width="12.140625" style="657" hidden="1" customWidth="1"/>
    <col min="2571" max="2581" width="8.85546875" style="657" hidden="1" customWidth="1"/>
    <col min="2582" max="2816" width="8.85546875" style="657" hidden="1"/>
    <col min="2817" max="2817" width="32.7109375" style="657" hidden="1" customWidth="1"/>
    <col min="2818" max="2819" width="12.140625" style="657" hidden="1" customWidth="1"/>
    <col min="2820" max="2820" width="12.85546875" style="657" hidden="1" customWidth="1"/>
    <col min="2821" max="2826" width="12.140625" style="657" hidden="1" customWidth="1"/>
    <col min="2827" max="2837" width="8.85546875" style="657" hidden="1" customWidth="1"/>
    <col min="2838" max="3072" width="8.85546875" style="657" hidden="1"/>
    <col min="3073" max="3073" width="32.7109375" style="657" hidden="1" customWidth="1"/>
    <col min="3074" max="3075" width="12.140625" style="657" hidden="1" customWidth="1"/>
    <col min="3076" max="3076" width="12.85546875" style="657" hidden="1" customWidth="1"/>
    <col min="3077" max="3082" width="12.140625" style="657" hidden="1" customWidth="1"/>
    <col min="3083" max="3093" width="8.85546875" style="657" hidden="1" customWidth="1"/>
    <col min="3094" max="3328" width="8.85546875" style="657" hidden="1"/>
    <col min="3329" max="3329" width="32.7109375" style="657" hidden="1" customWidth="1"/>
    <col min="3330" max="3331" width="12.140625" style="657" hidden="1" customWidth="1"/>
    <col min="3332" max="3332" width="12.85546875" style="657" hidden="1" customWidth="1"/>
    <col min="3333" max="3338" width="12.140625" style="657" hidden="1" customWidth="1"/>
    <col min="3339" max="3349" width="8.85546875" style="657" hidden="1" customWidth="1"/>
    <col min="3350" max="3584" width="8.85546875" style="657" hidden="1"/>
    <col min="3585" max="3585" width="32.7109375" style="657" hidden="1" customWidth="1"/>
    <col min="3586" max="3587" width="12.140625" style="657" hidden="1" customWidth="1"/>
    <col min="3588" max="3588" width="12.85546875" style="657" hidden="1" customWidth="1"/>
    <col min="3589" max="3594" width="12.140625" style="657" hidden="1" customWidth="1"/>
    <col min="3595" max="3605" width="8.85546875" style="657" hidden="1" customWidth="1"/>
    <col min="3606" max="3840" width="8.85546875" style="657" hidden="1"/>
    <col min="3841" max="3841" width="32.7109375" style="657" hidden="1" customWidth="1"/>
    <col min="3842" max="3843" width="12.140625" style="657" hidden="1" customWidth="1"/>
    <col min="3844" max="3844" width="12.85546875" style="657" hidden="1" customWidth="1"/>
    <col min="3845" max="3850" width="12.140625" style="657" hidden="1" customWidth="1"/>
    <col min="3851" max="3861" width="8.85546875" style="657" hidden="1" customWidth="1"/>
    <col min="3862" max="4096" width="8.85546875" style="657" hidden="1"/>
    <col min="4097" max="4097" width="32.7109375" style="657" hidden="1" customWidth="1"/>
    <col min="4098" max="4099" width="12.140625" style="657" hidden="1" customWidth="1"/>
    <col min="4100" max="4100" width="12.85546875" style="657" hidden="1" customWidth="1"/>
    <col min="4101" max="4106" width="12.140625" style="657" hidden="1" customWidth="1"/>
    <col min="4107" max="4117" width="8.85546875" style="657" hidden="1" customWidth="1"/>
    <col min="4118" max="4352" width="8.85546875" style="657" hidden="1"/>
    <col min="4353" max="4353" width="32.7109375" style="657" hidden="1" customWidth="1"/>
    <col min="4354" max="4355" width="12.140625" style="657" hidden="1" customWidth="1"/>
    <col min="4356" max="4356" width="12.85546875" style="657" hidden="1" customWidth="1"/>
    <col min="4357" max="4362" width="12.140625" style="657" hidden="1" customWidth="1"/>
    <col min="4363" max="4373" width="8.85546875" style="657" hidden="1" customWidth="1"/>
    <col min="4374" max="4608" width="8.85546875" style="657" hidden="1"/>
    <col min="4609" max="4609" width="32.7109375" style="657" hidden="1" customWidth="1"/>
    <col min="4610" max="4611" width="12.140625" style="657" hidden="1" customWidth="1"/>
    <col min="4612" max="4612" width="12.85546875" style="657" hidden="1" customWidth="1"/>
    <col min="4613" max="4618" width="12.140625" style="657" hidden="1" customWidth="1"/>
    <col min="4619" max="4629" width="8.85546875" style="657" hidden="1" customWidth="1"/>
    <col min="4630" max="4864" width="8.85546875" style="657" hidden="1"/>
    <col min="4865" max="4865" width="32.7109375" style="657" hidden="1" customWidth="1"/>
    <col min="4866" max="4867" width="12.140625" style="657" hidden="1" customWidth="1"/>
    <col min="4868" max="4868" width="12.85546875" style="657" hidden="1" customWidth="1"/>
    <col min="4869" max="4874" width="12.140625" style="657" hidden="1" customWidth="1"/>
    <col min="4875" max="4885" width="8.85546875" style="657" hidden="1" customWidth="1"/>
    <col min="4886" max="5120" width="8.85546875" style="657" hidden="1"/>
    <col min="5121" max="5121" width="32.7109375" style="657" hidden="1" customWidth="1"/>
    <col min="5122" max="5123" width="12.140625" style="657" hidden="1" customWidth="1"/>
    <col min="5124" max="5124" width="12.85546875" style="657" hidden="1" customWidth="1"/>
    <col min="5125" max="5130" width="12.140625" style="657" hidden="1" customWidth="1"/>
    <col min="5131" max="5141" width="8.85546875" style="657" hidden="1" customWidth="1"/>
    <col min="5142" max="5376" width="8.85546875" style="657" hidden="1"/>
    <col min="5377" max="5377" width="32.7109375" style="657" hidden="1" customWidth="1"/>
    <col min="5378" max="5379" width="12.140625" style="657" hidden="1" customWidth="1"/>
    <col min="5380" max="5380" width="12.85546875" style="657" hidden="1" customWidth="1"/>
    <col min="5381" max="5386" width="12.140625" style="657" hidden="1" customWidth="1"/>
    <col min="5387" max="5397" width="8.85546875" style="657" hidden="1" customWidth="1"/>
    <col min="5398" max="5632" width="8.85546875" style="657" hidden="1"/>
    <col min="5633" max="5633" width="32.7109375" style="657" hidden="1" customWidth="1"/>
    <col min="5634" max="5635" width="12.140625" style="657" hidden="1" customWidth="1"/>
    <col min="5636" max="5636" width="12.85546875" style="657" hidden="1" customWidth="1"/>
    <col min="5637" max="5642" width="12.140625" style="657" hidden="1" customWidth="1"/>
    <col min="5643" max="5653" width="8.85546875" style="657" hidden="1" customWidth="1"/>
    <col min="5654" max="5888" width="8.85546875" style="657" hidden="1"/>
    <col min="5889" max="5889" width="32.7109375" style="657" hidden="1" customWidth="1"/>
    <col min="5890" max="5891" width="12.140625" style="657" hidden="1" customWidth="1"/>
    <col min="5892" max="5892" width="12.85546875" style="657" hidden="1" customWidth="1"/>
    <col min="5893" max="5898" width="12.140625" style="657" hidden="1" customWidth="1"/>
    <col min="5899" max="5909" width="8.85546875" style="657" hidden="1" customWidth="1"/>
    <col min="5910" max="6144" width="8.85546875" style="657" hidden="1"/>
    <col min="6145" max="6145" width="32.7109375" style="657" hidden="1" customWidth="1"/>
    <col min="6146" max="6147" width="12.140625" style="657" hidden="1" customWidth="1"/>
    <col min="6148" max="6148" width="12.85546875" style="657" hidden="1" customWidth="1"/>
    <col min="6149" max="6154" width="12.140625" style="657" hidden="1" customWidth="1"/>
    <col min="6155" max="6165" width="8.85546875" style="657" hidden="1" customWidth="1"/>
    <col min="6166" max="6400" width="8.85546875" style="657" hidden="1"/>
    <col min="6401" max="6401" width="32.7109375" style="657" hidden="1" customWidth="1"/>
    <col min="6402" max="6403" width="12.140625" style="657" hidden="1" customWidth="1"/>
    <col min="6404" max="6404" width="12.85546875" style="657" hidden="1" customWidth="1"/>
    <col min="6405" max="6410" width="12.140625" style="657" hidden="1" customWidth="1"/>
    <col min="6411" max="6421" width="8.85546875" style="657" hidden="1" customWidth="1"/>
    <col min="6422" max="6656" width="8.85546875" style="657" hidden="1"/>
    <col min="6657" max="6657" width="32.7109375" style="657" hidden="1" customWidth="1"/>
    <col min="6658" max="6659" width="12.140625" style="657" hidden="1" customWidth="1"/>
    <col min="6660" max="6660" width="12.85546875" style="657" hidden="1" customWidth="1"/>
    <col min="6661" max="6666" width="12.140625" style="657" hidden="1" customWidth="1"/>
    <col min="6667" max="6677" width="8.85546875" style="657" hidden="1" customWidth="1"/>
    <col min="6678" max="6912" width="8.85546875" style="657" hidden="1"/>
    <col min="6913" max="6913" width="32.7109375" style="657" hidden="1" customWidth="1"/>
    <col min="6914" max="6915" width="12.140625" style="657" hidden="1" customWidth="1"/>
    <col min="6916" max="6916" width="12.85546875" style="657" hidden="1" customWidth="1"/>
    <col min="6917" max="6922" width="12.140625" style="657" hidden="1" customWidth="1"/>
    <col min="6923" max="6933" width="8.85546875" style="657" hidden="1" customWidth="1"/>
    <col min="6934" max="7168" width="8.85546875" style="657" hidden="1"/>
    <col min="7169" max="7169" width="32.7109375" style="657" hidden="1" customWidth="1"/>
    <col min="7170" max="7171" width="12.140625" style="657" hidden="1" customWidth="1"/>
    <col min="7172" max="7172" width="12.85546875" style="657" hidden="1" customWidth="1"/>
    <col min="7173" max="7178" width="12.140625" style="657" hidden="1" customWidth="1"/>
    <col min="7179" max="7189" width="8.85546875" style="657" hidden="1" customWidth="1"/>
    <col min="7190" max="7424" width="8.85546875" style="657" hidden="1"/>
    <col min="7425" max="7425" width="32.7109375" style="657" hidden="1" customWidth="1"/>
    <col min="7426" max="7427" width="12.140625" style="657" hidden="1" customWidth="1"/>
    <col min="7428" max="7428" width="12.85546875" style="657" hidden="1" customWidth="1"/>
    <col min="7429" max="7434" width="12.140625" style="657" hidden="1" customWidth="1"/>
    <col min="7435" max="7445" width="8.85546875" style="657" hidden="1" customWidth="1"/>
    <col min="7446" max="7680" width="8.85546875" style="657" hidden="1"/>
    <col min="7681" max="7681" width="32.7109375" style="657" hidden="1" customWidth="1"/>
    <col min="7682" max="7683" width="12.140625" style="657" hidden="1" customWidth="1"/>
    <col min="7684" max="7684" width="12.85546875" style="657" hidden="1" customWidth="1"/>
    <col min="7685" max="7690" width="12.140625" style="657" hidden="1" customWidth="1"/>
    <col min="7691" max="7701" width="8.85546875" style="657" hidden="1" customWidth="1"/>
    <col min="7702" max="7936" width="8.85546875" style="657" hidden="1"/>
    <col min="7937" max="7937" width="32.7109375" style="657" hidden="1" customWidth="1"/>
    <col min="7938" max="7939" width="12.140625" style="657" hidden="1" customWidth="1"/>
    <col min="7940" max="7940" width="12.85546875" style="657" hidden="1" customWidth="1"/>
    <col min="7941" max="7946" width="12.140625" style="657" hidden="1" customWidth="1"/>
    <col min="7947" max="7957" width="8.85546875" style="657" hidden="1" customWidth="1"/>
    <col min="7958" max="8192" width="8.85546875" style="657" hidden="1"/>
    <col min="8193" max="8193" width="32.7109375" style="657" hidden="1" customWidth="1"/>
    <col min="8194" max="8195" width="12.140625" style="657" hidden="1" customWidth="1"/>
    <col min="8196" max="8196" width="12.85546875" style="657" hidden="1" customWidth="1"/>
    <col min="8197" max="8202" width="12.140625" style="657" hidden="1" customWidth="1"/>
    <col min="8203" max="8213" width="8.85546875" style="657" hidden="1" customWidth="1"/>
    <col min="8214" max="8448" width="8.85546875" style="657" hidden="1"/>
    <col min="8449" max="8449" width="32.7109375" style="657" hidden="1" customWidth="1"/>
    <col min="8450" max="8451" width="12.140625" style="657" hidden="1" customWidth="1"/>
    <col min="8452" max="8452" width="12.85546875" style="657" hidden="1" customWidth="1"/>
    <col min="8453" max="8458" width="12.140625" style="657" hidden="1" customWidth="1"/>
    <col min="8459" max="8469" width="8.85546875" style="657" hidden="1" customWidth="1"/>
    <col min="8470" max="8704" width="8.85546875" style="657" hidden="1"/>
    <col min="8705" max="8705" width="32.7109375" style="657" hidden="1" customWidth="1"/>
    <col min="8706" max="8707" width="12.140625" style="657" hidden="1" customWidth="1"/>
    <col min="8708" max="8708" width="12.85546875" style="657" hidden="1" customWidth="1"/>
    <col min="8709" max="8714" width="12.140625" style="657" hidden="1" customWidth="1"/>
    <col min="8715" max="8725" width="8.85546875" style="657" hidden="1" customWidth="1"/>
    <col min="8726" max="8960" width="8.85546875" style="657" hidden="1"/>
    <col min="8961" max="8961" width="32.7109375" style="657" hidden="1" customWidth="1"/>
    <col min="8962" max="8963" width="12.140625" style="657" hidden="1" customWidth="1"/>
    <col min="8964" max="8964" width="12.85546875" style="657" hidden="1" customWidth="1"/>
    <col min="8965" max="8970" width="12.140625" style="657" hidden="1" customWidth="1"/>
    <col min="8971" max="8981" width="8.85546875" style="657" hidden="1" customWidth="1"/>
    <col min="8982" max="9216" width="8.85546875" style="657" hidden="1"/>
    <col min="9217" max="9217" width="32.7109375" style="657" hidden="1" customWidth="1"/>
    <col min="9218" max="9219" width="12.140625" style="657" hidden="1" customWidth="1"/>
    <col min="9220" max="9220" width="12.85546875" style="657" hidden="1" customWidth="1"/>
    <col min="9221" max="9226" width="12.140625" style="657" hidden="1" customWidth="1"/>
    <col min="9227" max="9237" width="8.85546875" style="657" hidden="1" customWidth="1"/>
    <col min="9238" max="9472" width="8.85546875" style="657" hidden="1"/>
    <col min="9473" max="9473" width="32.7109375" style="657" hidden="1" customWidth="1"/>
    <col min="9474" max="9475" width="12.140625" style="657" hidden="1" customWidth="1"/>
    <col min="9476" max="9476" width="12.85546875" style="657" hidden="1" customWidth="1"/>
    <col min="9477" max="9482" width="12.140625" style="657" hidden="1" customWidth="1"/>
    <col min="9483" max="9493" width="8.85546875" style="657" hidden="1" customWidth="1"/>
    <col min="9494" max="9728" width="8.85546875" style="657" hidden="1"/>
    <col min="9729" max="9729" width="32.7109375" style="657" hidden="1" customWidth="1"/>
    <col min="9730" max="9731" width="12.140625" style="657" hidden="1" customWidth="1"/>
    <col min="9732" max="9732" width="12.85546875" style="657" hidden="1" customWidth="1"/>
    <col min="9733" max="9738" width="12.140625" style="657" hidden="1" customWidth="1"/>
    <col min="9739" max="9749" width="8.85546875" style="657" hidden="1" customWidth="1"/>
    <col min="9750" max="9984" width="8.85546875" style="657" hidden="1"/>
    <col min="9985" max="9985" width="32.7109375" style="657" hidden="1" customWidth="1"/>
    <col min="9986" max="9987" width="12.140625" style="657" hidden="1" customWidth="1"/>
    <col min="9988" max="9988" width="12.85546875" style="657" hidden="1" customWidth="1"/>
    <col min="9989" max="9994" width="12.140625" style="657" hidden="1" customWidth="1"/>
    <col min="9995" max="10005" width="8.85546875" style="657" hidden="1" customWidth="1"/>
    <col min="10006" max="10240" width="8.85546875" style="657" hidden="1"/>
    <col min="10241" max="10241" width="32.7109375" style="657" hidden="1" customWidth="1"/>
    <col min="10242" max="10243" width="12.140625" style="657" hidden="1" customWidth="1"/>
    <col min="10244" max="10244" width="12.85546875" style="657" hidden="1" customWidth="1"/>
    <col min="10245" max="10250" width="12.140625" style="657" hidden="1" customWidth="1"/>
    <col min="10251" max="10261" width="8.85546875" style="657" hidden="1" customWidth="1"/>
    <col min="10262" max="10496" width="8.85546875" style="657" hidden="1"/>
    <col min="10497" max="10497" width="32.7109375" style="657" hidden="1" customWidth="1"/>
    <col min="10498" max="10499" width="12.140625" style="657" hidden="1" customWidth="1"/>
    <col min="10500" max="10500" width="12.85546875" style="657" hidden="1" customWidth="1"/>
    <col min="10501" max="10506" width="12.140625" style="657" hidden="1" customWidth="1"/>
    <col min="10507" max="10517" width="8.85546875" style="657" hidden="1" customWidth="1"/>
    <col min="10518" max="10752" width="8.85546875" style="657" hidden="1"/>
    <col min="10753" max="10753" width="32.7109375" style="657" hidden="1" customWidth="1"/>
    <col min="10754" max="10755" width="12.140625" style="657" hidden="1" customWidth="1"/>
    <col min="10756" max="10756" width="12.85546875" style="657" hidden="1" customWidth="1"/>
    <col min="10757" max="10762" width="12.140625" style="657" hidden="1" customWidth="1"/>
    <col min="10763" max="10773" width="8.85546875" style="657" hidden="1" customWidth="1"/>
    <col min="10774" max="11008" width="8.85546875" style="657" hidden="1"/>
    <col min="11009" max="11009" width="32.7109375" style="657" hidden="1" customWidth="1"/>
    <col min="11010" max="11011" width="12.140625" style="657" hidden="1" customWidth="1"/>
    <col min="11012" max="11012" width="12.85546875" style="657" hidden="1" customWidth="1"/>
    <col min="11013" max="11018" width="12.140625" style="657" hidden="1" customWidth="1"/>
    <col min="11019" max="11029" width="8.85546875" style="657" hidden="1" customWidth="1"/>
    <col min="11030" max="11264" width="8.85546875" style="657" hidden="1"/>
    <col min="11265" max="11265" width="32.7109375" style="657" hidden="1" customWidth="1"/>
    <col min="11266" max="11267" width="12.140625" style="657" hidden="1" customWidth="1"/>
    <col min="11268" max="11268" width="12.85546875" style="657" hidden="1" customWidth="1"/>
    <col min="11269" max="11274" width="12.140625" style="657" hidden="1" customWidth="1"/>
    <col min="11275" max="11285" width="8.85546875" style="657" hidden="1" customWidth="1"/>
    <col min="11286" max="11520" width="8.85546875" style="657" hidden="1"/>
    <col min="11521" max="11521" width="32.7109375" style="657" hidden="1" customWidth="1"/>
    <col min="11522" max="11523" width="12.140625" style="657" hidden="1" customWidth="1"/>
    <col min="11524" max="11524" width="12.85546875" style="657" hidden="1" customWidth="1"/>
    <col min="11525" max="11530" width="12.140625" style="657" hidden="1" customWidth="1"/>
    <col min="11531" max="11541" width="8.85546875" style="657" hidden="1" customWidth="1"/>
    <col min="11542" max="11776" width="8.85546875" style="657" hidden="1"/>
    <col min="11777" max="11777" width="32.7109375" style="657" hidden="1" customWidth="1"/>
    <col min="11778" max="11779" width="12.140625" style="657" hidden="1" customWidth="1"/>
    <col min="11780" max="11780" width="12.85546875" style="657" hidden="1" customWidth="1"/>
    <col min="11781" max="11786" width="12.140625" style="657" hidden="1" customWidth="1"/>
    <col min="11787" max="11797" width="8.85546875" style="657" hidden="1" customWidth="1"/>
    <col min="11798" max="12032" width="8.85546875" style="657" hidden="1"/>
    <col min="12033" max="12033" width="32.7109375" style="657" hidden="1" customWidth="1"/>
    <col min="12034" max="12035" width="12.140625" style="657" hidden="1" customWidth="1"/>
    <col min="12036" max="12036" width="12.85546875" style="657" hidden="1" customWidth="1"/>
    <col min="12037" max="12042" width="12.140625" style="657" hidden="1" customWidth="1"/>
    <col min="12043" max="12053" width="8.85546875" style="657" hidden="1" customWidth="1"/>
    <col min="12054" max="12288" width="8.85546875" style="657" hidden="1"/>
    <col min="12289" max="12289" width="32.7109375" style="657" hidden="1" customWidth="1"/>
    <col min="12290" max="12291" width="12.140625" style="657" hidden="1" customWidth="1"/>
    <col min="12292" max="12292" width="12.85546875" style="657" hidden="1" customWidth="1"/>
    <col min="12293" max="12298" width="12.140625" style="657" hidden="1" customWidth="1"/>
    <col min="12299" max="12309" width="8.85546875" style="657" hidden="1" customWidth="1"/>
    <col min="12310" max="12544" width="8.85546875" style="657" hidden="1"/>
    <col min="12545" max="12545" width="32.7109375" style="657" hidden="1" customWidth="1"/>
    <col min="12546" max="12547" width="12.140625" style="657" hidden="1" customWidth="1"/>
    <col min="12548" max="12548" width="12.85546875" style="657" hidden="1" customWidth="1"/>
    <col min="12549" max="12554" width="12.140625" style="657" hidden="1" customWidth="1"/>
    <col min="12555" max="12565" width="8.85546875" style="657" hidden="1" customWidth="1"/>
    <col min="12566" max="12800" width="8.85546875" style="657" hidden="1"/>
    <col min="12801" max="12801" width="32.7109375" style="657" hidden="1" customWidth="1"/>
    <col min="12802" max="12803" width="12.140625" style="657" hidden="1" customWidth="1"/>
    <col min="12804" max="12804" width="12.85546875" style="657" hidden="1" customWidth="1"/>
    <col min="12805" max="12810" width="12.140625" style="657" hidden="1" customWidth="1"/>
    <col min="12811" max="12821" width="8.85546875" style="657" hidden="1" customWidth="1"/>
    <col min="12822" max="13056" width="8.85546875" style="657" hidden="1"/>
    <col min="13057" max="13057" width="32.7109375" style="657" hidden="1" customWidth="1"/>
    <col min="13058" max="13059" width="12.140625" style="657" hidden="1" customWidth="1"/>
    <col min="13060" max="13060" width="12.85546875" style="657" hidden="1" customWidth="1"/>
    <col min="13061" max="13066" width="12.140625" style="657" hidden="1" customWidth="1"/>
    <col min="13067" max="13077" width="8.85546875" style="657" hidden="1" customWidth="1"/>
    <col min="13078" max="13312" width="8.85546875" style="657" hidden="1"/>
    <col min="13313" max="13313" width="32.7109375" style="657" hidden="1" customWidth="1"/>
    <col min="13314" max="13315" width="12.140625" style="657" hidden="1" customWidth="1"/>
    <col min="13316" max="13316" width="12.85546875" style="657" hidden="1" customWidth="1"/>
    <col min="13317" max="13322" width="12.140625" style="657" hidden="1" customWidth="1"/>
    <col min="13323" max="13333" width="8.85546875" style="657" hidden="1" customWidth="1"/>
    <col min="13334" max="13568" width="8.85546875" style="657" hidden="1"/>
    <col min="13569" max="13569" width="32.7109375" style="657" hidden="1" customWidth="1"/>
    <col min="13570" max="13571" width="12.140625" style="657" hidden="1" customWidth="1"/>
    <col min="13572" max="13572" width="12.85546875" style="657" hidden="1" customWidth="1"/>
    <col min="13573" max="13578" width="12.140625" style="657" hidden="1" customWidth="1"/>
    <col min="13579" max="13589" width="8.85546875" style="657" hidden="1" customWidth="1"/>
    <col min="13590" max="13824" width="8.85546875" style="657" hidden="1"/>
    <col min="13825" max="13825" width="32.7109375" style="657" hidden="1" customWidth="1"/>
    <col min="13826" max="13827" width="12.140625" style="657" hidden="1" customWidth="1"/>
    <col min="13828" max="13828" width="12.85546875" style="657" hidden="1" customWidth="1"/>
    <col min="13829" max="13834" width="12.140625" style="657" hidden="1" customWidth="1"/>
    <col min="13835" max="13845" width="8.85546875" style="657" hidden="1" customWidth="1"/>
    <col min="13846" max="14080" width="8.85546875" style="657" hidden="1"/>
    <col min="14081" max="14081" width="32.7109375" style="657" hidden="1" customWidth="1"/>
    <col min="14082" max="14083" width="12.140625" style="657" hidden="1" customWidth="1"/>
    <col min="14084" max="14084" width="12.85546875" style="657" hidden="1" customWidth="1"/>
    <col min="14085" max="14090" width="12.140625" style="657" hidden="1" customWidth="1"/>
    <col min="14091" max="14101" width="8.85546875" style="657" hidden="1" customWidth="1"/>
    <col min="14102" max="14336" width="8.85546875" style="657" hidden="1"/>
    <col min="14337" max="14337" width="32.7109375" style="657" hidden="1" customWidth="1"/>
    <col min="14338" max="14339" width="12.140625" style="657" hidden="1" customWidth="1"/>
    <col min="14340" max="14340" width="12.85546875" style="657" hidden="1" customWidth="1"/>
    <col min="14341" max="14346" width="12.140625" style="657" hidden="1" customWidth="1"/>
    <col min="14347" max="14357" width="8.85546875" style="657" hidden="1" customWidth="1"/>
    <col min="14358" max="14592" width="8.85546875" style="657" hidden="1"/>
    <col min="14593" max="14593" width="32.7109375" style="657" hidden="1" customWidth="1"/>
    <col min="14594" max="14595" width="12.140625" style="657" hidden="1" customWidth="1"/>
    <col min="14596" max="14596" width="12.85546875" style="657" hidden="1" customWidth="1"/>
    <col min="14597" max="14602" width="12.140625" style="657" hidden="1" customWidth="1"/>
    <col min="14603" max="14613" width="8.85546875" style="657" hidden="1" customWidth="1"/>
    <col min="14614" max="14848" width="8.85546875" style="657" hidden="1"/>
    <col min="14849" max="14849" width="32.7109375" style="657" hidden="1" customWidth="1"/>
    <col min="14850" max="14851" width="12.140625" style="657" hidden="1" customWidth="1"/>
    <col min="14852" max="14852" width="12.85546875" style="657" hidden="1" customWidth="1"/>
    <col min="14853" max="14858" width="12.140625" style="657" hidden="1" customWidth="1"/>
    <col min="14859" max="14869" width="8.85546875" style="657" hidden="1" customWidth="1"/>
    <col min="14870" max="15104" width="8.85546875" style="657" hidden="1"/>
    <col min="15105" max="15105" width="32.7109375" style="657" hidden="1" customWidth="1"/>
    <col min="15106" max="15107" width="12.140625" style="657" hidden="1" customWidth="1"/>
    <col min="15108" max="15108" width="12.85546875" style="657" hidden="1" customWidth="1"/>
    <col min="15109" max="15114" width="12.140625" style="657" hidden="1" customWidth="1"/>
    <col min="15115" max="15125" width="8.85546875" style="657" hidden="1" customWidth="1"/>
    <col min="15126" max="15360" width="8.85546875" style="657" hidden="1"/>
    <col min="15361" max="15361" width="32.7109375" style="657" hidden="1" customWidth="1"/>
    <col min="15362" max="15363" width="12.140625" style="657" hidden="1" customWidth="1"/>
    <col min="15364" max="15364" width="12.85546875" style="657" hidden="1" customWidth="1"/>
    <col min="15365" max="15370" width="12.140625" style="657" hidden="1" customWidth="1"/>
    <col min="15371" max="15381" width="8.85546875" style="657" hidden="1" customWidth="1"/>
    <col min="15382" max="15616" width="8.85546875" style="657" hidden="1"/>
    <col min="15617" max="15617" width="32.7109375" style="657" hidden="1" customWidth="1"/>
    <col min="15618" max="15619" width="12.140625" style="657" hidden="1" customWidth="1"/>
    <col min="15620" max="15620" width="12.85546875" style="657" hidden="1" customWidth="1"/>
    <col min="15621" max="15626" width="12.140625" style="657" hidden="1" customWidth="1"/>
    <col min="15627" max="15637" width="8.85546875" style="657" hidden="1" customWidth="1"/>
    <col min="15638" max="15872" width="8.85546875" style="657" hidden="1"/>
    <col min="15873" max="15873" width="32.7109375" style="657" hidden="1" customWidth="1"/>
    <col min="15874" max="15875" width="12.140625" style="657" hidden="1" customWidth="1"/>
    <col min="15876" max="15876" width="12.85546875" style="657" hidden="1" customWidth="1"/>
    <col min="15877" max="15882" width="12.140625" style="657" hidden="1" customWidth="1"/>
    <col min="15883" max="15893" width="8.85546875" style="657" hidden="1" customWidth="1"/>
    <col min="15894" max="16128" width="8.85546875" style="657" hidden="1"/>
    <col min="16129" max="16129" width="32.7109375" style="657" hidden="1" customWidth="1"/>
    <col min="16130" max="16131" width="12.140625" style="657" hidden="1" customWidth="1"/>
    <col min="16132" max="16132" width="12.85546875" style="657" hidden="1" customWidth="1"/>
    <col min="16133" max="16138" width="12.140625" style="657" hidden="1" customWidth="1"/>
    <col min="16139" max="16149" width="8.85546875" style="657" hidden="1" customWidth="1"/>
    <col min="16150" max="16384" width="8.85546875" style="657" hidden="1"/>
  </cols>
  <sheetData>
    <row r="1" spans="1:11" s="614" customFormat="1" ht="12.75">
      <c r="A1" s="1612" t="s">
        <v>1230</v>
      </c>
      <c r="B1" s="1613"/>
      <c r="C1" s="1613"/>
      <c r="D1" s="1613"/>
      <c r="E1" s="1613"/>
      <c r="F1" s="1613"/>
      <c r="G1" s="1613"/>
      <c r="H1" s="1613"/>
      <c r="I1" s="1613"/>
      <c r="J1" s="1614"/>
      <c r="K1" s="613"/>
    </row>
    <row r="2" spans="1:11" s="669" customFormat="1" ht="72">
      <c r="A2" s="665"/>
      <c r="B2" s="666" t="s">
        <v>1231</v>
      </c>
      <c r="C2" s="666" t="s">
        <v>1232</v>
      </c>
      <c r="D2" s="667" t="s">
        <v>1233</v>
      </c>
      <c r="E2" s="666" t="s">
        <v>1469</v>
      </c>
      <c r="F2" s="666" t="s">
        <v>1470</v>
      </c>
      <c r="G2" s="666" t="s">
        <v>1471</v>
      </c>
      <c r="H2" s="666" t="s">
        <v>1234</v>
      </c>
      <c r="I2" s="666" t="s">
        <v>1235</v>
      </c>
      <c r="J2" s="666" t="s">
        <v>1236</v>
      </c>
      <c r="K2" s="668"/>
    </row>
    <row r="3" spans="1:11" s="618" customFormat="1">
      <c r="A3" s="615" t="s">
        <v>30</v>
      </c>
      <c r="B3" s="616"/>
      <c r="C3" s="616"/>
      <c r="D3" s="616"/>
      <c r="E3" s="616"/>
      <c r="F3" s="616"/>
      <c r="G3" s="616"/>
      <c r="H3" s="616"/>
      <c r="I3" s="616"/>
      <c r="J3" s="616"/>
      <c r="K3" s="617"/>
    </row>
    <row r="4" spans="1:11" s="618" customFormat="1">
      <c r="A4" s="622" t="s">
        <v>31</v>
      </c>
      <c r="B4" s="619">
        <f>'Sources and Uses Budget'!C4</f>
        <v>421223.54771784233</v>
      </c>
      <c r="C4" s="620">
        <f>B4</f>
        <v>421223.54771784233</v>
      </c>
      <c r="D4" s="620"/>
      <c r="E4" s="621"/>
      <c r="F4" s="621"/>
      <c r="G4" s="621"/>
      <c r="H4" s="621"/>
      <c r="I4" s="621"/>
      <c r="J4" s="621"/>
      <c r="K4" s="617"/>
    </row>
    <row r="5" spans="1:11" s="618" customFormat="1">
      <c r="A5" s="622" t="s">
        <v>32</v>
      </c>
      <c r="B5" s="619">
        <f>'Sources and Uses Budget'!C5</f>
        <v>0</v>
      </c>
      <c r="C5" s="620"/>
      <c r="D5" s="620"/>
      <c r="E5" s="621"/>
      <c r="F5" s="621"/>
      <c r="G5" s="621"/>
      <c r="H5" s="621"/>
      <c r="I5" s="621"/>
      <c r="J5" s="621"/>
      <c r="K5" s="617"/>
    </row>
    <row r="6" spans="1:11" s="618" customFormat="1">
      <c r="A6" s="622" t="s">
        <v>33</v>
      </c>
      <c r="B6" s="619">
        <f>'Sources and Uses Budget'!C6</f>
        <v>0</v>
      </c>
      <c r="C6" s="620"/>
      <c r="D6" s="620"/>
      <c r="E6" s="621"/>
      <c r="F6" s="621"/>
      <c r="G6" s="621"/>
      <c r="H6" s="621"/>
      <c r="I6" s="621"/>
      <c r="J6" s="621"/>
      <c r="K6" s="617"/>
    </row>
    <row r="7" spans="1:11" s="618" customFormat="1">
      <c r="A7" s="622" t="s">
        <v>105</v>
      </c>
      <c r="B7" s="619">
        <f>'Sources and Uses Budget'!C7</f>
        <v>0</v>
      </c>
      <c r="C7" s="620"/>
      <c r="D7" s="620"/>
      <c r="E7" s="621"/>
      <c r="F7" s="621"/>
      <c r="G7" s="621"/>
      <c r="H7" s="621"/>
      <c r="I7" s="621"/>
      <c r="J7" s="621"/>
      <c r="K7" s="617"/>
    </row>
    <row r="8" spans="1:11" s="618" customFormat="1">
      <c r="A8" s="623" t="s">
        <v>674</v>
      </c>
      <c r="B8" s="619">
        <f>'Sources and Uses Budget'!C8</f>
        <v>421223.54771784233</v>
      </c>
      <c r="C8" s="619">
        <f>SUM(C4:C7)</f>
        <v>421223.54771784233</v>
      </c>
      <c r="D8" s="619">
        <f>SUM(D4:D7)</f>
        <v>0</v>
      </c>
      <c r="E8" s="621"/>
      <c r="F8" s="621"/>
      <c r="G8" s="621"/>
      <c r="H8" s="621"/>
      <c r="I8" s="621"/>
      <c r="J8" s="621"/>
      <c r="K8" s="617"/>
    </row>
    <row r="9" spans="1:11" s="618" customFormat="1">
      <c r="A9" s="622" t="s">
        <v>675</v>
      </c>
      <c r="B9" s="619">
        <f>'Sources and Uses Budget'!C9</f>
        <v>6553796</v>
      </c>
      <c r="C9" s="620">
        <f>B9</f>
        <v>6553796</v>
      </c>
      <c r="D9" s="620"/>
      <c r="E9" s="621"/>
      <c r="F9" s="621"/>
      <c r="G9" s="621"/>
      <c r="H9" s="619">
        <f>'Sources and Uses Budget'!T9</f>
        <v>6553796</v>
      </c>
      <c r="I9" s="620">
        <f>H9</f>
        <v>6553796</v>
      </c>
      <c r="J9" s="620"/>
      <c r="K9" s="617"/>
    </row>
    <row r="10" spans="1:11" s="618" customFormat="1">
      <c r="A10" s="622" t="s">
        <v>676</v>
      </c>
      <c r="B10" s="619">
        <f>'Sources and Uses Budget'!C10</f>
        <v>0</v>
      </c>
      <c r="C10" s="620"/>
      <c r="D10" s="620"/>
      <c r="E10" s="619">
        <f>'Sources and Uses Budget'!S10</f>
        <v>0</v>
      </c>
      <c r="F10" s="620"/>
      <c r="G10" s="620"/>
      <c r="H10" s="619">
        <f>'Sources and Uses Budget'!T10</f>
        <v>0</v>
      </c>
      <c r="I10" s="620"/>
      <c r="J10" s="620"/>
      <c r="K10" s="617"/>
    </row>
    <row r="11" spans="1:11" s="618" customFormat="1">
      <c r="A11" s="623" t="s">
        <v>677</v>
      </c>
      <c r="B11" s="619">
        <f>'Sources and Uses Budget'!C11</f>
        <v>6553796</v>
      </c>
      <c r="C11" s="619">
        <f>SUM(C9:C10)</f>
        <v>6553796</v>
      </c>
      <c r="D11" s="619">
        <f>SUM(D9:D10)</f>
        <v>0</v>
      </c>
      <c r="E11" s="621"/>
      <c r="F11" s="621"/>
      <c r="G11" s="621"/>
      <c r="H11" s="619">
        <f>'Sources and Uses Budget'!T11</f>
        <v>6553796</v>
      </c>
      <c r="I11" s="619">
        <f>SUM(I9:I10)</f>
        <v>6553796</v>
      </c>
      <c r="J11" s="619">
        <f>SUM(J9:J10)</f>
        <v>0</v>
      </c>
      <c r="K11" s="617"/>
    </row>
    <row r="12" spans="1:11" s="618" customFormat="1">
      <c r="A12" s="623" t="s">
        <v>92</v>
      </c>
      <c r="B12" s="619">
        <f>'Sources and Uses Budget'!C12</f>
        <v>6975019.5477178423</v>
      </c>
      <c r="C12" s="619">
        <f>SUM(C8+C11)</f>
        <v>6975019.5477178423</v>
      </c>
      <c r="D12" s="619">
        <f>SUM(D8+D11)</f>
        <v>0</v>
      </c>
      <c r="E12" s="621"/>
      <c r="F12" s="621"/>
      <c r="G12" s="621"/>
      <c r="H12" s="621"/>
      <c r="I12" s="621"/>
      <c r="J12" s="621"/>
      <c r="K12" s="617"/>
    </row>
    <row r="13" spans="1:11" s="618" customFormat="1">
      <c r="A13" s="624" t="s">
        <v>1035</v>
      </c>
      <c r="B13" s="619">
        <f>'Sources and Uses Budget'!C13</f>
        <v>0</v>
      </c>
      <c r="C13" s="620"/>
      <c r="D13" s="620"/>
      <c r="E13" s="619">
        <f>'Sources and Uses Budget'!S13</f>
        <v>0</v>
      </c>
      <c r="F13" s="620"/>
      <c r="G13" s="620"/>
      <c r="H13" s="619">
        <f>'Sources and Uses Budget'!T13</f>
        <v>0</v>
      </c>
      <c r="I13" s="620"/>
      <c r="J13" s="620"/>
      <c r="K13" s="617"/>
    </row>
    <row r="14" spans="1:11" s="618" customFormat="1" ht="24">
      <c r="A14" s="625" t="s">
        <v>1036</v>
      </c>
      <c r="B14" s="619">
        <f>'Sources and Uses Budget'!C14</f>
        <v>0</v>
      </c>
      <c r="C14" s="620"/>
      <c r="D14" s="620"/>
      <c r="E14" s="619">
        <f>'Sources and Uses Budget'!S14</f>
        <v>0</v>
      </c>
      <c r="F14" s="620"/>
      <c r="G14" s="620"/>
      <c r="H14" s="619">
        <f>'Sources and Uses Budget'!T14</f>
        <v>0</v>
      </c>
      <c r="I14" s="620"/>
      <c r="J14" s="620"/>
      <c r="K14" s="617"/>
    </row>
    <row r="15" spans="1:11" s="618" customFormat="1">
      <c r="A15" s="625" t="s">
        <v>1475</v>
      </c>
      <c r="B15" s="619">
        <f>'Sources and Uses Budget'!C15</f>
        <v>0</v>
      </c>
      <c r="C15" s="620"/>
      <c r="D15" s="620"/>
      <c r="E15" s="621">
        <f>'Sources and Uses Budget'!S15</f>
        <v>0</v>
      </c>
      <c r="F15" s="621"/>
      <c r="G15" s="621"/>
      <c r="H15" s="621">
        <f>'Sources and Uses Budget'!T15</f>
        <v>0</v>
      </c>
      <c r="I15" s="621"/>
      <c r="J15" s="621"/>
      <c r="K15" s="617"/>
    </row>
    <row r="16" spans="1:11" s="618" customFormat="1">
      <c r="A16" s="615" t="s">
        <v>678</v>
      </c>
      <c r="B16" s="616"/>
      <c r="C16" s="616"/>
      <c r="D16" s="616"/>
      <c r="E16" s="616"/>
      <c r="F16" s="616"/>
      <c r="G16" s="616"/>
      <c r="H16" s="616"/>
      <c r="I16" s="616"/>
      <c r="J16" s="616"/>
      <c r="K16" s="617"/>
    </row>
    <row r="17" spans="1:11" s="618" customFormat="1">
      <c r="A17" s="622" t="s">
        <v>679</v>
      </c>
      <c r="B17" s="619">
        <f>'Sources and Uses Budget'!C17</f>
        <v>0</v>
      </c>
      <c r="C17" s="620"/>
      <c r="D17" s="620"/>
      <c r="E17" s="619">
        <f>'Sources and Uses Budget'!S17</f>
        <v>0</v>
      </c>
      <c r="F17" s="620"/>
      <c r="G17" s="620"/>
      <c r="H17" s="619">
        <f>'Sources and Uses Budget'!T17</f>
        <v>0</v>
      </c>
      <c r="I17" s="620"/>
      <c r="J17" s="620"/>
      <c r="K17" s="617"/>
    </row>
    <row r="18" spans="1:11" s="618" customFormat="1">
      <c r="A18" s="622" t="s">
        <v>680</v>
      </c>
      <c r="B18" s="619">
        <f>'Sources and Uses Budget'!C18</f>
        <v>4096169</v>
      </c>
      <c r="C18" s="620">
        <f>B18</f>
        <v>4096169</v>
      </c>
      <c r="D18" s="620"/>
      <c r="E18" s="619">
        <f>'Sources and Uses Budget'!S18</f>
        <v>4096169</v>
      </c>
      <c r="F18" s="620">
        <f>E18</f>
        <v>4096169</v>
      </c>
      <c r="G18" s="620"/>
      <c r="H18" s="619">
        <f>'Sources and Uses Budget'!T18</f>
        <v>0</v>
      </c>
      <c r="I18" s="620"/>
      <c r="J18" s="620"/>
      <c r="K18" s="617"/>
    </row>
    <row r="19" spans="1:11" s="618" customFormat="1">
      <c r="A19" s="622" t="s">
        <v>681</v>
      </c>
      <c r="B19" s="619">
        <f>'Sources and Uses Budget'!C19</f>
        <v>245770</v>
      </c>
      <c r="C19" s="620">
        <f>B19</f>
        <v>245770</v>
      </c>
      <c r="D19" s="620"/>
      <c r="E19" s="619">
        <f>'Sources and Uses Budget'!S19</f>
        <v>245770</v>
      </c>
      <c r="F19" s="620">
        <f>E19</f>
        <v>245770</v>
      </c>
      <c r="G19" s="620"/>
      <c r="H19" s="619">
        <f>'Sources and Uses Budget'!T19</f>
        <v>0</v>
      </c>
      <c r="I19" s="620"/>
      <c r="J19" s="620"/>
      <c r="K19" s="617"/>
    </row>
    <row r="20" spans="1:11" s="618" customFormat="1">
      <c r="A20" s="622" t="s">
        <v>148</v>
      </c>
      <c r="B20" s="619">
        <f>'Sources and Uses Budget'!C20</f>
        <v>86839</v>
      </c>
      <c r="C20" s="620">
        <f>B20</f>
        <v>86839</v>
      </c>
      <c r="D20" s="620"/>
      <c r="E20" s="619">
        <f>'Sources and Uses Budget'!S20</f>
        <v>86839</v>
      </c>
      <c r="F20" s="620">
        <f>E20</f>
        <v>86839</v>
      </c>
      <c r="G20" s="620"/>
      <c r="H20" s="619">
        <f>'Sources and Uses Budget'!T20</f>
        <v>0</v>
      </c>
      <c r="I20" s="620"/>
      <c r="J20" s="620"/>
      <c r="K20" s="617"/>
    </row>
    <row r="21" spans="1:11" s="618" customFormat="1">
      <c r="A21" s="622" t="s">
        <v>149</v>
      </c>
      <c r="B21" s="619">
        <f>'Sources and Uses Budget'!C21</f>
        <v>260516</v>
      </c>
      <c r="C21" s="620">
        <f>B21</f>
        <v>260516</v>
      </c>
      <c r="D21" s="620"/>
      <c r="E21" s="619">
        <f>'Sources and Uses Budget'!S21</f>
        <v>260516</v>
      </c>
      <c r="F21" s="620">
        <f>E21</f>
        <v>260516</v>
      </c>
      <c r="G21" s="620"/>
      <c r="H21" s="619">
        <f>'Sources and Uses Budget'!T21</f>
        <v>0</v>
      </c>
      <c r="I21" s="620"/>
      <c r="J21" s="620"/>
      <c r="K21" s="617"/>
    </row>
    <row r="22" spans="1:11" s="618" customFormat="1">
      <c r="A22" s="622" t="s">
        <v>150</v>
      </c>
      <c r="B22" s="619">
        <f>'Sources and Uses Budget'!C22</f>
        <v>0</v>
      </c>
      <c r="C22" s="620"/>
      <c r="D22" s="620"/>
      <c r="E22" s="619">
        <f>'Sources and Uses Budget'!S22</f>
        <v>0</v>
      </c>
      <c r="F22" s="620"/>
      <c r="G22" s="620"/>
      <c r="H22" s="619">
        <f>'Sources and Uses Budget'!T22</f>
        <v>0</v>
      </c>
      <c r="I22" s="620"/>
      <c r="J22" s="620"/>
      <c r="K22" s="617"/>
    </row>
    <row r="23" spans="1:11" s="618" customFormat="1">
      <c r="A23" s="622" t="s">
        <v>151</v>
      </c>
      <c r="B23" s="619">
        <f>'Sources and Uses Budget'!C23</f>
        <v>112778</v>
      </c>
      <c r="C23" s="620">
        <f>B23</f>
        <v>112778</v>
      </c>
      <c r="D23" s="620"/>
      <c r="E23" s="619">
        <f>'Sources and Uses Budget'!S23</f>
        <v>112778</v>
      </c>
      <c r="F23" s="620">
        <f>E23</f>
        <v>112778</v>
      </c>
      <c r="G23" s="620"/>
      <c r="H23" s="619">
        <f>'Sources and Uses Budget'!T23</f>
        <v>0</v>
      </c>
      <c r="I23" s="620"/>
      <c r="J23" s="620"/>
      <c r="K23" s="617"/>
    </row>
    <row r="24" spans="1:11" s="618" customFormat="1">
      <c r="A24" s="625" t="str">
        <f>'Sources and Uses Budget'!$A24</f>
        <v>Other: (Specify)</v>
      </c>
      <c r="B24" s="619">
        <f>'Sources and Uses Budget'!C24</f>
        <v>0</v>
      </c>
      <c r="C24" s="620"/>
      <c r="D24" s="620"/>
      <c r="E24" s="619">
        <f>'Sources and Uses Budget'!S24</f>
        <v>0</v>
      </c>
      <c r="F24" s="620"/>
      <c r="G24" s="620"/>
      <c r="H24" s="619">
        <f>'Sources and Uses Budget'!T24</f>
        <v>0</v>
      </c>
      <c r="I24" s="620"/>
      <c r="J24" s="620"/>
      <c r="K24" s="617"/>
    </row>
    <row r="25" spans="1:11" s="618" customFormat="1">
      <c r="A25" s="623" t="s">
        <v>144</v>
      </c>
      <c r="B25" s="619">
        <f>'Sources and Uses Budget'!C25</f>
        <v>4802072</v>
      </c>
      <c r="C25" s="619">
        <f>SUM(C17:C24)</f>
        <v>4802072</v>
      </c>
      <c r="D25" s="619">
        <f>SUM(D17:D24)</f>
        <v>0</v>
      </c>
      <c r="E25" s="619">
        <f>'Sources and Uses Budget'!S25</f>
        <v>4802072</v>
      </c>
      <c r="F25" s="626">
        <f>SUM(F17:F24)</f>
        <v>4802072</v>
      </c>
      <c r="G25" s="626">
        <f>SUM(G17:G24)</f>
        <v>0</v>
      </c>
      <c r="H25" s="619">
        <f>'Sources and Uses Budget'!T25</f>
        <v>0</v>
      </c>
      <c r="I25" s="626">
        <f>SUM(I17:I24)</f>
        <v>0</v>
      </c>
      <c r="J25" s="626">
        <f>SUM(J17:J24)</f>
        <v>0</v>
      </c>
      <c r="K25" s="617"/>
    </row>
    <row r="26" spans="1:11" s="618" customFormat="1">
      <c r="A26" s="623" t="s">
        <v>152</v>
      </c>
      <c r="B26" s="619">
        <f>'Sources and Uses Budget'!C26</f>
        <v>109350</v>
      </c>
      <c r="C26" s="620">
        <f>B26</f>
        <v>109350</v>
      </c>
      <c r="D26" s="620"/>
      <c r="E26" s="619">
        <f>'Sources and Uses Budget'!S26</f>
        <v>109350</v>
      </c>
      <c r="F26" s="620">
        <f>E26</f>
        <v>109350</v>
      </c>
      <c r="G26" s="620"/>
      <c r="H26" s="619">
        <f>'Sources and Uses Budget'!T26</f>
        <v>0</v>
      </c>
      <c r="I26" s="620"/>
      <c r="J26" s="620"/>
      <c r="K26" s="617"/>
    </row>
    <row r="27" spans="1:11" s="618" customFormat="1">
      <c r="A27" s="615" t="s">
        <v>153</v>
      </c>
      <c r="B27" s="616"/>
      <c r="C27" s="616"/>
      <c r="D27" s="616"/>
      <c r="E27" s="616"/>
      <c r="F27" s="616"/>
      <c r="G27" s="616"/>
      <c r="H27" s="616"/>
      <c r="I27" s="616"/>
      <c r="J27" s="616"/>
      <c r="K27" s="617"/>
    </row>
    <row r="28" spans="1:11" s="618" customFormat="1">
      <c r="A28" s="239" t="s">
        <v>679</v>
      </c>
      <c r="B28" s="619">
        <f>'Sources and Uses Budget'!C28</f>
        <v>0</v>
      </c>
      <c r="C28" s="620"/>
      <c r="D28" s="620"/>
      <c r="E28" s="619">
        <f>'Sources and Uses Budget'!S28</f>
        <v>0</v>
      </c>
      <c r="F28" s="620"/>
      <c r="G28" s="620"/>
      <c r="H28" s="619">
        <f>'Sources and Uses Budget'!T28</f>
        <v>0</v>
      </c>
      <c r="I28" s="620"/>
      <c r="J28" s="620"/>
      <c r="K28" s="617"/>
    </row>
    <row r="29" spans="1:11" s="618" customFormat="1">
      <c r="A29" s="239" t="s">
        <v>680</v>
      </c>
      <c r="B29" s="619">
        <f>'Sources and Uses Budget'!C29</f>
        <v>0</v>
      </c>
      <c r="C29" s="620"/>
      <c r="D29" s="620"/>
      <c r="E29" s="619">
        <f>'Sources and Uses Budget'!S29</f>
        <v>0</v>
      </c>
      <c r="F29" s="620"/>
      <c r="G29" s="620"/>
      <c r="H29" s="619">
        <f>'Sources and Uses Budget'!T29</f>
        <v>0</v>
      </c>
      <c r="I29" s="620"/>
      <c r="J29" s="620"/>
      <c r="K29" s="617"/>
    </row>
    <row r="30" spans="1:11" s="618" customFormat="1">
      <c r="A30" s="239" t="s">
        <v>681</v>
      </c>
      <c r="B30" s="619">
        <f>'Sources and Uses Budget'!C30</f>
        <v>0</v>
      </c>
      <c r="C30" s="620"/>
      <c r="D30" s="620"/>
      <c r="E30" s="619">
        <f>'Sources and Uses Budget'!S30</f>
        <v>0</v>
      </c>
      <c r="F30" s="620"/>
      <c r="G30" s="620"/>
      <c r="H30" s="619">
        <f>'Sources and Uses Budget'!T30</f>
        <v>0</v>
      </c>
      <c r="I30" s="620"/>
      <c r="J30" s="620"/>
      <c r="K30" s="617"/>
    </row>
    <row r="31" spans="1:11" s="618" customFormat="1">
      <c r="A31" s="239" t="s">
        <v>148</v>
      </c>
      <c r="B31" s="619">
        <f>'Sources and Uses Budget'!C31</f>
        <v>0</v>
      </c>
      <c r="C31" s="620"/>
      <c r="D31" s="620"/>
      <c r="E31" s="619">
        <f>'Sources and Uses Budget'!S31</f>
        <v>0</v>
      </c>
      <c r="F31" s="620"/>
      <c r="G31" s="620"/>
      <c r="H31" s="619">
        <f>'Sources and Uses Budget'!T31</f>
        <v>0</v>
      </c>
      <c r="I31" s="620"/>
      <c r="J31" s="620"/>
      <c r="K31" s="617"/>
    </row>
    <row r="32" spans="1:11" s="618" customFormat="1">
      <c r="A32" s="239" t="s">
        <v>149</v>
      </c>
      <c r="B32" s="619">
        <f>'Sources and Uses Budget'!C32</f>
        <v>0</v>
      </c>
      <c r="C32" s="620"/>
      <c r="D32" s="620"/>
      <c r="E32" s="619">
        <f>'Sources and Uses Budget'!S32</f>
        <v>0</v>
      </c>
      <c r="F32" s="620"/>
      <c r="G32" s="620"/>
      <c r="H32" s="619">
        <f>'Sources and Uses Budget'!T32</f>
        <v>0</v>
      </c>
      <c r="I32" s="620"/>
      <c r="J32" s="620"/>
      <c r="K32" s="617"/>
    </row>
    <row r="33" spans="1:11" s="618" customFormat="1">
      <c r="A33" s="239" t="s">
        <v>150</v>
      </c>
      <c r="B33" s="619">
        <f>'Sources and Uses Budget'!C33</f>
        <v>0</v>
      </c>
      <c r="C33" s="620"/>
      <c r="D33" s="620"/>
      <c r="E33" s="619">
        <f>'Sources and Uses Budget'!S33</f>
        <v>0</v>
      </c>
      <c r="F33" s="620"/>
      <c r="G33" s="620"/>
      <c r="H33" s="619">
        <f>'Sources and Uses Budget'!T33</f>
        <v>0</v>
      </c>
      <c r="I33" s="620"/>
      <c r="J33" s="620"/>
      <c r="K33" s="617"/>
    </row>
    <row r="34" spans="1:11" s="618" customFormat="1">
      <c r="A34" s="239" t="s">
        <v>151</v>
      </c>
      <c r="B34" s="619">
        <f>'Sources and Uses Budget'!C34</f>
        <v>0</v>
      </c>
      <c r="C34" s="620"/>
      <c r="D34" s="620"/>
      <c r="E34" s="619">
        <f>'Sources and Uses Budget'!S34</f>
        <v>0</v>
      </c>
      <c r="F34" s="620"/>
      <c r="G34" s="620"/>
      <c r="H34" s="619">
        <f>'Sources and Uses Budget'!T34</f>
        <v>0</v>
      </c>
      <c r="I34" s="620"/>
      <c r="J34" s="620"/>
      <c r="K34" s="617"/>
    </row>
    <row r="35" spans="1:11" s="618" customFormat="1">
      <c r="A35" s="625" t="str">
        <f>'Sources and Uses Budget'!$A35</f>
        <v>Other: (Specify)</v>
      </c>
      <c r="B35" s="619">
        <f>'Sources and Uses Budget'!C35</f>
        <v>0</v>
      </c>
      <c r="C35" s="620"/>
      <c r="D35" s="620"/>
      <c r="E35" s="619">
        <f>'Sources and Uses Budget'!S35</f>
        <v>0</v>
      </c>
      <c r="F35" s="620"/>
      <c r="G35" s="620"/>
      <c r="H35" s="619">
        <f>'Sources and Uses Budget'!T35</f>
        <v>0</v>
      </c>
      <c r="I35" s="620"/>
      <c r="J35" s="620"/>
      <c r="K35" s="617"/>
    </row>
    <row r="36" spans="1:11" s="618" customFormat="1">
      <c r="A36" s="627" t="s">
        <v>154</v>
      </c>
      <c r="B36" s="619">
        <f>'Sources and Uses Budget'!C36</f>
        <v>0</v>
      </c>
      <c r="C36" s="619">
        <f>SUM(C28:C35)</f>
        <v>0</v>
      </c>
      <c r="D36" s="619">
        <f>SUM(D28:D35)</f>
        <v>0</v>
      </c>
      <c r="E36" s="619">
        <f>'Sources and Uses Budget'!S36</f>
        <v>0</v>
      </c>
      <c r="F36" s="626">
        <f>SUM(F28:F35)</f>
        <v>0</v>
      </c>
      <c r="G36" s="626">
        <f>SUM(G28:G35)</f>
        <v>0</v>
      </c>
      <c r="H36" s="619">
        <f>'Sources and Uses Budget'!T36</f>
        <v>0</v>
      </c>
      <c r="I36" s="626">
        <f>SUM(I28:I35)</f>
        <v>0</v>
      </c>
      <c r="J36" s="626">
        <f>SUM(J28:J35)</f>
        <v>0</v>
      </c>
      <c r="K36" s="617"/>
    </row>
    <row r="37" spans="1:11" s="618" customFormat="1">
      <c r="A37" s="615" t="s">
        <v>155</v>
      </c>
      <c r="B37" s="616"/>
      <c r="C37" s="616"/>
      <c r="D37" s="616"/>
      <c r="E37" s="616"/>
      <c r="F37" s="616"/>
      <c r="G37" s="616"/>
      <c r="H37" s="616"/>
      <c r="I37" s="616"/>
      <c r="J37" s="616"/>
      <c r="K37" s="617"/>
    </row>
    <row r="38" spans="1:11" s="618" customFormat="1">
      <c r="A38" s="622" t="s">
        <v>156</v>
      </c>
      <c r="B38" s="619">
        <f>'Sources and Uses Budget'!C38</f>
        <v>75000</v>
      </c>
      <c r="C38" s="620">
        <f>B38</f>
        <v>75000</v>
      </c>
      <c r="D38" s="620"/>
      <c r="E38" s="619">
        <f>'Sources and Uses Budget'!S38</f>
        <v>75000</v>
      </c>
      <c r="F38" s="620">
        <f>E38</f>
        <v>75000</v>
      </c>
      <c r="G38" s="620"/>
      <c r="H38" s="619">
        <f>'Sources and Uses Budget'!T38</f>
        <v>0</v>
      </c>
      <c r="I38" s="620"/>
      <c r="J38" s="620"/>
      <c r="K38" s="617"/>
    </row>
    <row r="39" spans="1:11" s="618" customFormat="1">
      <c r="A39" s="622" t="s">
        <v>157</v>
      </c>
      <c r="B39" s="619">
        <f>'Sources and Uses Budget'!C39</f>
        <v>25000</v>
      </c>
      <c r="C39" s="620">
        <f>B39</f>
        <v>25000</v>
      </c>
      <c r="D39" s="620"/>
      <c r="E39" s="619">
        <f>'Sources and Uses Budget'!S39</f>
        <v>25000</v>
      </c>
      <c r="F39" s="620">
        <f>E39</f>
        <v>25000</v>
      </c>
      <c r="G39" s="620"/>
      <c r="H39" s="619">
        <f>'Sources and Uses Budget'!T39</f>
        <v>0</v>
      </c>
      <c r="I39" s="620"/>
      <c r="J39" s="620"/>
      <c r="K39" s="617"/>
    </row>
    <row r="40" spans="1:11" s="618" customFormat="1">
      <c r="A40" s="623" t="s">
        <v>158</v>
      </c>
      <c r="B40" s="619">
        <f>'Sources and Uses Budget'!C40</f>
        <v>100000</v>
      </c>
      <c r="C40" s="619">
        <f>SUM(C37:C39)</f>
        <v>100000</v>
      </c>
      <c r="D40" s="619">
        <f>SUM(D37:D39)</f>
        <v>0</v>
      </c>
      <c r="E40" s="619">
        <f>'Sources and Uses Budget'!S40</f>
        <v>100000</v>
      </c>
      <c r="F40" s="626">
        <f>SUM(F38:F39)</f>
        <v>100000</v>
      </c>
      <c r="G40" s="626">
        <f>SUM(G38:G39)</f>
        <v>0</v>
      </c>
      <c r="H40" s="619">
        <f>'Sources and Uses Budget'!T40</f>
        <v>0</v>
      </c>
      <c r="I40" s="626">
        <f>SUM(I38:I39)</f>
        <v>0</v>
      </c>
      <c r="J40" s="626">
        <f>SUM(J38:J39)</f>
        <v>0</v>
      </c>
      <c r="K40" s="617"/>
    </row>
    <row r="41" spans="1:11" s="618" customFormat="1">
      <c r="A41" s="623" t="s">
        <v>159</v>
      </c>
      <c r="B41" s="619">
        <f>'Sources and Uses Budget'!C41</f>
        <v>35000</v>
      </c>
      <c r="C41" s="620">
        <f>B41</f>
        <v>35000</v>
      </c>
      <c r="D41" s="620"/>
      <c r="E41" s="619">
        <f>'Sources and Uses Budget'!S41</f>
        <v>35000</v>
      </c>
      <c r="F41" s="620">
        <f>E41</f>
        <v>35000</v>
      </c>
      <c r="G41" s="620"/>
      <c r="H41" s="619">
        <f>'Sources and Uses Budget'!T41</f>
        <v>0</v>
      </c>
      <c r="I41" s="620"/>
      <c r="J41" s="620"/>
      <c r="K41" s="617"/>
    </row>
    <row r="42" spans="1:11" s="618" customFormat="1">
      <c r="A42" s="615" t="s">
        <v>160</v>
      </c>
      <c r="B42" s="616"/>
      <c r="C42" s="616"/>
      <c r="D42" s="616"/>
      <c r="E42" s="616"/>
      <c r="F42" s="616"/>
      <c r="G42" s="616"/>
      <c r="H42" s="616"/>
      <c r="I42" s="616"/>
      <c r="J42" s="616"/>
      <c r="K42" s="617"/>
    </row>
    <row r="43" spans="1:11" s="618" customFormat="1">
      <c r="A43" s="622" t="s">
        <v>161</v>
      </c>
      <c r="B43" s="619">
        <f>'Sources and Uses Budget'!C43</f>
        <v>334342</v>
      </c>
      <c r="C43" s="620">
        <f>B43</f>
        <v>334342</v>
      </c>
      <c r="D43" s="620"/>
      <c r="E43" s="619">
        <f>'Sources and Uses Budget'!S43</f>
        <v>0</v>
      </c>
      <c r="F43" s="620"/>
      <c r="G43" s="620"/>
      <c r="H43" s="619">
        <f>'Sources and Uses Budget'!T43</f>
        <v>0</v>
      </c>
      <c r="I43" s="620"/>
      <c r="J43" s="620"/>
      <c r="K43" s="617"/>
    </row>
    <row r="44" spans="1:11" s="618" customFormat="1">
      <c r="A44" s="622" t="s">
        <v>162</v>
      </c>
      <c r="B44" s="619">
        <f>'Sources and Uses Budget'!C44</f>
        <v>0</v>
      </c>
      <c r="C44" s="620"/>
      <c r="D44" s="620"/>
      <c r="E44" s="619">
        <f>'Sources and Uses Budget'!S44</f>
        <v>0</v>
      </c>
      <c r="F44" s="620"/>
      <c r="G44" s="620"/>
      <c r="H44" s="619">
        <f>'Sources and Uses Budget'!T44</f>
        <v>0</v>
      </c>
      <c r="I44" s="620"/>
      <c r="J44" s="620"/>
      <c r="K44" s="617"/>
    </row>
    <row r="45" spans="1:11" s="618" customFormat="1" ht="12" customHeight="1">
      <c r="A45" s="622" t="s">
        <v>163</v>
      </c>
      <c r="B45" s="619">
        <f>'Sources and Uses Budget'!C45</f>
        <v>0</v>
      </c>
      <c r="C45" s="620"/>
      <c r="D45" s="620"/>
      <c r="E45" s="619">
        <f>'Sources and Uses Budget'!S45</f>
        <v>0</v>
      </c>
      <c r="F45" s="620"/>
      <c r="G45" s="620"/>
      <c r="H45" s="619">
        <f>'Sources and Uses Budget'!T45</f>
        <v>0</v>
      </c>
      <c r="I45" s="620"/>
      <c r="J45" s="620"/>
      <c r="K45" s="617"/>
    </row>
    <row r="46" spans="1:11" s="618" customFormat="1">
      <c r="A46" s="622" t="s">
        <v>164</v>
      </c>
      <c r="B46" s="619">
        <f>'Sources and Uses Budget'!C46</f>
        <v>0</v>
      </c>
      <c r="C46" s="620"/>
      <c r="D46" s="620"/>
      <c r="E46" s="619">
        <f>'Sources and Uses Budget'!S46</f>
        <v>0</v>
      </c>
      <c r="F46" s="620"/>
      <c r="G46" s="620"/>
      <c r="H46" s="619">
        <f>'Sources and Uses Budget'!T46</f>
        <v>0</v>
      </c>
      <c r="I46" s="620"/>
      <c r="J46" s="620"/>
      <c r="K46" s="617"/>
    </row>
    <row r="47" spans="1:11" s="618" customFormat="1">
      <c r="A47" s="479" t="s">
        <v>63</v>
      </c>
      <c r="B47" s="619">
        <f>'Sources and Uses Budget'!C47</f>
        <v>0</v>
      </c>
      <c r="C47" s="620"/>
      <c r="D47" s="620"/>
      <c r="E47" s="619">
        <f>'Sources and Uses Budget'!S47</f>
        <v>0</v>
      </c>
      <c r="F47" s="620"/>
      <c r="G47" s="620"/>
      <c r="H47" s="619">
        <f>'Sources and Uses Budget'!T47</f>
        <v>0</v>
      </c>
      <c r="I47" s="620"/>
      <c r="J47" s="620"/>
      <c r="K47" s="617"/>
    </row>
    <row r="48" spans="1:11" s="618" customFormat="1">
      <c r="A48" s="622" t="s">
        <v>167</v>
      </c>
      <c r="B48" s="619">
        <f>'Sources and Uses Budget'!C48</f>
        <v>75000</v>
      </c>
      <c r="C48" s="620">
        <f>B48</f>
        <v>75000</v>
      </c>
      <c r="D48" s="620"/>
      <c r="E48" s="619">
        <f>'Sources and Uses Budget'!S48</f>
        <v>0</v>
      </c>
      <c r="F48" s="620"/>
      <c r="G48" s="620"/>
      <c r="H48" s="619">
        <f>'Sources and Uses Budget'!T48</f>
        <v>75000</v>
      </c>
      <c r="I48" s="620">
        <f>H48</f>
        <v>75000</v>
      </c>
      <c r="J48" s="620"/>
      <c r="K48" s="617"/>
    </row>
    <row r="49" spans="1:11" s="618" customFormat="1">
      <c r="A49" s="622" t="s">
        <v>165</v>
      </c>
      <c r="B49" s="619">
        <f>'Sources and Uses Budget'!C49</f>
        <v>0</v>
      </c>
      <c r="C49" s="620"/>
      <c r="D49" s="620"/>
      <c r="E49" s="619">
        <f>'Sources and Uses Budget'!S49</f>
        <v>0</v>
      </c>
      <c r="F49" s="620"/>
      <c r="G49" s="620"/>
      <c r="H49" s="619">
        <f>'Sources and Uses Budget'!T49</f>
        <v>0</v>
      </c>
      <c r="I49" s="620"/>
      <c r="J49" s="620"/>
      <c r="K49" s="617"/>
    </row>
    <row r="50" spans="1:11" s="618" customFormat="1">
      <c r="A50" s="622" t="s">
        <v>166</v>
      </c>
      <c r="B50" s="619">
        <f>'Sources and Uses Budget'!C50</f>
        <v>0</v>
      </c>
      <c r="C50" s="620"/>
      <c r="D50" s="620"/>
      <c r="E50" s="619">
        <f>'Sources and Uses Budget'!S50</f>
        <v>0</v>
      </c>
      <c r="F50" s="620"/>
      <c r="G50" s="620"/>
      <c r="H50" s="619">
        <f>'Sources and Uses Budget'!T50</f>
        <v>0</v>
      </c>
      <c r="I50" s="620"/>
      <c r="J50" s="620"/>
      <c r="K50" s="617"/>
    </row>
    <row r="51" spans="1:11" s="618" customFormat="1">
      <c r="A51" s="625" t="str">
        <f>'Sources and Uses Budget'!$A60</f>
        <v>Other: (Specify) Bond issuance costs</v>
      </c>
      <c r="B51" s="619">
        <f>'Sources and Uses Budget'!C51</f>
        <v>0</v>
      </c>
      <c r="C51" s="620"/>
      <c r="D51" s="620"/>
      <c r="E51" s="619">
        <f>'Sources and Uses Budget'!S51</f>
        <v>0</v>
      </c>
      <c r="F51" s="620"/>
      <c r="G51" s="620"/>
      <c r="H51" s="619">
        <f>'Sources and Uses Budget'!T51</f>
        <v>0</v>
      </c>
      <c r="I51" s="620"/>
      <c r="J51" s="620"/>
      <c r="K51" s="617"/>
    </row>
    <row r="52" spans="1:11" s="618" customFormat="1">
      <c r="A52" s="625" t="str">
        <f>'Sources and Uses Budget'!$A61</f>
        <v>Other: (Specify)</v>
      </c>
      <c r="B52" s="619">
        <f>'Sources and Uses Budget'!C52</f>
        <v>0</v>
      </c>
      <c r="C52" s="620"/>
      <c r="D52" s="620"/>
      <c r="E52" s="619">
        <f>'Sources and Uses Budget'!S52</f>
        <v>0</v>
      </c>
      <c r="F52" s="620"/>
      <c r="G52" s="620"/>
      <c r="H52" s="619">
        <f>'Sources and Uses Budget'!T52</f>
        <v>0</v>
      </c>
      <c r="I52" s="620"/>
      <c r="J52" s="620"/>
      <c r="K52" s="617"/>
    </row>
    <row r="53" spans="1:11" s="629" customFormat="1">
      <c r="A53" s="623" t="s">
        <v>168</v>
      </c>
      <c r="B53" s="619">
        <f>'Sources and Uses Budget'!C53</f>
        <v>409342</v>
      </c>
      <c r="C53" s="626">
        <f>SUM(C43:C52)</f>
        <v>409342</v>
      </c>
      <c r="D53" s="626">
        <f>SUM(D43:D52)</f>
        <v>0</v>
      </c>
      <c r="E53" s="619">
        <f>'Sources and Uses Budget'!S53</f>
        <v>0</v>
      </c>
      <c r="F53" s="626">
        <f>SUM(F43:F52)</f>
        <v>0</v>
      </c>
      <c r="G53" s="626">
        <f>SUM(G43:G52)</f>
        <v>0</v>
      </c>
      <c r="H53" s="619">
        <f>'Sources and Uses Budget'!T53</f>
        <v>75000</v>
      </c>
      <c r="I53" s="626">
        <f>SUM(I43:I52)</f>
        <v>75000</v>
      </c>
      <c r="J53" s="626">
        <f>SUM(J43:J52)</f>
        <v>0</v>
      </c>
      <c r="K53" s="628"/>
    </row>
    <row r="54" spans="1:11" s="618" customFormat="1">
      <c r="A54" s="615" t="s">
        <v>466</v>
      </c>
      <c r="B54" s="616"/>
      <c r="C54" s="616"/>
      <c r="D54" s="616"/>
      <c r="E54" s="616"/>
      <c r="F54" s="616"/>
      <c r="G54" s="616"/>
      <c r="H54" s="616"/>
      <c r="I54" s="616"/>
      <c r="J54" s="616"/>
      <c r="K54" s="617"/>
    </row>
    <row r="55" spans="1:11" s="618" customFormat="1">
      <c r="A55" s="622" t="s">
        <v>169</v>
      </c>
      <c r="B55" s="619">
        <f>'Sources and Uses Budget'!C55</f>
        <v>170000</v>
      </c>
      <c r="C55" s="620">
        <f>B55</f>
        <v>170000</v>
      </c>
      <c r="D55" s="620"/>
      <c r="E55" s="621"/>
      <c r="F55" s="621"/>
      <c r="G55" s="621"/>
      <c r="H55" s="621"/>
      <c r="I55" s="621"/>
      <c r="J55" s="621"/>
      <c r="K55" s="617"/>
    </row>
    <row r="56" spans="1:11" s="618" customFormat="1" ht="12" customHeight="1">
      <c r="A56" s="622" t="s">
        <v>163</v>
      </c>
      <c r="B56" s="619">
        <f>'Sources and Uses Budget'!C56</f>
        <v>0</v>
      </c>
      <c r="C56" s="620"/>
      <c r="D56" s="620"/>
      <c r="E56" s="621"/>
      <c r="F56" s="621"/>
      <c r="G56" s="621"/>
      <c r="H56" s="621"/>
      <c r="I56" s="621"/>
      <c r="J56" s="621"/>
      <c r="K56" s="617"/>
    </row>
    <row r="57" spans="1:11" s="618" customFormat="1">
      <c r="A57" s="622" t="s">
        <v>167</v>
      </c>
      <c r="B57" s="619">
        <f>'Sources and Uses Budget'!C57</f>
        <v>0</v>
      </c>
      <c r="C57" s="620"/>
      <c r="D57" s="620"/>
      <c r="E57" s="621"/>
      <c r="F57" s="621"/>
      <c r="G57" s="621"/>
      <c r="H57" s="621"/>
      <c r="I57" s="621"/>
      <c r="J57" s="621"/>
      <c r="K57" s="617"/>
    </row>
    <row r="58" spans="1:11" s="618" customFormat="1">
      <c r="A58" s="622" t="s">
        <v>165</v>
      </c>
      <c r="B58" s="619">
        <f>'Sources and Uses Budget'!C58</f>
        <v>0</v>
      </c>
      <c r="C58" s="620"/>
      <c r="D58" s="620"/>
      <c r="E58" s="621"/>
      <c r="F58" s="621"/>
      <c r="G58" s="621"/>
      <c r="H58" s="621"/>
      <c r="I58" s="621"/>
      <c r="J58" s="621"/>
      <c r="K58" s="617"/>
    </row>
    <row r="59" spans="1:11" s="618" customFormat="1">
      <c r="A59" s="622" t="s">
        <v>166</v>
      </c>
      <c r="B59" s="619">
        <f>'Sources and Uses Budget'!C59</f>
        <v>0</v>
      </c>
      <c r="C59" s="620"/>
      <c r="D59" s="620"/>
      <c r="E59" s="621"/>
      <c r="F59" s="621"/>
      <c r="G59" s="621"/>
      <c r="H59" s="621"/>
      <c r="I59" s="621"/>
      <c r="J59" s="621"/>
      <c r="K59" s="617"/>
    </row>
    <row r="60" spans="1:11" s="618" customFormat="1">
      <c r="A60" s="625" t="str">
        <f>'Sources and Uses Budget'!$A60</f>
        <v>Other: (Specify) Bond issuance costs</v>
      </c>
      <c r="B60" s="619">
        <f>'Sources and Uses Budget'!C60</f>
        <v>255000</v>
      </c>
      <c r="C60" s="620">
        <f>B60</f>
        <v>255000</v>
      </c>
      <c r="D60" s="620"/>
      <c r="E60" s="621"/>
      <c r="F60" s="621"/>
      <c r="G60" s="621"/>
      <c r="H60" s="621"/>
      <c r="I60" s="621"/>
      <c r="J60" s="621"/>
      <c r="K60" s="617"/>
    </row>
    <row r="61" spans="1:11" s="618" customFormat="1">
      <c r="A61" s="625" t="str">
        <f>'Sources and Uses Budget'!$A61</f>
        <v>Other: (Specify)</v>
      </c>
      <c r="B61" s="619">
        <f>'Sources and Uses Budget'!C61</f>
        <v>0</v>
      </c>
      <c r="C61" s="620"/>
      <c r="D61" s="620"/>
      <c r="E61" s="621"/>
      <c r="F61" s="621"/>
      <c r="G61" s="621"/>
      <c r="H61" s="621"/>
      <c r="I61" s="621"/>
      <c r="J61" s="621"/>
      <c r="K61" s="617"/>
    </row>
    <row r="62" spans="1:11" s="618" customFormat="1" ht="13.7" customHeight="1">
      <c r="A62" s="623" t="s">
        <v>324</v>
      </c>
      <c r="B62" s="619">
        <f>'Sources and Uses Budget'!C62</f>
        <v>425000</v>
      </c>
      <c r="C62" s="619">
        <f>SUM(C55:C61)</f>
        <v>425000</v>
      </c>
      <c r="D62" s="619">
        <f>SUM(D55:D61)</f>
        <v>0</v>
      </c>
      <c r="E62" s="621"/>
      <c r="F62" s="621"/>
      <c r="G62" s="621"/>
      <c r="H62" s="621"/>
      <c r="I62" s="621"/>
      <c r="J62" s="621"/>
      <c r="K62" s="617"/>
    </row>
    <row r="63" spans="1:11" s="618" customFormat="1">
      <c r="A63" s="630" t="s">
        <v>325</v>
      </c>
      <c r="B63" s="619">
        <f>'Sources and Uses Budget'!C63</f>
        <v>12855783.547717843</v>
      </c>
      <c r="C63" s="619">
        <f>SUM(C8+C11+C13+C14+C15+C25+C26+C36+C40+C41+C53+C62)</f>
        <v>12855783.547717843</v>
      </c>
      <c r="D63" s="619">
        <f>SUM(D8+D11+D13+D14+D15+D25+D26+D36+D40+D41+D53+D62)</f>
        <v>0</v>
      </c>
      <c r="E63" s="619">
        <f>'Sources and Uses Budget'!S63</f>
        <v>5046422</v>
      </c>
      <c r="F63" s="619">
        <f>SUM(F10+F13+F14+F15+F25+F26+F36+F40+F41+F53)</f>
        <v>5046422</v>
      </c>
      <c r="G63" s="619">
        <f>SUM(G10+G13+G14+G15+G25+G26+G36+G40+G41+G53)</f>
        <v>0</v>
      </c>
      <c r="H63" s="619">
        <f>'Sources and Uses Budget'!T63</f>
        <v>6628796</v>
      </c>
      <c r="I63" s="619">
        <f>SUM(I11+I13+I14+I15+I25+I26+I36+I40+I41+I53)</f>
        <v>6628796</v>
      </c>
      <c r="J63" s="619">
        <f>SUM(J11+J13+J14+J15+J25+J26+J36+J40+J41+J53)</f>
        <v>0</v>
      </c>
      <c r="K63" s="617"/>
    </row>
    <row r="64" spans="1:11" s="618" customFormat="1">
      <c r="A64" s="615" t="s">
        <v>182</v>
      </c>
      <c r="B64" s="616"/>
      <c r="C64" s="616"/>
      <c r="D64" s="616"/>
      <c r="E64" s="616"/>
      <c r="F64" s="616"/>
      <c r="G64" s="616"/>
      <c r="H64" s="616"/>
      <c r="I64" s="616"/>
      <c r="J64" s="616"/>
      <c r="K64" s="617"/>
    </row>
    <row r="65" spans="1:11" s="618" customFormat="1">
      <c r="A65" s="239" t="s">
        <v>183</v>
      </c>
      <c r="B65" s="619">
        <f>'Sources and Uses Budget'!C65</f>
        <v>75000</v>
      </c>
      <c r="C65" s="620">
        <f>B65</f>
        <v>75000</v>
      </c>
      <c r="D65" s="620"/>
      <c r="E65" s="619">
        <f>'Sources and Uses Budget'!S65</f>
        <v>0</v>
      </c>
      <c r="F65" s="620"/>
      <c r="G65" s="620"/>
      <c r="H65" s="619">
        <f>'Sources and Uses Budget'!T65</f>
        <v>0</v>
      </c>
      <c r="I65" s="620"/>
      <c r="J65" s="620"/>
      <c r="K65" s="617"/>
    </row>
    <row r="66" spans="1:11" s="618" customFormat="1">
      <c r="A66" s="625" t="str">
        <f>'Sources and Uses Budget'!$A73</f>
        <v>Other: (Specify)</v>
      </c>
      <c r="B66" s="619">
        <f>'Sources and Uses Budget'!C66</f>
        <v>75000</v>
      </c>
      <c r="C66" s="620">
        <f>B66</f>
        <v>75000</v>
      </c>
      <c r="D66" s="620"/>
      <c r="E66" s="619">
        <f>'Sources and Uses Budget'!S66</f>
        <v>0</v>
      </c>
      <c r="F66" s="620"/>
      <c r="G66" s="620"/>
      <c r="H66" s="619">
        <f>'Sources and Uses Budget'!T66</f>
        <v>0</v>
      </c>
      <c r="I66" s="620"/>
      <c r="J66" s="620"/>
      <c r="K66" s="617"/>
    </row>
    <row r="67" spans="1:11" s="618" customFormat="1">
      <c r="A67" s="623" t="s">
        <v>682</v>
      </c>
      <c r="B67" s="619">
        <f>'Sources and Uses Budget'!C67</f>
        <v>150000</v>
      </c>
      <c r="C67" s="619">
        <f>SUM(C64:C66)</f>
        <v>150000</v>
      </c>
      <c r="D67" s="619">
        <f>SUM(D64:D66)</f>
        <v>0</v>
      </c>
      <c r="E67" s="619">
        <f>'Sources and Uses Budget'!S67</f>
        <v>0</v>
      </c>
      <c r="F67" s="626">
        <f>SUM(F65:F66)</f>
        <v>0</v>
      </c>
      <c r="G67" s="626">
        <f>SUM(G65:G66)</f>
        <v>0</v>
      </c>
      <c r="H67" s="619">
        <f>'Sources and Uses Budget'!T67</f>
        <v>0</v>
      </c>
      <c r="I67" s="626">
        <f>SUM(I65:I66)</f>
        <v>0</v>
      </c>
      <c r="J67" s="626">
        <f>SUM(J65:J66)</f>
        <v>0</v>
      </c>
      <c r="K67" s="617"/>
    </row>
    <row r="68" spans="1:11" s="618" customFormat="1">
      <c r="A68" s="615" t="s">
        <v>683</v>
      </c>
      <c r="B68" s="616"/>
      <c r="C68" s="616"/>
      <c r="D68" s="616"/>
      <c r="E68" s="616"/>
      <c r="F68" s="616"/>
      <c r="G68" s="616"/>
      <c r="H68" s="616"/>
      <c r="I68" s="616"/>
      <c r="J68" s="616"/>
      <c r="K68" s="617"/>
    </row>
    <row r="69" spans="1:11" s="618" customFormat="1">
      <c r="A69" s="622" t="s">
        <v>684</v>
      </c>
      <c r="B69" s="619">
        <f>'Sources and Uses Budget'!C69</f>
        <v>300000</v>
      </c>
      <c r="C69" s="620"/>
      <c r="D69" s="620"/>
      <c r="E69" s="621"/>
      <c r="F69" s="621"/>
      <c r="G69" s="621"/>
      <c r="H69" s="621"/>
      <c r="I69" s="621"/>
      <c r="J69" s="621"/>
      <c r="K69" s="617"/>
    </row>
    <row r="70" spans="1:11" s="618" customFormat="1">
      <c r="A70" s="622" t="s">
        <v>685</v>
      </c>
      <c r="B70" s="619">
        <f>'Sources and Uses Budget'!C70</f>
        <v>0</v>
      </c>
      <c r="C70" s="620"/>
      <c r="D70" s="620"/>
      <c r="E70" s="621"/>
      <c r="F70" s="621"/>
      <c r="G70" s="621"/>
      <c r="H70" s="621"/>
      <c r="I70" s="621"/>
      <c r="J70" s="621"/>
      <c r="K70" s="617"/>
    </row>
    <row r="71" spans="1:11" s="618" customFormat="1">
      <c r="A71" s="811" t="s">
        <v>1173</v>
      </c>
      <c r="B71" s="619">
        <f>'Sources and Uses Budget'!C71</f>
        <v>0</v>
      </c>
      <c r="C71" s="620"/>
      <c r="D71" s="620"/>
      <c r="E71" s="621"/>
      <c r="F71" s="621"/>
      <c r="G71" s="621"/>
      <c r="H71" s="621"/>
      <c r="I71" s="621"/>
      <c r="J71" s="621"/>
      <c r="K71" s="617"/>
    </row>
    <row r="72" spans="1:11" s="618" customFormat="1">
      <c r="A72" s="622" t="s">
        <v>686</v>
      </c>
      <c r="B72" s="619">
        <f>'Sources and Uses Budget'!C72</f>
        <v>234640</v>
      </c>
      <c r="C72" s="620">
        <f>B72</f>
        <v>234640</v>
      </c>
      <c r="D72" s="620"/>
      <c r="E72" s="621"/>
      <c r="F72" s="621"/>
      <c r="G72" s="621"/>
      <c r="H72" s="621"/>
      <c r="I72" s="621"/>
      <c r="J72" s="621"/>
      <c r="K72" s="617"/>
    </row>
    <row r="73" spans="1:11" s="618" customFormat="1">
      <c r="A73" s="625" t="str">
        <f>'Sources and Uses Budget'!$A73</f>
        <v>Other: (Specify)</v>
      </c>
      <c r="B73" s="619">
        <f>'Sources and Uses Budget'!C73</f>
        <v>0</v>
      </c>
      <c r="C73" s="620"/>
      <c r="D73" s="620"/>
      <c r="E73" s="621"/>
      <c r="F73" s="621"/>
      <c r="G73" s="621"/>
      <c r="H73" s="621"/>
      <c r="I73" s="621"/>
      <c r="J73" s="621"/>
      <c r="K73" s="617"/>
    </row>
    <row r="74" spans="1:11" s="618" customFormat="1">
      <c r="A74" s="623" t="s">
        <v>687</v>
      </c>
      <c r="B74" s="619">
        <f>'Sources and Uses Budget'!C74</f>
        <v>534640</v>
      </c>
      <c r="C74" s="619">
        <f>SUM(C69:C73)</f>
        <v>234640</v>
      </c>
      <c r="D74" s="619">
        <f>SUM(D69:D73)</f>
        <v>0</v>
      </c>
      <c r="E74" s="621"/>
      <c r="F74" s="621"/>
      <c r="G74" s="621"/>
      <c r="H74" s="621"/>
      <c r="I74" s="621"/>
      <c r="J74" s="621"/>
      <c r="K74" s="617"/>
    </row>
    <row r="75" spans="1:11" s="618" customFormat="1">
      <c r="A75" s="615" t="s">
        <v>1560</v>
      </c>
      <c r="B75" s="616"/>
      <c r="C75" s="616"/>
      <c r="D75" s="616"/>
      <c r="E75" s="616"/>
      <c r="F75" s="616"/>
      <c r="G75" s="616"/>
      <c r="H75" s="616"/>
      <c r="I75" s="616"/>
      <c r="J75" s="616"/>
      <c r="K75" s="617"/>
    </row>
    <row r="76" spans="1:11" s="618" customFormat="1">
      <c r="A76" s="622" t="s">
        <v>1562</v>
      </c>
      <c r="B76" s="619">
        <f>'Sources and Uses Budget'!C76</f>
        <v>480207</v>
      </c>
      <c r="C76" s="620">
        <f>B76</f>
        <v>480207</v>
      </c>
      <c r="D76" s="620"/>
      <c r="E76" s="619">
        <f>'Sources and Uses Budget'!S76</f>
        <v>480207</v>
      </c>
      <c r="F76" s="620">
        <f>E76</f>
        <v>480207</v>
      </c>
      <c r="G76" s="620"/>
      <c r="H76" s="619">
        <f>'Sources and Uses Budget'!T76</f>
        <v>0</v>
      </c>
      <c r="I76" s="620"/>
      <c r="J76" s="620"/>
      <c r="K76" s="617"/>
    </row>
    <row r="77" spans="1:11" s="618" customFormat="1">
      <c r="A77" s="622" t="s">
        <v>64</v>
      </c>
      <c r="B77" s="619">
        <f>'Sources and Uses Budget'!C77</f>
        <v>75248</v>
      </c>
      <c r="C77" s="620">
        <f>B77</f>
        <v>75248</v>
      </c>
      <c r="D77" s="620"/>
      <c r="E77" s="619">
        <f>'Sources and Uses Budget'!S77</f>
        <v>75248</v>
      </c>
      <c r="F77" s="620">
        <f>E77</f>
        <v>75248</v>
      </c>
      <c r="G77" s="620"/>
      <c r="H77" s="619">
        <f>'Sources and Uses Budget'!T77</f>
        <v>0</v>
      </c>
      <c r="I77" s="620"/>
      <c r="J77" s="620"/>
      <c r="K77" s="617"/>
    </row>
    <row r="78" spans="1:11" s="618" customFormat="1">
      <c r="A78" s="623" t="s">
        <v>1559</v>
      </c>
      <c r="B78" s="619">
        <f>'Sources and Uses Budget'!C78</f>
        <v>555455</v>
      </c>
      <c r="C78" s="619">
        <f>SUM(C76:C77)</f>
        <v>555455</v>
      </c>
      <c r="D78" s="619">
        <f>SUM(D76:D77)</f>
        <v>0</v>
      </c>
      <c r="E78" s="619">
        <f>'Sources and Uses Budget'!S78</f>
        <v>555455</v>
      </c>
      <c r="F78" s="619">
        <f>SUM(F76:F77)</f>
        <v>555455</v>
      </c>
      <c r="G78" s="619">
        <f>SUM(G76:G77)</f>
        <v>0</v>
      </c>
      <c r="H78" s="619">
        <f>'Sources and Uses Budget'!T78</f>
        <v>0</v>
      </c>
      <c r="I78" s="619">
        <f>SUM(I76:I77)</f>
        <v>0</v>
      </c>
      <c r="J78" s="619">
        <f>SUM(J76:J77)</f>
        <v>0</v>
      </c>
      <c r="K78" s="617"/>
    </row>
    <row r="79" spans="1:11" s="618" customFormat="1">
      <c r="A79" s="615" t="s">
        <v>876</v>
      </c>
      <c r="B79" s="616"/>
      <c r="C79" s="616"/>
      <c r="D79" s="616"/>
      <c r="E79" s="616"/>
      <c r="F79" s="616"/>
      <c r="G79" s="616"/>
      <c r="H79" s="616"/>
      <c r="I79" s="616"/>
      <c r="J79" s="616"/>
      <c r="K79" s="617"/>
    </row>
    <row r="80" spans="1:11" s="618" customFormat="1" ht="13.7" customHeight="1">
      <c r="A80" s="239" t="s">
        <v>877</v>
      </c>
      <c r="B80" s="619">
        <f>'Sources and Uses Budget'!C80</f>
        <v>37605</v>
      </c>
      <c r="C80" s="620">
        <f>B80</f>
        <v>37605</v>
      </c>
      <c r="D80" s="620"/>
      <c r="E80" s="621"/>
      <c r="F80" s="621"/>
      <c r="G80" s="621"/>
      <c r="H80" s="621"/>
      <c r="I80" s="621"/>
      <c r="J80" s="621"/>
      <c r="K80" s="617"/>
    </row>
    <row r="81" spans="1:11" s="618" customFormat="1">
      <c r="A81" s="239" t="s">
        <v>878</v>
      </c>
      <c r="B81" s="619">
        <f>'Sources and Uses Budget'!C81</f>
        <v>10000</v>
      </c>
      <c r="C81" s="620">
        <f>B81</f>
        <v>10000</v>
      </c>
      <c r="D81" s="620"/>
      <c r="E81" s="619">
        <f>'Sources and Uses Budget'!S81</f>
        <v>10000</v>
      </c>
      <c r="F81" s="620">
        <f>E81</f>
        <v>10000</v>
      </c>
      <c r="G81" s="620"/>
      <c r="H81" s="619">
        <f>'Sources and Uses Budget'!T81</f>
        <v>0</v>
      </c>
      <c r="I81" s="620"/>
      <c r="J81" s="620"/>
      <c r="K81" s="617"/>
    </row>
    <row r="82" spans="1:11" s="618" customFormat="1">
      <c r="A82" s="239" t="s">
        <v>879</v>
      </c>
      <c r="B82" s="619">
        <f>'Sources and Uses Budget'!C82</f>
        <v>0</v>
      </c>
      <c r="C82" s="620"/>
      <c r="D82" s="620"/>
      <c r="E82" s="619">
        <f>'Sources and Uses Budget'!S82</f>
        <v>0</v>
      </c>
      <c r="F82" s="620"/>
      <c r="G82" s="620"/>
      <c r="H82" s="619">
        <f>'Sources and Uses Budget'!T82</f>
        <v>0</v>
      </c>
      <c r="I82" s="620"/>
      <c r="J82" s="620"/>
      <c r="K82" s="617"/>
    </row>
    <row r="83" spans="1:11" s="618" customFormat="1">
      <c r="A83" s="239" t="s">
        <v>880</v>
      </c>
      <c r="B83" s="619">
        <f>'Sources and Uses Budget'!C83</f>
        <v>50000</v>
      </c>
      <c r="C83" s="620">
        <f>B83</f>
        <v>50000</v>
      </c>
      <c r="D83" s="620"/>
      <c r="E83" s="619">
        <f>'Sources and Uses Budget'!S83</f>
        <v>50000</v>
      </c>
      <c r="F83" s="620">
        <f>E83</f>
        <v>50000</v>
      </c>
      <c r="G83" s="620"/>
      <c r="H83" s="619">
        <f>'Sources and Uses Budget'!T83</f>
        <v>0</v>
      </c>
      <c r="I83" s="620"/>
      <c r="J83" s="620"/>
      <c r="K83" s="617"/>
    </row>
    <row r="84" spans="1:11" s="618" customFormat="1">
      <c r="A84" s="239" t="s">
        <v>881</v>
      </c>
      <c r="B84" s="619">
        <f>'Sources and Uses Budget'!C84</f>
        <v>0</v>
      </c>
      <c r="C84" s="620"/>
      <c r="D84" s="620"/>
      <c r="E84" s="619">
        <f>'Sources and Uses Budget'!S84</f>
        <v>0</v>
      </c>
      <c r="F84" s="620"/>
      <c r="G84" s="620"/>
      <c r="H84" s="619">
        <f>'Sources and Uses Budget'!T84</f>
        <v>0</v>
      </c>
      <c r="I84" s="620"/>
      <c r="J84" s="620"/>
      <c r="K84" s="617"/>
    </row>
    <row r="85" spans="1:11" s="618" customFormat="1">
      <c r="A85" s="239" t="s">
        <v>882</v>
      </c>
      <c r="B85" s="619">
        <f>'Sources and Uses Budget'!C85</f>
        <v>25000</v>
      </c>
      <c r="C85" s="620"/>
      <c r="D85" s="620"/>
      <c r="E85" s="621"/>
      <c r="F85" s="621"/>
      <c r="G85" s="621"/>
      <c r="H85" s="621"/>
      <c r="I85" s="621"/>
      <c r="J85" s="621"/>
      <c r="K85" s="617"/>
    </row>
    <row r="86" spans="1:11" s="618" customFormat="1">
      <c r="A86" s="239" t="s">
        <v>883</v>
      </c>
      <c r="B86" s="619">
        <f>'Sources and Uses Budget'!C86</f>
        <v>0</v>
      </c>
      <c r="C86" s="620"/>
      <c r="D86" s="620"/>
      <c r="E86" s="619">
        <f>'Sources and Uses Budget'!S86</f>
        <v>0</v>
      </c>
      <c r="F86" s="620"/>
      <c r="G86" s="620"/>
      <c r="H86" s="619">
        <f>'Sources and Uses Budget'!T86</f>
        <v>0</v>
      </c>
      <c r="I86" s="620"/>
      <c r="J86" s="620"/>
      <c r="K86" s="617"/>
    </row>
    <row r="87" spans="1:11" s="618" customFormat="1">
      <c r="A87" s="239" t="s">
        <v>884</v>
      </c>
      <c r="B87" s="619">
        <f>'Sources and Uses Budget'!C87</f>
        <v>2500</v>
      </c>
      <c r="C87" s="620">
        <f>B87</f>
        <v>2500</v>
      </c>
      <c r="D87" s="620"/>
      <c r="E87" s="619">
        <f>'Sources and Uses Budget'!S87</f>
        <v>2500</v>
      </c>
      <c r="F87" s="620">
        <f>E87</f>
        <v>2500</v>
      </c>
      <c r="G87" s="620"/>
      <c r="H87" s="619">
        <f>'Sources and Uses Budget'!T87</f>
        <v>0</v>
      </c>
      <c r="I87" s="620"/>
      <c r="J87" s="620"/>
      <c r="K87" s="617"/>
    </row>
    <row r="88" spans="1:11" s="618" customFormat="1">
      <c r="A88" s="250" t="s">
        <v>417</v>
      </c>
      <c r="B88" s="619">
        <f>'Sources and Uses Budget'!C88</f>
        <v>5000</v>
      </c>
      <c r="C88" s="620">
        <f>B88</f>
        <v>5000</v>
      </c>
      <c r="D88" s="620"/>
      <c r="E88" s="619">
        <f>'Sources and Uses Budget'!S88</f>
        <v>5000</v>
      </c>
      <c r="F88" s="620">
        <f>E88</f>
        <v>5000</v>
      </c>
      <c r="G88" s="620"/>
      <c r="H88" s="619">
        <f>'Sources and Uses Budget'!T88</f>
        <v>0</v>
      </c>
      <c r="I88" s="620"/>
      <c r="J88" s="620"/>
      <c r="K88" s="617"/>
    </row>
    <row r="89" spans="1:11" s="618" customFormat="1">
      <c r="A89" s="943" t="s">
        <v>1561</v>
      </c>
      <c r="B89" s="619">
        <f>'Sources and Uses Budget'!C89</f>
        <v>7000</v>
      </c>
      <c r="C89" s="620">
        <f>B89</f>
        <v>7000</v>
      </c>
      <c r="D89" s="620"/>
      <c r="E89" s="619">
        <f>'Sources and Uses Budget'!S89</f>
        <v>7000</v>
      </c>
      <c r="F89" s="620">
        <f>E89</f>
        <v>7000</v>
      </c>
      <c r="G89" s="620"/>
      <c r="H89" s="619">
        <f>'Sources and Uses Budget'!T89</f>
        <v>0</v>
      </c>
      <c r="I89" s="620"/>
      <c r="J89" s="620"/>
      <c r="K89" s="617"/>
    </row>
    <row r="90" spans="1:11" s="618" customFormat="1">
      <c r="A90" s="625" t="str">
        <f>'Sources and Uses Budget'!$A90</f>
        <v>Other: (Specify)</v>
      </c>
      <c r="B90" s="619">
        <f>'Sources and Uses Budget'!C90</f>
        <v>0</v>
      </c>
      <c r="C90" s="620"/>
      <c r="D90" s="620"/>
      <c r="E90" s="619">
        <f>'Sources and Uses Budget'!S90</f>
        <v>0</v>
      </c>
      <c r="F90" s="620"/>
      <c r="G90" s="620"/>
      <c r="H90" s="619">
        <f>'Sources and Uses Budget'!T90</f>
        <v>0</v>
      </c>
      <c r="I90" s="620"/>
      <c r="J90" s="620"/>
      <c r="K90" s="617"/>
    </row>
    <row r="91" spans="1:11" s="618" customFormat="1">
      <c r="A91" s="625" t="str">
        <f>'Sources and Uses Budget'!$A91</f>
        <v>Other: (Specify)</v>
      </c>
      <c r="B91" s="619">
        <f>'Sources and Uses Budget'!C91</f>
        <v>0</v>
      </c>
      <c r="C91" s="620"/>
      <c r="D91" s="620"/>
      <c r="E91" s="619">
        <f>'Sources and Uses Budget'!S91</f>
        <v>0</v>
      </c>
      <c r="F91" s="620"/>
      <c r="G91" s="620"/>
      <c r="H91" s="619">
        <f>'Sources and Uses Budget'!T91</f>
        <v>0</v>
      </c>
      <c r="I91" s="620"/>
      <c r="J91" s="620"/>
      <c r="K91" s="617"/>
    </row>
    <row r="92" spans="1:11" s="618" customFormat="1">
      <c r="A92" s="625" t="str">
        <f>'Sources and Uses Budget'!$A92</f>
        <v>Other: (Specify)</v>
      </c>
      <c r="B92" s="619">
        <f>'Sources and Uses Budget'!C92</f>
        <v>0</v>
      </c>
      <c r="C92" s="620"/>
      <c r="D92" s="620"/>
      <c r="E92" s="619">
        <f>'Sources and Uses Budget'!S92</f>
        <v>0</v>
      </c>
      <c r="F92" s="620"/>
      <c r="G92" s="620"/>
      <c r="H92" s="619">
        <f>'Sources and Uses Budget'!T92</f>
        <v>0</v>
      </c>
      <c r="I92" s="620"/>
      <c r="J92" s="620"/>
      <c r="K92" s="617"/>
    </row>
    <row r="93" spans="1:11" s="618" customFormat="1">
      <c r="A93" s="625" t="str">
        <f>'Sources and Uses Budget'!$A93</f>
        <v>Other: (Specify)</v>
      </c>
      <c r="B93" s="619">
        <f>'Sources and Uses Budget'!C93</f>
        <v>0</v>
      </c>
      <c r="C93" s="620"/>
      <c r="D93" s="620"/>
      <c r="E93" s="619">
        <f>'Sources and Uses Budget'!S93</f>
        <v>0</v>
      </c>
      <c r="F93" s="620"/>
      <c r="G93" s="620"/>
      <c r="H93" s="619">
        <f>'Sources and Uses Budget'!T93</f>
        <v>0</v>
      </c>
      <c r="I93" s="620"/>
      <c r="J93" s="620"/>
      <c r="K93" s="617"/>
    </row>
    <row r="94" spans="1:11" s="618" customFormat="1">
      <c r="A94" s="625" t="str">
        <f>'Sources and Uses Budget'!$A94</f>
        <v>Other: (Specify)</v>
      </c>
      <c r="B94" s="619">
        <f>'Sources and Uses Budget'!C94</f>
        <v>0</v>
      </c>
      <c r="C94" s="620"/>
      <c r="D94" s="620"/>
      <c r="E94" s="619">
        <f>'Sources and Uses Budget'!S94</f>
        <v>0</v>
      </c>
      <c r="F94" s="620"/>
      <c r="G94" s="620"/>
      <c r="H94" s="619">
        <f>'Sources and Uses Budget'!T94</f>
        <v>0</v>
      </c>
      <c r="I94" s="620"/>
      <c r="J94" s="620"/>
      <c r="K94" s="617"/>
    </row>
    <row r="95" spans="1:11" s="618" customFormat="1">
      <c r="A95" s="623" t="s">
        <v>885</v>
      </c>
      <c r="B95" s="619">
        <f>'Sources and Uses Budget'!C95</f>
        <v>137105</v>
      </c>
      <c r="C95" s="619">
        <f>SUM(C80:C94)</f>
        <v>112105</v>
      </c>
      <c r="D95" s="619">
        <f>SUM(D80:D94)</f>
        <v>0</v>
      </c>
      <c r="E95" s="619">
        <f>'Sources and Uses Budget'!S95</f>
        <v>74500</v>
      </c>
      <c r="F95" s="626">
        <f>SUM(F81:F84,F86:F94)</f>
        <v>74500</v>
      </c>
      <c r="G95" s="626">
        <f>SUM(G81:G84,G86:G94)</f>
        <v>0</v>
      </c>
      <c r="H95" s="619">
        <f>'Sources and Uses Budget'!T95</f>
        <v>0</v>
      </c>
      <c r="I95" s="619">
        <f>SUM(I81:I84,I86:I94)</f>
        <v>0</v>
      </c>
      <c r="J95" s="619">
        <f>SUM(J81:J84,J86:J94)</f>
        <v>0</v>
      </c>
      <c r="K95" s="617"/>
    </row>
    <row r="96" spans="1:11" s="618" customFormat="1">
      <c r="A96" s="623" t="s">
        <v>1237</v>
      </c>
      <c r="B96" s="619">
        <f>'Sources and Uses Budget'!C96</f>
        <v>14232983.547717843</v>
      </c>
      <c r="C96" s="619">
        <f>SUM(C63+C67+C74+C78+C95)</f>
        <v>13907983.547717843</v>
      </c>
      <c r="D96" s="619">
        <f>SUM(D63+D67+D74+D78+D95)</f>
        <v>0</v>
      </c>
      <c r="E96" s="619">
        <f>'Sources and Uses Budget'!S96</f>
        <v>5676377</v>
      </c>
      <c r="F96" s="626">
        <f>SUM(+F63+F67+F78+F95)</f>
        <v>5676377</v>
      </c>
      <c r="G96" s="626">
        <f>SUM(+G63+G67+G78+G95)</f>
        <v>0</v>
      </c>
      <c r="H96" s="619">
        <f>'Sources and Uses Budget'!T96</f>
        <v>6628796</v>
      </c>
      <c r="I96" s="626">
        <f>SUM(I63+I67+I78+I95)</f>
        <v>6628796</v>
      </c>
      <c r="J96" s="626">
        <f>SUM(J63+J67+J78+J95)</f>
        <v>0</v>
      </c>
      <c r="K96" s="617"/>
    </row>
    <row r="97" spans="1:11" s="618" customFormat="1">
      <c r="A97" s="615" t="s">
        <v>887</v>
      </c>
      <c r="B97" s="616"/>
      <c r="C97" s="616"/>
      <c r="D97" s="616"/>
      <c r="E97" s="616"/>
      <c r="F97" s="616"/>
      <c r="G97" s="616"/>
      <c r="H97" s="616"/>
      <c r="I97" s="616"/>
      <c r="J97" s="616"/>
      <c r="K97" s="617"/>
    </row>
    <row r="98" spans="1:11" s="618" customFormat="1">
      <c r="A98" s="239" t="s">
        <v>888</v>
      </c>
      <c r="B98" s="619">
        <f>'Sources and Uses Budget'!C98</f>
        <v>1845775</v>
      </c>
      <c r="C98" s="620">
        <f>B98</f>
        <v>1845775</v>
      </c>
      <c r="D98" s="620"/>
      <c r="E98" s="619">
        <f>'Sources and Uses Budget'!S98</f>
        <v>851456</v>
      </c>
      <c r="F98" s="620">
        <f>E98</f>
        <v>851456</v>
      </c>
      <c r="G98" s="620"/>
      <c r="H98" s="619">
        <f>'Sources and Uses Budget'!T98</f>
        <v>994319</v>
      </c>
      <c r="I98" s="620">
        <f>H98</f>
        <v>994319</v>
      </c>
      <c r="J98" s="620"/>
      <c r="K98" s="617"/>
    </row>
    <row r="99" spans="1:11" s="618" customFormat="1">
      <c r="A99" s="239" t="s">
        <v>889</v>
      </c>
      <c r="B99" s="619">
        <f>'Sources and Uses Budget'!C99</f>
        <v>0</v>
      </c>
      <c r="C99" s="620"/>
      <c r="D99" s="620"/>
      <c r="E99" s="619">
        <f>'Sources and Uses Budget'!S99</f>
        <v>0</v>
      </c>
      <c r="F99" s="620"/>
      <c r="G99" s="620"/>
      <c r="H99" s="619">
        <f>'Sources and Uses Budget'!T99</f>
        <v>0</v>
      </c>
      <c r="I99" s="620"/>
      <c r="J99" s="620"/>
      <c r="K99" s="617"/>
    </row>
    <row r="100" spans="1:11" s="618" customFormat="1">
      <c r="A100" s="239" t="s">
        <v>890</v>
      </c>
      <c r="B100" s="619">
        <f>'Sources and Uses Budget'!C100</f>
        <v>0</v>
      </c>
      <c r="C100" s="620"/>
      <c r="D100" s="620"/>
      <c r="E100" s="619">
        <f>'Sources and Uses Budget'!S100</f>
        <v>0</v>
      </c>
      <c r="F100" s="620"/>
      <c r="G100" s="620"/>
      <c r="H100" s="619">
        <f>'Sources and Uses Budget'!T100</f>
        <v>0</v>
      </c>
      <c r="I100" s="620"/>
      <c r="J100" s="620"/>
      <c r="K100" s="617"/>
    </row>
    <row r="101" spans="1:11" s="618" customFormat="1" ht="12" customHeight="1">
      <c r="A101" s="239" t="s">
        <v>891</v>
      </c>
      <c r="B101" s="619">
        <f>'Sources and Uses Budget'!C101</f>
        <v>0</v>
      </c>
      <c r="C101" s="620"/>
      <c r="D101" s="620"/>
      <c r="E101" s="619">
        <f>'Sources and Uses Budget'!S101</f>
        <v>0</v>
      </c>
      <c r="F101" s="620"/>
      <c r="G101" s="620"/>
      <c r="H101" s="619">
        <f>'Sources and Uses Budget'!T101</f>
        <v>0</v>
      </c>
      <c r="I101" s="620"/>
      <c r="J101" s="620"/>
      <c r="K101" s="617"/>
    </row>
    <row r="102" spans="1:11" s="618" customFormat="1">
      <c r="A102" s="479" t="s">
        <v>1178</v>
      </c>
      <c r="B102" s="619">
        <f>'Sources and Uses Budget'!C102</f>
        <v>0</v>
      </c>
      <c r="C102" s="620"/>
      <c r="D102" s="620"/>
      <c r="E102" s="619">
        <f>'Sources and Uses Budget'!S102</f>
        <v>0</v>
      </c>
      <c r="F102" s="620"/>
      <c r="G102" s="620"/>
      <c r="H102" s="619">
        <f>'Sources and Uses Budget'!T102</f>
        <v>0</v>
      </c>
      <c r="I102" s="620"/>
      <c r="J102" s="620"/>
      <c r="K102" s="617"/>
    </row>
    <row r="103" spans="1:11" s="618" customFormat="1">
      <c r="A103" s="625" t="str">
        <f>'Sources and Uses Budget'!$A103</f>
        <v>Other: (Specify)</v>
      </c>
      <c r="B103" s="619">
        <f>'Sources and Uses Budget'!C103</f>
        <v>0</v>
      </c>
      <c r="C103" s="620"/>
      <c r="D103" s="620"/>
      <c r="E103" s="619">
        <f>'Sources and Uses Budget'!S103</f>
        <v>0</v>
      </c>
      <c r="F103" s="620"/>
      <c r="G103" s="620"/>
      <c r="H103" s="619">
        <f>'Sources and Uses Budget'!T103</f>
        <v>0</v>
      </c>
      <c r="I103" s="620"/>
      <c r="J103" s="620"/>
      <c r="K103" s="617"/>
    </row>
    <row r="104" spans="1:11" s="618" customFormat="1">
      <c r="A104" s="623" t="s">
        <v>893</v>
      </c>
      <c r="B104" s="619">
        <f>'Sources and Uses Budget'!C104</f>
        <v>1845775</v>
      </c>
      <c r="C104" s="619">
        <f>SUM(C98:C103)</f>
        <v>1845775</v>
      </c>
      <c r="D104" s="619">
        <f>SUM(D98:D103)</f>
        <v>0</v>
      </c>
      <c r="E104" s="619">
        <f>'Sources and Uses Budget'!S104</f>
        <v>851456</v>
      </c>
      <c r="F104" s="626">
        <f>SUM(F98:F103)</f>
        <v>851456</v>
      </c>
      <c r="G104" s="626">
        <f>SUM(G98:G103)</f>
        <v>0</v>
      </c>
      <c r="H104" s="619">
        <f>'Sources and Uses Budget'!T104</f>
        <v>994319</v>
      </c>
      <c r="I104" s="626">
        <f>SUM(I98:I103)</f>
        <v>994319</v>
      </c>
      <c r="J104" s="626">
        <f>SUM(J98:J103)</f>
        <v>0</v>
      </c>
      <c r="K104" s="617"/>
    </row>
    <row r="105" spans="1:11" s="618" customFormat="1">
      <c r="A105" s="623" t="s">
        <v>1238</v>
      </c>
      <c r="B105" s="619">
        <f>'Sources and Uses Budget'!C105</f>
        <v>16078758.547717843</v>
      </c>
      <c r="C105" s="626">
        <f>SUM(C96+C104)</f>
        <v>15753758.547717843</v>
      </c>
      <c r="D105" s="626">
        <f>SUM(D96+D104)</f>
        <v>0</v>
      </c>
      <c r="E105" s="619">
        <f>'Sources and Uses Budget'!S105</f>
        <v>6527833</v>
      </c>
      <c r="F105" s="626">
        <f>F96+F104</f>
        <v>6527833</v>
      </c>
      <c r="G105" s="626">
        <f>G96+G104</f>
        <v>0</v>
      </c>
      <c r="H105" s="619">
        <f>'Sources and Uses Budget'!T105</f>
        <v>7623115</v>
      </c>
      <c r="I105" s="626">
        <f>I96+I104</f>
        <v>7623115</v>
      </c>
      <c r="J105" s="626">
        <f>J96+J104</f>
        <v>0</v>
      </c>
      <c r="K105" s="617"/>
    </row>
    <row r="106" spans="1:11" s="618" customFormat="1">
      <c r="A106" s="631"/>
      <c r="B106" s="632"/>
      <c r="C106" s="632"/>
      <c r="D106" s="632"/>
      <c r="E106" s="619">
        <f>'Sources and Uses Budget'!S106</f>
        <v>0</v>
      </c>
      <c r="F106" s="620"/>
      <c r="G106" s="620"/>
      <c r="H106" s="619">
        <f>'Sources and Uses Budget'!T106</f>
        <v>0</v>
      </c>
      <c r="I106" s="620"/>
      <c r="J106" s="620"/>
      <c r="K106" s="617"/>
    </row>
    <row r="107" spans="1:11" s="618" customFormat="1">
      <c r="A107" s="633"/>
      <c r="B107" s="634"/>
      <c r="C107" s="632"/>
      <c r="D107" s="816" t="s">
        <v>420</v>
      </c>
      <c r="E107" s="619">
        <f>'Sources and Uses Budget'!S107</f>
        <v>6527833</v>
      </c>
      <c r="F107" s="635">
        <f>F105+F106</f>
        <v>6527833</v>
      </c>
      <c r="G107" s="635">
        <f>G105+G106</f>
        <v>0</v>
      </c>
      <c r="H107" s="619">
        <f>'Sources and Uses Budget'!T107</f>
        <v>7623115</v>
      </c>
      <c r="I107" s="635">
        <f>I105+I106</f>
        <v>7623115</v>
      </c>
      <c r="J107" s="635">
        <f>J105+J106</f>
        <v>0</v>
      </c>
      <c r="K107" s="617"/>
    </row>
    <row r="108" spans="1:11" s="618" customFormat="1">
      <c r="A108" s="633"/>
      <c r="B108" s="636"/>
      <c r="C108" s="636"/>
      <c r="D108" s="636"/>
      <c r="J108" s="637"/>
      <c r="K108" s="617"/>
    </row>
    <row r="109" spans="1:11" s="618" customFormat="1">
      <c r="A109" s="633"/>
      <c r="B109" s="636"/>
      <c r="C109" s="636"/>
      <c r="D109" s="636"/>
      <c r="J109" s="637"/>
      <c r="K109" s="617"/>
    </row>
    <row r="110" spans="1:11" s="618" customFormat="1">
      <c r="A110" s="633"/>
      <c r="B110" s="636"/>
      <c r="C110" s="636"/>
      <c r="D110" s="636"/>
      <c r="J110" s="637"/>
      <c r="K110" s="617"/>
    </row>
    <row r="111" spans="1:11" s="618" customFormat="1" ht="12.75">
      <c r="A111" s="638"/>
      <c r="B111" s="636"/>
      <c r="C111" s="636"/>
      <c r="D111" s="636"/>
      <c r="J111" s="637"/>
      <c r="K111" s="617"/>
    </row>
    <row r="112" spans="1:11" s="618" customFormat="1" ht="12.75">
      <c r="A112" s="638"/>
      <c r="B112" s="636"/>
      <c r="C112" s="636"/>
      <c r="D112" s="636"/>
      <c r="J112" s="637"/>
      <c r="K112" s="617"/>
    </row>
    <row r="113" spans="1:11" s="618" customFormat="1" ht="14.25">
      <c r="A113" s="639"/>
      <c r="B113" s="636"/>
      <c r="C113" s="636"/>
      <c r="D113" s="636"/>
      <c r="J113" s="637"/>
      <c r="K113" s="617"/>
    </row>
    <row r="114" spans="1:11" s="618" customFormat="1" ht="12.75">
      <c r="A114" s="638"/>
      <c r="J114" s="637"/>
      <c r="K114" s="617"/>
    </row>
    <row r="115" spans="1:11" s="618" customFormat="1" ht="14.25">
      <c r="A115" s="639"/>
      <c r="J115" s="637"/>
      <c r="K115" s="617"/>
    </row>
    <row r="116" spans="1:11" s="618" customFormat="1" ht="14.25">
      <c r="A116" s="639"/>
      <c r="J116" s="637"/>
      <c r="K116" s="617"/>
    </row>
    <row r="117" spans="1:11" s="618" customFormat="1">
      <c r="B117" s="636"/>
      <c r="C117" s="636"/>
      <c r="D117" s="636"/>
      <c r="J117" s="637"/>
      <c r="K117" s="617"/>
    </row>
    <row r="118" spans="1:11" s="618" customFormat="1">
      <c r="J118" s="637"/>
      <c r="K118" s="617"/>
    </row>
    <row r="119" spans="1:11" s="618" customFormat="1">
      <c r="J119" s="637"/>
      <c r="K119" s="617"/>
    </row>
    <row r="120" spans="1:11" s="618" customFormat="1">
      <c r="J120" s="637"/>
      <c r="K120" s="617"/>
    </row>
    <row r="121" spans="1:11" s="618" customFormat="1" ht="14.25">
      <c r="A121" s="639"/>
      <c r="J121" s="637"/>
      <c r="K121" s="617"/>
    </row>
    <row r="122" spans="1:11" s="642" customFormat="1" ht="15.75">
      <c r="A122" s="640"/>
      <c r="B122" s="641"/>
      <c r="C122" s="641"/>
      <c r="D122" s="641"/>
      <c r="E122" s="641"/>
      <c r="F122" s="641"/>
      <c r="G122" s="641"/>
      <c r="J122" s="643"/>
      <c r="K122" s="644"/>
    </row>
    <row r="123" spans="1:11" s="618" customFormat="1">
      <c r="A123" s="645"/>
      <c r="B123" s="646"/>
      <c r="C123" s="646"/>
      <c r="D123" s="646"/>
      <c r="E123" s="646"/>
      <c r="F123" s="646"/>
      <c r="G123" s="646"/>
      <c r="J123" s="637"/>
      <c r="K123" s="617"/>
    </row>
    <row r="124" spans="1:11" s="618" customFormat="1">
      <c r="A124" s="646"/>
      <c r="B124" s="647"/>
      <c r="C124" s="646"/>
      <c r="D124" s="1606"/>
      <c r="E124" s="1607"/>
      <c r="F124" s="1607"/>
      <c r="G124" s="1607"/>
      <c r="H124" s="1607"/>
      <c r="I124" s="1607"/>
      <c r="J124" s="637"/>
      <c r="K124" s="617"/>
    </row>
    <row r="125" spans="1:11" s="618" customFormat="1" ht="12.75">
      <c r="A125" s="648"/>
      <c r="B125" s="647"/>
      <c r="C125" s="648"/>
      <c r="D125" s="1607"/>
      <c r="E125" s="1607"/>
      <c r="F125" s="1607"/>
      <c r="G125" s="1607"/>
      <c r="H125" s="1607"/>
      <c r="I125" s="1607"/>
      <c r="J125" s="637"/>
      <c r="K125" s="617"/>
    </row>
    <row r="126" spans="1:11" s="618" customFormat="1" ht="12.75">
      <c r="A126" s="648"/>
      <c r="B126" s="647"/>
      <c r="C126" s="648"/>
      <c r="D126" s="1607"/>
      <c r="E126" s="1607"/>
      <c r="F126" s="1607"/>
      <c r="G126" s="1607"/>
      <c r="H126" s="1607"/>
      <c r="I126" s="1607"/>
      <c r="J126" s="637"/>
      <c r="K126" s="617"/>
    </row>
    <row r="127" spans="1:11" s="618" customFormat="1" ht="12.75">
      <c r="A127" s="648"/>
      <c r="B127" s="647"/>
      <c r="C127" s="648"/>
      <c r="D127" s="649"/>
      <c r="E127" s="648"/>
      <c r="F127" s="648"/>
      <c r="G127" s="648"/>
      <c r="J127" s="637"/>
      <c r="K127" s="617"/>
    </row>
    <row r="128" spans="1:11" s="618" customFormat="1" ht="12.75">
      <c r="A128" s="648"/>
      <c r="B128" s="647"/>
      <c r="C128" s="648"/>
      <c r="D128" s="649"/>
      <c r="E128" s="648"/>
      <c r="F128" s="648"/>
      <c r="G128" s="648"/>
      <c r="J128" s="637"/>
      <c r="K128" s="617"/>
    </row>
    <row r="129" spans="1:11" s="618" customFormat="1" ht="12.75">
      <c r="A129" s="648"/>
      <c r="B129" s="647"/>
      <c r="C129" s="648"/>
      <c r="D129" s="648"/>
      <c r="E129" s="648"/>
      <c r="F129" s="648"/>
      <c r="G129" s="648"/>
      <c r="J129" s="637"/>
      <c r="K129" s="617"/>
    </row>
    <row r="130" spans="1:11" s="618" customFormat="1" ht="12.75">
      <c r="A130" s="648"/>
      <c r="B130" s="647"/>
      <c r="C130" s="648"/>
      <c r="D130" s="648"/>
      <c r="E130" s="648"/>
      <c r="F130" s="648"/>
      <c r="G130" s="648"/>
      <c r="J130" s="637"/>
      <c r="K130" s="617"/>
    </row>
    <row r="131" spans="1:11" s="618" customFormat="1" ht="12.75">
      <c r="A131" s="648"/>
      <c r="B131" s="650"/>
      <c r="C131" s="648"/>
      <c r="D131" s="648"/>
      <c r="E131" s="648"/>
      <c r="F131" s="648"/>
      <c r="G131" s="648"/>
      <c r="J131" s="637"/>
      <c r="K131" s="617"/>
    </row>
    <row r="132" spans="1:11" s="618" customFormat="1" ht="12.75">
      <c r="A132" s="651"/>
      <c r="B132" s="652"/>
      <c r="C132" s="648"/>
      <c r="D132" s="653"/>
      <c r="E132" s="648"/>
      <c r="F132" s="648"/>
      <c r="G132" s="648"/>
      <c r="J132" s="637"/>
      <c r="K132" s="617"/>
    </row>
    <row r="133" spans="1:11" s="618" customFormat="1" ht="12.75">
      <c r="A133" s="654"/>
      <c r="B133" s="648"/>
      <c r="C133" s="648"/>
      <c r="D133" s="648"/>
      <c r="E133" s="648"/>
      <c r="F133" s="648"/>
      <c r="G133" s="648"/>
      <c r="J133" s="637"/>
      <c r="K133" s="617"/>
    </row>
    <row r="134" spans="1:11" s="618" customFormat="1" ht="12.75">
      <c r="A134" s="654"/>
      <c r="B134" s="648"/>
      <c r="C134" s="648"/>
      <c r="D134" s="648"/>
      <c r="E134" s="648"/>
      <c r="F134" s="648"/>
      <c r="G134" s="648"/>
      <c r="J134" s="637"/>
      <c r="K134" s="617"/>
    </row>
    <row r="135" spans="1:11" s="618" customFormat="1" ht="12.75">
      <c r="A135" s="655"/>
      <c r="B135" s="648"/>
      <c r="C135" s="648"/>
      <c r="D135" s="648"/>
      <c r="E135" s="648"/>
      <c r="F135" s="648"/>
      <c r="G135" s="648"/>
      <c r="J135" s="637"/>
      <c r="K135" s="617"/>
    </row>
    <row r="136" spans="1:11" s="618" customFormat="1" ht="12.75">
      <c r="A136" s="656"/>
      <c r="B136" s="648"/>
      <c r="C136" s="648"/>
      <c r="D136" s="648"/>
      <c r="E136" s="648"/>
      <c r="F136" s="648"/>
      <c r="G136" s="648"/>
      <c r="J136" s="637"/>
      <c r="K136" s="617"/>
    </row>
    <row r="137" spans="1:11" ht="12.75">
      <c r="A137" s="654"/>
      <c r="B137" s="648"/>
      <c r="C137" s="648"/>
      <c r="D137" s="648"/>
      <c r="E137" s="648"/>
      <c r="F137" s="648"/>
      <c r="G137" s="648"/>
    </row>
    <row r="138" spans="1:11" ht="12" customHeight="1">
      <c r="A138" s="654"/>
      <c r="B138" s="648"/>
      <c r="C138" s="648"/>
      <c r="D138" s="648"/>
      <c r="E138" s="648"/>
      <c r="F138" s="648"/>
      <c r="G138" s="648"/>
    </row>
    <row r="139" spans="1:11" ht="12" customHeight="1">
      <c r="A139" s="1608"/>
      <c r="B139" s="1609"/>
      <c r="C139" s="1609"/>
      <c r="D139" s="660"/>
      <c r="E139" s="648"/>
      <c r="F139" s="648"/>
      <c r="G139" s="648"/>
    </row>
    <row r="140" spans="1:11" ht="12" customHeight="1">
      <c r="A140" s="1610"/>
      <c r="B140" s="1611"/>
      <c r="C140" s="1611"/>
      <c r="D140" s="660"/>
      <c r="E140" s="648"/>
      <c r="F140" s="648"/>
      <c r="G140" s="648"/>
    </row>
    <row r="141" spans="1:11" ht="12" customHeight="1">
      <c r="A141" s="661"/>
      <c r="B141" s="662"/>
      <c r="C141" s="662"/>
      <c r="D141" s="614"/>
      <c r="E141" s="662"/>
      <c r="F141" s="662"/>
      <c r="G141" s="662"/>
      <c r="H141" s="658"/>
      <c r="I141" s="658"/>
    </row>
    <row r="142" spans="1:11" ht="12" customHeight="1">
      <c r="A142" s="663"/>
      <c r="B142" s="614"/>
      <c r="C142" s="614"/>
      <c r="D142" s="614"/>
      <c r="E142" s="662"/>
      <c r="F142" s="662"/>
      <c r="G142" s="662"/>
      <c r="H142" s="658"/>
      <c r="I142" s="658"/>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80"/>
  <sheetViews>
    <sheetView showGridLines="0" showZeros="0" topLeftCell="A40" zoomScaleNormal="100" zoomScaleSheetLayoutView="100" workbookViewId="0">
      <selection activeCell="Y41" sqref="Y41:AH41"/>
    </sheetView>
  </sheetViews>
  <sheetFormatPr defaultColWidth="0" defaultRowHeight="0" customHeight="1" zeroHeight="1"/>
  <cols>
    <col min="1" max="1" width="1.5703125" customWidth="1"/>
    <col min="2" max="2" width="0.85546875" customWidth="1"/>
    <col min="3" max="18" width="2.5703125" customWidth="1"/>
    <col min="19" max="19" width="4" customWidth="1"/>
    <col min="20" max="23" width="2.5703125" customWidth="1"/>
    <col min="24" max="24" width="2.42578125" customWidth="1"/>
    <col min="25" max="28" width="2.5703125" customWidth="1"/>
    <col min="29" max="29" width="2.42578125" customWidth="1"/>
    <col min="30" max="33" width="2.5703125" customWidth="1"/>
    <col min="34" max="39" width="2.42578125" customWidth="1"/>
    <col min="40" max="40" width="1.5703125" customWidth="1"/>
    <col min="41" max="256" width="2.5703125" hidden="1"/>
    <col min="257" max="257" width="1.5703125" hidden="1" customWidth="1"/>
    <col min="258" max="258" width="0.85546875" hidden="1" customWidth="1"/>
    <col min="259" max="274" width="2.5703125" hidden="1" customWidth="1"/>
    <col min="275" max="275" width="4" hidden="1" customWidth="1"/>
    <col min="276" max="279" width="2.5703125" hidden="1" customWidth="1"/>
    <col min="280" max="280" width="2.42578125" hidden="1" customWidth="1"/>
    <col min="281" max="284" width="2.5703125" hidden="1" customWidth="1"/>
    <col min="285" max="285" width="2.42578125" hidden="1" customWidth="1"/>
    <col min="286" max="289" width="2.5703125" hidden="1" customWidth="1"/>
    <col min="290" max="295" width="2.42578125" hidden="1" customWidth="1"/>
    <col min="296" max="296" width="1.5703125" hidden="1" customWidth="1"/>
    <col min="297" max="512" width="2.5703125" hidden="1"/>
    <col min="513" max="513" width="1.5703125" hidden="1" customWidth="1"/>
    <col min="514" max="514" width="0.85546875" hidden="1" customWidth="1"/>
    <col min="515" max="530" width="2.5703125" hidden="1" customWidth="1"/>
    <col min="531" max="531" width="4" hidden="1" customWidth="1"/>
    <col min="532" max="535" width="2.5703125" hidden="1" customWidth="1"/>
    <col min="536" max="536" width="2.42578125" hidden="1" customWidth="1"/>
    <col min="537" max="540" width="2.5703125" hidden="1" customWidth="1"/>
    <col min="541" max="541" width="2.42578125" hidden="1" customWidth="1"/>
    <col min="542" max="545" width="2.5703125" hidden="1" customWidth="1"/>
    <col min="546" max="551" width="2.42578125" hidden="1" customWidth="1"/>
    <col min="552" max="552" width="1.5703125" hidden="1" customWidth="1"/>
    <col min="553" max="768" width="2.5703125" hidden="1"/>
    <col min="769" max="769" width="1.5703125" hidden="1" customWidth="1"/>
    <col min="770" max="770" width="0.85546875" hidden="1" customWidth="1"/>
    <col min="771" max="786" width="2.5703125" hidden="1" customWidth="1"/>
    <col min="787" max="787" width="4" hidden="1" customWidth="1"/>
    <col min="788" max="791" width="2.5703125" hidden="1" customWidth="1"/>
    <col min="792" max="792" width="2.42578125" hidden="1" customWidth="1"/>
    <col min="793" max="796" width="2.5703125" hidden="1" customWidth="1"/>
    <col min="797" max="797" width="2.42578125" hidden="1" customWidth="1"/>
    <col min="798" max="801" width="2.5703125" hidden="1" customWidth="1"/>
    <col min="802" max="807" width="2.42578125" hidden="1" customWidth="1"/>
    <col min="808" max="808" width="1.5703125" hidden="1" customWidth="1"/>
    <col min="809" max="1024" width="2.5703125" hidden="1"/>
    <col min="1025" max="1025" width="1.5703125" hidden="1" customWidth="1"/>
    <col min="1026" max="1026" width="0.85546875" hidden="1" customWidth="1"/>
    <col min="1027" max="1042" width="2.5703125" hidden="1" customWidth="1"/>
    <col min="1043" max="1043" width="4" hidden="1" customWidth="1"/>
    <col min="1044" max="1047" width="2.5703125" hidden="1" customWidth="1"/>
    <col min="1048" max="1048" width="2.42578125" hidden="1" customWidth="1"/>
    <col min="1049" max="1052" width="2.5703125" hidden="1" customWidth="1"/>
    <col min="1053" max="1053" width="2.42578125" hidden="1" customWidth="1"/>
    <col min="1054" max="1057" width="2.5703125" hidden="1" customWidth="1"/>
    <col min="1058" max="1063" width="2.42578125" hidden="1" customWidth="1"/>
    <col min="1064" max="1064" width="1.5703125" hidden="1" customWidth="1"/>
    <col min="1065" max="1280" width="2.5703125" hidden="1"/>
    <col min="1281" max="1281" width="1.5703125" hidden="1" customWidth="1"/>
    <col min="1282" max="1282" width="0.85546875" hidden="1" customWidth="1"/>
    <col min="1283" max="1298" width="2.5703125" hidden="1" customWidth="1"/>
    <col min="1299" max="1299" width="4" hidden="1" customWidth="1"/>
    <col min="1300" max="1303" width="2.5703125" hidden="1" customWidth="1"/>
    <col min="1304" max="1304" width="2.42578125" hidden="1" customWidth="1"/>
    <col min="1305" max="1308" width="2.5703125" hidden="1" customWidth="1"/>
    <col min="1309" max="1309" width="2.42578125" hidden="1" customWidth="1"/>
    <col min="1310" max="1313" width="2.5703125" hidden="1" customWidth="1"/>
    <col min="1314" max="1319" width="2.42578125" hidden="1" customWidth="1"/>
    <col min="1320" max="1320" width="1.5703125" hidden="1" customWidth="1"/>
    <col min="1321" max="1536" width="2.5703125" hidden="1"/>
    <col min="1537" max="1537" width="1.5703125" hidden="1" customWidth="1"/>
    <col min="1538" max="1538" width="0.85546875" hidden="1" customWidth="1"/>
    <col min="1539" max="1554" width="2.5703125" hidden="1" customWidth="1"/>
    <col min="1555" max="1555" width="4" hidden="1" customWidth="1"/>
    <col min="1556" max="1559" width="2.5703125" hidden="1" customWidth="1"/>
    <col min="1560" max="1560" width="2.42578125" hidden="1" customWidth="1"/>
    <col min="1561" max="1564" width="2.5703125" hidden="1" customWidth="1"/>
    <col min="1565" max="1565" width="2.42578125" hidden="1" customWidth="1"/>
    <col min="1566" max="1569" width="2.5703125" hidden="1" customWidth="1"/>
    <col min="1570" max="1575" width="2.42578125" hidden="1" customWidth="1"/>
    <col min="1576" max="1576" width="1.5703125" hidden="1" customWidth="1"/>
    <col min="1577" max="1792" width="2.5703125" hidden="1"/>
    <col min="1793" max="1793" width="1.5703125" hidden="1" customWidth="1"/>
    <col min="1794" max="1794" width="0.85546875" hidden="1" customWidth="1"/>
    <col min="1795" max="1810" width="2.5703125" hidden="1" customWidth="1"/>
    <col min="1811" max="1811" width="4" hidden="1" customWidth="1"/>
    <col min="1812" max="1815" width="2.5703125" hidden="1" customWidth="1"/>
    <col min="1816" max="1816" width="2.42578125" hidden="1" customWidth="1"/>
    <col min="1817" max="1820" width="2.5703125" hidden="1" customWidth="1"/>
    <col min="1821" max="1821" width="2.42578125" hidden="1" customWidth="1"/>
    <col min="1822" max="1825" width="2.5703125" hidden="1" customWidth="1"/>
    <col min="1826" max="1831" width="2.42578125" hidden="1" customWidth="1"/>
    <col min="1832" max="1832" width="1.5703125" hidden="1" customWidth="1"/>
    <col min="1833" max="2048" width="2.5703125" hidden="1"/>
    <col min="2049" max="2049" width="1.5703125" hidden="1" customWidth="1"/>
    <col min="2050" max="2050" width="0.85546875" hidden="1" customWidth="1"/>
    <col min="2051" max="2066" width="2.5703125" hidden="1" customWidth="1"/>
    <col min="2067" max="2067" width="4" hidden="1" customWidth="1"/>
    <col min="2068" max="2071" width="2.5703125" hidden="1" customWidth="1"/>
    <col min="2072" max="2072" width="2.42578125" hidden="1" customWidth="1"/>
    <col min="2073" max="2076" width="2.5703125" hidden="1" customWidth="1"/>
    <col min="2077" max="2077" width="2.42578125" hidden="1" customWidth="1"/>
    <col min="2078" max="2081" width="2.5703125" hidden="1" customWidth="1"/>
    <col min="2082" max="2087" width="2.42578125" hidden="1" customWidth="1"/>
    <col min="2088" max="2088" width="1.5703125" hidden="1" customWidth="1"/>
    <col min="2089" max="2304" width="2.5703125" hidden="1"/>
    <col min="2305" max="2305" width="1.5703125" hidden="1" customWidth="1"/>
    <col min="2306" max="2306" width="0.85546875" hidden="1" customWidth="1"/>
    <col min="2307" max="2322" width="2.5703125" hidden="1" customWidth="1"/>
    <col min="2323" max="2323" width="4" hidden="1" customWidth="1"/>
    <col min="2324" max="2327" width="2.5703125" hidden="1" customWidth="1"/>
    <col min="2328" max="2328" width="2.42578125" hidden="1" customWidth="1"/>
    <col min="2329" max="2332" width="2.5703125" hidden="1" customWidth="1"/>
    <col min="2333" max="2333" width="2.42578125" hidden="1" customWidth="1"/>
    <col min="2334" max="2337" width="2.5703125" hidden="1" customWidth="1"/>
    <col min="2338" max="2343" width="2.42578125" hidden="1" customWidth="1"/>
    <col min="2344" max="2344" width="1.5703125" hidden="1" customWidth="1"/>
    <col min="2345" max="2560" width="2.5703125" hidden="1"/>
    <col min="2561" max="2561" width="1.5703125" hidden="1" customWidth="1"/>
    <col min="2562" max="2562" width="0.85546875" hidden="1" customWidth="1"/>
    <col min="2563" max="2578" width="2.5703125" hidden="1" customWidth="1"/>
    <col min="2579" max="2579" width="4" hidden="1" customWidth="1"/>
    <col min="2580" max="2583" width="2.5703125" hidden="1" customWidth="1"/>
    <col min="2584" max="2584" width="2.42578125" hidden="1" customWidth="1"/>
    <col min="2585" max="2588" width="2.5703125" hidden="1" customWidth="1"/>
    <col min="2589" max="2589" width="2.42578125" hidden="1" customWidth="1"/>
    <col min="2590" max="2593" width="2.5703125" hidden="1" customWidth="1"/>
    <col min="2594" max="2599" width="2.42578125" hidden="1" customWidth="1"/>
    <col min="2600" max="2600" width="1.5703125" hidden="1" customWidth="1"/>
    <col min="2601" max="2816" width="2.5703125" hidden="1"/>
    <col min="2817" max="2817" width="1.5703125" hidden="1" customWidth="1"/>
    <col min="2818" max="2818" width="0.85546875" hidden="1" customWidth="1"/>
    <col min="2819" max="2834" width="2.5703125" hidden="1" customWidth="1"/>
    <col min="2835" max="2835" width="4" hidden="1" customWidth="1"/>
    <col min="2836" max="2839" width="2.5703125" hidden="1" customWidth="1"/>
    <col min="2840" max="2840" width="2.42578125" hidden="1" customWidth="1"/>
    <col min="2841" max="2844" width="2.5703125" hidden="1" customWidth="1"/>
    <col min="2845" max="2845" width="2.42578125" hidden="1" customWidth="1"/>
    <col min="2846" max="2849" width="2.5703125" hidden="1" customWidth="1"/>
    <col min="2850" max="2855" width="2.42578125" hidden="1" customWidth="1"/>
    <col min="2856" max="2856" width="1.5703125" hidden="1" customWidth="1"/>
    <col min="2857" max="3072" width="2.5703125" hidden="1"/>
    <col min="3073" max="3073" width="1.5703125" hidden="1" customWidth="1"/>
    <col min="3074" max="3074" width="0.85546875" hidden="1" customWidth="1"/>
    <col min="3075" max="3090" width="2.5703125" hidden="1" customWidth="1"/>
    <col min="3091" max="3091" width="4" hidden="1" customWidth="1"/>
    <col min="3092" max="3095" width="2.5703125" hidden="1" customWidth="1"/>
    <col min="3096" max="3096" width="2.42578125" hidden="1" customWidth="1"/>
    <col min="3097" max="3100" width="2.5703125" hidden="1" customWidth="1"/>
    <col min="3101" max="3101" width="2.42578125" hidden="1" customWidth="1"/>
    <col min="3102" max="3105" width="2.5703125" hidden="1" customWidth="1"/>
    <col min="3106" max="3111" width="2.42578125" hidden="1" customWidth="1"/>
    <col min="3112" max="3112" width="1.5703125" hidden="1" customWidth="1"/>
    <col min="3113" max="3328" width="2.5703125" hidden="1"/>
    <col min="3329" max="3329" width="1.5703125" hidden="1" customWidth="1"/>
    <col min="3330" max="3330" width="0.85546875" hidden="1" customWidth="1"/>
    <col min="3331" max="3346" width="2.5703125" hidden="1" customWidth="1"/>
    <col min="3347" max="3347" width="4" hidden="1" customWidth="1"/>
    <col min="3348" max="3351" width="2.5703125" hidden="1" customWidth="1"/>
    <col min="3352" max="3352" width="2.42578125" hidden="1" customWidth="1"/>
    <col min="3353" max="3356" width="2.5703125" hidden="1" customWidth="1"/>
    <col min="3357" max="3357" width="2.42578125" hidden="1" customWidth="1"/>
    <col min="3358" max="3361" width="2.5703125" hidden="1" customWidth="1"/>
    <col min="3362" max="3367" width="2.42578125" hidden="1" customWidth="1"/>
    <col min="3368" max="3368" width="1.5703125" hidden="1" customWidth="1"/>
    <col min="3369" max="3584" width="2.5703125" hidden="1"/>
    <col min="3585" max="3585" width="1.5703125" hidden="1" customWidth="1"/>
    <col min="3586" max="3586" width="0.85546875" hidden="1" customWidth="1"/>
    <col min="3587" max="3602" width="2.5703125" hidden="1" customWidth="1"/>
    <col min="3603" max="3603" width="4" hidden="1" customWidth="1"/>
    <col min="3604" max="3607" width="2.5703125" hidden="1" customWidth="1"/>
    <col min="3608" max="3608" width="2.42578125" hidden="1" customWidth="1"/>
    <col min="3609" max="3612" width="2.5703125" hidden="1" customWidth="1"/>
    <col min="3613" max="3613" width="2.42578125" hidden="1" customWidth="1"/>
    <col min="3614" max="3617" width="2.5703125" hidden="1" customWidth="1"/>
    <col min="3618" max="3623" width="2.42578125" hidden="1" customWidth="1"/>
    <col min="3624" max="3624" width="1.5703125" hidden="1" customWidth="1"/>
    <col min="3625" max="3840" width="2.5703125" hidden="1"/>
    <col min="3841" max="3841" width="1.5703125" hidden="1" customWidth="1"/>
    <col min="3842" max="3842" width="0.85546875" hidden="1" customWidth="1"/>
    <col min="3843" max="3858" width="2.5703125" hidden="1" customWidth="1"/>
    <col min="3859" max="3859" width="4" hidden="1" customWidth="1"/>
    <col min="3860" max="3863" width="2.5703125" hidden="1" customWidth="1"/>
    <col min="3864" max="3864" width="2.42578125" hidden="1" customWidth="1"/>
    <col min="3865" max="3868" width="2.5703125" hidden="1" customWidth="1"/>
    <col min="3869" max="3869" width="2.42578125" hidden="1" customWidth="1"/>
    <col min="3870" max="3873" width="2.5703125" hidden="1" customWidth="1"/>
    <col min="3874" max="3879" width="2.42578125" hidden="1" customWidth="1"/>
    <col min="3880" max="3880" width="1.5703125" hidden="1" customWidth="1"/>
    <col min="3881" max="4096" width="2.5703125" hidden="1"/>
    <col min="4097" max="4097" width="1.5703125" hidden="1" customWidth="1"/>
    <col min="4098" max="4098" width="0.85546875" hidden="1" customWidth="1"/>
    <col min="4099" max="4114" width="2.5703125" hidden="1" customWidth="1"/>
    <col min="4115" max="4115" width="4" hidden="1" customWidth="1"/>
    <col min="4116" max="4119" width="2.5703125" hidden="1" customWidth="1"/>
    <col min="4120" max="4120" width="2.42578125" hidden="1" customWidth="1"/>
    <col min="4121" max="4124" width="2.5703125" hidden="1" customWidth="1"/>
    <col min="4125" max="4125" width="2.42578125" hidden="1" customWidth="1"/>
    <col min="4126" max="4129" width="2.5703125" hidden="1" customWidth="1"/>
    <col min="4130" max="4135" width="2.42578125" hidden="1" customWidth="1"/>
    <col min="4136" max="4136" width="1.5703125" hidden="1" customWidth="1"/>
    <col min="4137" max="4352" width="2.5703125" hidden="1"/>
    <col min="4353" max="4353" width="1.5703125" hidden="1" customWidth="1"/>
    <col min="4354" max="4354" width="0.85546875" hidden="1" customWidth="1"/>
    <col min="4355" max="4370" width="2.5703125" hidden="1" customWidth="1"/>
    <col min="4371" max="4371" width="4" hidden="1" customWidth="1"/>
    <col min="4372" max="4375" width="2.5703125" hidden="1" customWidth="1"/>
    <col min="4376" max="4376" width="2.42578125" hidden="1" customWidth="1"/>
    <col min="4377" max="4380" width="2.5703125" hidden="1" customWidth="1"/>
    <col min="4381" max="4381" width="2.42578125" hidden="1" customWidth="1"/>
    <col min="4382" max="4385" width="2.5703125" hidden="1" customWidth="1"/>
    <col min="4386" max="4391" width="2.42578125" hidden="1" customWidth="1"/>
    <col min="4392" max="4392" width="1.5703125" hidden="1" customWidth="1"/>
    <col min="4393" max="4608" width="2.5703125" hidden="1"/>
    <col min="4609" max="4609" width="1.5703125" hidden="1" customWidth="1"/>
    <col min="4610" max="4610" width="0.85546875" hidden="1" customWidth="1"/>
    <col min="4611" max="4626" width="2.5703125" hidden="1" customWidth="1"/>
    <col min="4627" max="4627" width="4" hidden="1" customWidth="1"/>
    <col min="4628" max="4631" width="2.5703125" hidden="1" customWidth="1"/>
    <col min="4632" max="4632" width="2.42578125" hidden="1" customWidth="1"/>
    <col min="4633" max="4636" width="2.5703125" hidden="1" customWidth="1"/>
    <col min="4637" max="4637" width="2.42578125" hidden="1" customWidth="1"/>
    <col min="4638" max="4641" width="2.5703125" hidden="1" customWidth="1"/>
    <col min="4642" max="4647" width="2.42578125" hidden="1" customWidth="1"/>
    <col min="4648" max="4648" width="1.5703125" hidden="1" customWidth="1"/>
    <col min="4649" max="4864" width="2.5703125" hidden="1"/>
    <col min="4865" max="4865" width="1.5703125" hidden="1" customWidth="1"/>
    <col min="4866" max="4866" width="0.85546875" hidden="1" customWidth="1"/>
    <col min="4867" max="4882" width="2.5703125" hidden="1" customWidth="1"/>
    <col min="4883" max="4883" width="4" hidden="1" customWidth="1"/>
    <col min="4884" max="4887" width="2.5703125" hidden="1" customWidth="1"/>
    <col min="4888" max="4888" width="2.42578125" hidden="1" customWidth="1"/>
    <col min="4889" max="4892" width="2.5703125" hidden="1" customWidth="1"/>
    <col min="4893" max="4893" width="2.42578125" hidden="1" customWidth="1"/>
    <col min="4894" max="4897" width="2.5703125" hidden="1" customWidth="1"/>
    <col min="4898" max="4903" width="2.42578125" hidden="1" customWidth="1"/>
    <col min="4904" max="4904" width="1.5703125" hidden="1" customWidth="1"/>
    <col min="4905" max="5120" width="2.5703125" hidden="1"/>
    <col min="5121" max="5121" width="1.5703125" hidden="1" customWidth="1"/>
    <col min="5122" max="5122" width="0.85546875" hidden="1" customWidth="1"/>
    <col min="5123" max="5138" width="2.5703125" hidden="1" customWidth="1"/>
    <col min="5139" max="5139" width="4" hidden="1" customWidth="1"/>
    <col min="5140" max="5143" width="2.5703125" hidden="1" customWidth="1"/>
    <col min="5144" max="5144" width="2.42578125" hidden="1" customWidth="1"/>
    <col min="5145" max="5148" width="2.5703125" hidden="1" customWidth="1"/>
    <col min="5149" max="5149" width="2.42578125" hidden="1" customWidth="1"/>
    <col min="5150" max="5153" width="2.5703125" hidden="1" customWidth="1"/>
    <col min="5154" max="5159" width="2.42578125" hidden="1" customWidth="1"/>
    <col min="5160" max="5160" width="1.5703125" hidden="1" customWidth="1"/>
    <col min="5161" max="5376" width="2.5703125" hidden="1"/>
    <col min="5377" max="5377" width="1.5703125" hidden="1" customWidth="1"/>
    <col min="5378" max="5378" width="0.85546875" hidden="1" customWidth="1"/>
    <col min="5379" max="5394" width="2.5703125" hidden="1" customWidth="1"/>
    <col min="5395" max="5395" width="4" hidden="1" customWidth="1"/>
    <col min="5396" max="5399" width="2.5703125" hidden="1" customWidth="1"/>
    <col min="5400" max="5400" width="2.42578125" hidden="1" customWidth="1"/>
    <col min="5401" max="5404" width="2.5703125" hidden="1" customWidth="1"/>
    <col min="5405" max="5405" width="2.42578125" hidden="1" customWidth="1"/>
    <col min="5406" max="5409" width="2.5703125" hidden="1" customWidth="1"/>
    <col min="5410" max="5415" width="2.42578125" hidden="1" customWidth="1"/>
    <col min="5416" max="5416" width="1.5703125" hidden="1" customWidth="1"/>
    <col min="5417" max="5632" width="2.5703125" hidden="1"/>
    <col min="5633" max="5633" width="1.5703125" hidden="1" customWidth="1"/>
    <col min="5634" max="5634" width="0.85546875" hidden="1" customWidth="1"/>
    <col min="5635" max="5650" width="2.5703125" hidden="1" customWidth="1"/>
    <col min="5651" max="5651" width="4" hidden="1" customWidth="1"/>
    <col min="5652" max="5655" width="2.5703125" hidden="1" customWidth="1"/>
    <col min="5656" max="5656" width="2.42578125" hidden="1" customWidth="1"/>
    <col min="5657" max="5660" width="2.5703125" hidden="1" customWidth="1"/>
    <col min="5661" max="5661" width="2.42578125" hidden="1" customWidth="1"/>
    <col min="5662" max="5665" width="2.5703125" hidden="1" customWidth="1"/>
    <col min="5666" max="5671" width="2.42578125" hidden="1" customWidth="1"/>
    <col min="5672" max="5672" width="1.5703125" hidden="1" customWidth="1"/>
    <col min="5673" max="5888" width="2.5703125" hidden="1"/>
    <col min="5889" max="5889" width="1.5703125" hidden="1" customWidth="1"/>
    <col min="5890" max="5890" width="0.85546875" hidden="1" customWidth="1"/>
    <col min="5891" max="5906" width="2.5703125" hidden="1" customWidth="1"/>
    <col min="5907" max="5907" width="4" hidden="1" customWidth="1"/>
    <col min="5908" max="5911" width="2.5703125" hidden="1" customWidth="1"/>
    <col min="5912" max="5912" width="2.42578125" hidden="1" customWidth="1"/>
    <col min="5913" max="5916" width="2.5703125" hidden="1" customWidth="1"/>
    <col min="5917" max="5917" width="2.42578125" hidden="1" customWidth="1"/>
    <col min="5918" max="5921" width="2.5703125" hidden="1" customWidth="1"/>
    <col min="5922" max="5927" width="2.42578125" hidden="1" customWidth="1"/>
    <col min="5928" max="5928" width="1.5703125" hidden="1" customWidth="1"/>
    <col min="5929" max="6144" width="2.5703125" hidden="1"/>
    <col min="6145" max="6145" width="1.5703125" hidden="1" customWidth="1"/>
    <col min="6146" max="6146" width="0.85546875" hidden="1" customWidth="1"/>
    <col min="6147" max="6162" width="2.5703125" hidden="1" customWidth="1"/>
    <col min="6163" max="6163" width="4" hidden="1" customWidth="1"/>
    <col min="6164" max="6167" width="2.5703125" hidden="1" customWidth="1"/>
    <col min="6168" max="6168" width="2.42578125" hidden="1" customWidth="1"/>
    <col min="6169" max="6172" width="2.5703125" hidden="1" customWidth="1"/>
    <col min="6173" max="6173" width="2.42578125" hidden="1" customWidth="1"/>
    <col min="6174" max="6177" width="2.5703125" hidden="1" customWidth="1"/>
    <col min="6178" max="6183" width="2.42578125" hidden="1" customWidth="1"/>
    <col min="6184" max="6184" width="1.5703125" hidden="1" customWidth="1"/>
    <col min="6185" max="6400" width="2.5703125" hidden="1"/>
    <col min="6401" max="6401" width="1.5703125" hidden="1" customWidth="1"/>
    <col min="6402" max="6402" width="0.85546875" hidden="1" customWidth="1"/>
    <col min="6403" max="6418" width="2.5703125" hidden="1" customWidth="1"/>
    <col min="6419" max="6419" width="4" hidden="1" customWidth="1"/>
    <col min="6420" max="6423" width="2.5703125" hidden="1" customWidth="1"/>
    <col min="6424" max="6424" width="2.42578125" hidden="1" customWidth="1"/>
    <col min="6425" max="6428" width="2.5703125" hidden="1" customWidth="1"/>
    <col min="6429" max="6429" width="2.42578125" hidden="1" customWidth="1"/>
    <col min="6430" max="6433" width="2.5703125" hidden="1" customWidth="1"/>
    <col min="6434" max="6439" width="2.42578125" hidden="1" customWidth="1"/>
    <col min="6440" max="6440" width="1.5703125" hidden="1" customWidth="1"/>
    <col min="6441" max="6656" width="2.5703125" hidden="1"/>
    <col min="6657" max="6657" width="1.5703125" hidden="1" customWidth="1"/>
    <col min="6658" max="6658" width="0.85546875" hidden="1" customWidth="1"/>
    <col min="6659" max="6674" width="2.5703125" hidden="1" customWidth="1"/>
    <col min="6675" max="6675" width="4" hidden="1" customWidth="1"/>
    <col min="6676" max="6679" width="2.5703125" hidden="1" customWidth="1"/>
    <col min="6680" max="6680" width="2.42578125" hidden="1" customWidth="1"/>
    <col min="6681" max="6684" width="2.5703125" hidden="1" customWidth="1"/>
    <col min="6685" max="6685" width="2.42578125" hidden="1" customWidth="1"/>
    <col min="6686" max="6689" width="2.5703125" hidden="1" customWidth="1"/>
    <col min="6690" max="6695" width="2.42578125" hidden="1" customWidth="1"/>
    <col min="6696" max="6696" width="1.5703125" hidden="1" customWidth="1"/>
    <col min="6697" max="6912" width="2.5703125" hidden="1"/>
    <col min="6913" max="6913" width="1.5703125" hidden="1" customWidth="1"/>
    <col min="6914" max="6914" width="0.85546875" hidden="1" customWidth="1"/>
    <col min="6915" max="6930" width="2.5703125" hidden="1" customWidth="1"/>
    <col min="6931" max="6931" width="4" hidden="1" customWidth="1"/>
    <col min="6932" max="6935" width="2.5703125" hidden="1" customWidth="1"/>
    <col min="6936" max="6936" width="2.42578125" hidden="1" customWidth="1"/>
    <col min="6937" max="6940" width="2.5703125" hidden="1" customWidth="1"/>
    <col min="6941" max="6941" width="2.42578125" hidden="1" customWidth="1"/>
    <col min="6942" max="6945" width="2.5703125" hidden="1" customWidth="1"/>
    <col min="6946" max="6951" width="2.42578125" hidden="1" customWidth="1"/>
    <col min="6952" max="6952" width="1.5703125" hidden="1" customWidth="1"/>
    <col min="6953" max="7168" width="2.5703125" hidden="1"/>
    <col min="7169" max="7169" width="1.5703125" hidden="1" customWidth="1"/>
    <col min="7170" max="7170" width="0.85546875" hidden="1" customWidth="1"/>
    <col min="7171" max="7186" width="2.5703125" hidden="1" customWidth="1"/>
    <col min="7187" max="7187" width="4" hidden="1" customWidth="1"/>
    <col min="7188" max="7191" width="2.5703125" hidden="1" customWidth="1"/>
    <col min="7192" max="7192" width="2.42578125" hidden="1" customWidth="1"/>
    <col min="7193" max="7196" width="2.5703125" hidden="1" customWidth="1"/>
    <col min="7197" max="7197" width="2.42578125" hidden="1" customWidth="1"/>
    <col min="7198" max="7201" width="2.5703125" hidden="1" customWidth="1"/>
    <col min="7202" max="7207" width="2.42578125" hidden="1" customWidth="1"/>
    <col min="7208" max="7208" width="1.5703125" hidden="1" customWidth="1"/>
    <col min="7209" max="7424" width="2.5703125" hidden="1"/>
    <col min="7425" max="7425" width="1.5703125" hidden="1" customWidth="1"/>
    <col min="7426" max="7426" width="0.85546875" hidden="1" customWidth="1"/>
    <col min="7427" max="7442" width="2.5703125" hidden="1" customWidth="1"/>
    <col min="7443" max="7443" width="4" hidden="1" customWidth="1"/>
    <col min="7444" max="7447" width="2.5703125" hidden="1" customWidth="1"/>
    <col min="7448" max="7448" width="2.42578125" hidden="1" customWidth="1"/>
    <col min="7449" max="7452" width="2.5703125" hidden="1" customWidth="1"/>
    <col min="7453" max="7453" width="2.42578125" hidden="1" customWidth="1"/>
    <col min="7454" max="7457" width="2.5703125" hidden="1" customWidth="1"/>
    <col min="7458" max="7463" width="2.42578125" hidden="1" customWidth="1"/>
    <col min="7464" max="7464" width="1.5703125" hidden="1" customWidth="1"/>
    <col min="7465" max="7680" width="2.5703125" hidden="1"/>
    <col min="7681" max="7681" width="1.5703125" hidden="1" customWidth="1"/>
    <col min="7682" max="7682" width="0.85546875" hidden="1" customWidth="1"/>
    <col min="7683" max="7698" width="2.5703125" hidden="1" customWidth="1"/>
    <col min="7699" max="7699" width="4" hidden="1" customWidth="1"/>
    <col min="7700" max="7703" width="2.5703125" hidden="1" customWidth="1"/>
    <col min="7704" max="7704" width="2.42578125" hidden="1" customWidth="1"/>
    <col min="7705" max="7708" width="2.5703125" hidden="1" customWidth="1"/>
    <col min="7709" max="7709" width="2.42578125" hidden="1" customWidth="1"/>
    <col min="7710" max="7713" width="2.5703125" hidden="1" customWidth="1"/>
    <col min="7714" max="7719" width="2.42578125" hidden="1" customWidth="1"/>
    <col min="7720" max="7720" width="1.5703125" hidden="1" customWidth="1"/>
    <col min="7721" max="7936" width="2.5703125" hidden="1"/>
    <col min="7937" max="7937" width="1.5703125" hidden="1" customWidth="1"/>
    <col min="7938" max="7938" width="0.85546875" hidden="1" customWidth="1"/>
    <col min="7939" max="7954" width="2.5703125" hidden="1" customWidth="1"/>
    <col min="7955" max="7955" width="4" hidden="1" customWidth="1"/>
    <col min="7956" max="7959" width="2.5703125" hidden="1" customWidth="1"/>
    <col min="7960" max="7960" width="2.42578125" hidden="1" customWidth="1"/>
    <col min="7961" max="7964" width="2.5703125" hidden="1" customWidth="1"/>
    <col min="7965" max="7965" width="2.42578125" hidden="1" customWidth="1"/>
    <col min="7966" max="7969" width="2.5703125" hidden="1" customWidth="1"/>
    <col min="7970" max="7975" width="2.42578125" hidden="1" customWidth="1"/>
    <col min="7976" max="7976" width="1.5703125" hidden="1" customWidth="1"/>
    <col min="7977" max="8192" width="2.5703125" hidden="1"/>
    <col min="8193" max="8193" width="1.5703125" hidden="1" customWidth="1"/>
    <col min="8194" max="8194" width="0.85546875" hidden="1" customWidth="1"/>
    <col min="8195" max="8210" width="2.5703125" hidden="1" customWidth="1"/>
    <col min="8211" max="8211" width="4" hidden="1" customWidth="1"/>
    <col min="8212" max="8215" width="2.5703125" hidden="1" customWidth="1"/>
    <col min="8216" max="8216" width="2.42578125" hidden="1" customWidth="1"/>
    <col min="8217" max="8220" width="2.5703125" hidden="1" customWidth="1"/>
    <col min="8221" max="8221" width="2.42578125" hidden="1" customWidth="1"/>
    <col min="8222" max="8225" width="2.5703125" hidden="1" customWidth="1"/>
    <col min="8226" max="8231" width="2.42578125" hidden="1" customWidth="1"/>
    <col min="8232" max="8232" width="1.5703125" hidden="1" customWidth="1"/>
    <col min="8233" max="8448" width="2.5703125" hidden="1"/>
    <col min="8449" max="8449" width="1.5703125" hidden="1" customWidth="1"/>
    <col min="8450" max="8450" width="0.85546875" hidden="1" customWidth="1"/>
    <col min="8451" max="8466" width="2.5703125" hidden="1" customWidth="1"/>
    <col min="8467" max="8467" width="4" hidden="1" customWidth="1"/>
    <col min="8468" max="8471" width="2.5703125" hidden="1" customWidth="1"/>
    <col min="8472" max="8472" width="2.42578125" hidden="1" customWidth="1"/>
    <col min="8473" max="8476" width="2.5703125" hidden="1" customWidth="1"/>
    <col min="8477" max="8477" width="2.42578125" hidden="1" customWidth="1"/>
    <col min="8478" max="8481" width="2.5703125" hidden="1" customWidth="1"/>
    <col min="8482" max="8487" width="2.42578125" hidden="1" customWidth="1"/>
    <col min="8488" max="8488" width="1.5703125" hidden="1" customWidth="1"/>
    <col min="8489" max="8704" width="2.5703125" hidden="1"/>
    <col min="8705" max="8705" width="1.5703125" hidden="1" customWidth="1"/>
    <col min="8706" max="8706" width="0.85546875" hidden="1" customWidth="1"/>
    <col min="8707" max="8722" width="2.5703125" hidden="1" customWidth="1"/>
    <col min="8723" max="8723" width="4" hidden="1" customWidth="1"/>
    <col min="8724" max="8727" width="2.5703125" hidden="1" customWidth="1"/>
    <col min="8728" max="8728" width="2.42578125" hidden="1" customWidth="1"/>
    <col min="8729" max="8732" width="2.5703125" hidden="1" customWidth="1"/>
    <col min="8733" max="8733" width="2.42578125" hidden="1" customWidth="1"/>
    <col min="8734" max="8737" width="2.5703125" hidden="1" customWidth="1"/>
    <col min="8738" max="8743" width="2.42578125" hidden="1" customWidth="1"/>
    <col min="8744" max="8744" width="1.5703125" hidden="1" customWidth="1"/>
    <col min="8745" max="8960" width="2.5703125" hidden="1"/>
    <col min="8961" max="8961" width="1.5703125" hidden="1" customWidth="1"/>
    <col min="8962" max="8962" width="0.85546875" hidden="1" customWidth="1"/>
    <col min="8963" max="8978" width="2.5703125" hidden="1" customWidth="1"/>
    <col min="8979" max="8979" width="4" hidden="1" customWidth="1"/>
    <col min="8980" max="8983" width="2.5703125" hidden="1" customWidth="1"/>
    <col min="8984" max="8984" width="2.42578125" hidden="1" customWidth="1"/>
    <col min="8985" max="8988" width="2.5703125" hidden="1" customWidth="1"/>
    <col min="8989" max="8989" width="2.42578125" hidden="1" customWidth="1"/>
    <col min="8990" max="8993" width="2.5703125" hidden="1" customWidth="1"/>
    <col min="8994" max="8999" width="2.42578125" hidden="1" customWidth="1"/>
    <col min="9000" max="9000" width="1.5703125" hidden="1" customWidth="1"/>
    <col min="9001" max="9216" width="2.5703125" hidden="1"/>
    <col min="9217" max="9217" width="1.5703125" hidden="1" customWidth="1"/>
    <col min="9218" max="9218" width="0.85546875" hidden="1" customWidth="1"/>
    <col min="9219" max="9234" width="2.5703125" hidden="1" customWidth="1"/>
    <col min="9235" max="9235" width="4" hidden="1" customWidth="1"/>
    <col min="9236" max="9239" width="2.5703125" hidden="1" customWidth="1"/>
    <col min="9240" max="9240" width="2.42578125" hidden="1" customWidth="1"/>
    <col min="9241" max="9244" width="2.5703125" hidden="1" customWidth="1"/>
    <col min="9245" max="9245" width="2.42578125" hidden="1" customWidth="1"/>
    <col min="9246" max="9249" width="2.5703125" hidden="1" customWidth="1"/>
    <col min="9250" max="9255" width="2.42578125" hidden="1" customWidth="1"/>
    <col min="9256" max="9256" width="1.5703125" hidden="1" customWidth="1"/>
    <col min="9257" max="9472" width="2.5703125" hidden="1"/>
    <col min="9473" max="9473" width="1.5703125" hidden="1" customWidth="1"/>
    <col min="9474" max="9474" width="0.85546875" hidden="1" customWidth="1"/>
    <col min="9475" max="9490" width="2.5703125" hidden="1" customWidth="1"/>
    <col min="9491" max="9491" width="4" hidden="1" customWidth="1"/>
    <col min="9492" max="9495" width="2.5703125" hidden="1" customWidth="1"/>
    <col min="9496" max="9496" width="2.42578125" hidden="1" customWidth="1"/>
    <col min="9497" max="9500" width="2.5703125" hidden="1" customWidth="1"/>
    <col min="9501" max="9501" width="2.42578125" hidden="1" customWidth="1"/>
    <col min="9502" max="9505" width="2.5703125" hidden="1" customWidth="1"/>
    <col min="9506" max="9511" width="2.42578125" hidden="1" customWidth="1"/>
    <col min="9512" max="9512" width="1.5703125" hidden="1" customWidth="1"/>
    <col min="9513" max="9728" width="2.5703125" hidden="1"/>
    <col min="9729" max="9729" width="1.5703125" hidden="1" customWidth="1"/>
    <col min="9730" max="9730" width="0.85546875" hidden="1" customWidth="1"/>
    <col min="9731" max="9746" width="2.5703125" hidden="1" customWidth="1"/>
    <col min="9747" max="9747" width="4" hidden="1" customWidth="1"/>
    <col min="9748" max="9751" width="2.5703125" hidden="1" customWidth="1"/>
    <col min="9752" max="9752" width="2.42578125" hidden="1" customWidth="1"/>
    <col min="9753" max="9756" width="2.5703125" hidden="1" customWidth="1"/>
    <col min="9757" max="9757" width="2.42578125" hidden="1" customWidth="1"/>
    <col min="9758" max="9761" width="2.5703125" hidden="1" customWidth="1"/>
    <col min="9762" max="9767" width="2.42578125" hidden="1" customWidth="1"/>
    <col min="9768" max="9768" width="1.5703125" hidden="1" customWidth="1"/>
    <col min="9769" max="9984" width="2.5703125" hidden="1"/>
    <col min="9985" max="9985" width="1.5703125" hidden="1" customWidth="1"/>
    <col min="9986" max="9986" width="0.85546875" hidden="1" customWidth="1"/>
    <col min="9987" max="10002" width="2.5703125" hidden="1" customWidth="1"/>
    <col min="10003" max="10003" width="4" hidden="1" customWidth="1"/>
    <col min="10004" max="10007" width="2.5703125" hidden="1" customWidth="1"/>
    <col min="10008" max="10008" width="2.42578125" hidden="1" customWidth="1"/>
    <col min="10009" max="10012" width="2.5703125" hidden="1" customWidth="1"/>
    <col min="10013" max="10013" width="2.42578125" hidden="1" customWidth="1"/>
    <col min="10014" max="10017" width="2.5703125" hidden="1" customWidth="1"/>
    <col min="10018" max="10023" width="2.42578125" hidden="1" customWidth="1"/>
    <col min="10024" max="10024" width="1.5703125" hidden="1" customWidth="1"/>
    <col min="10025" max="10240" width="2.5703125" hidden="1"/>
    <col min="10241" max="10241" width="1.5703125" hidden="1" customWidth="1"/>
    <col min="10242" max="10242" width="0.85546875" hidden="1" customWidth="1"/>
    <col min="10243" max="10258" width="2.5703125" hidden="1" customWidth="1"/>
    <col min="10259" max="10259" width="4" hidden="1" customWidth="1"/>
    <col min="10260" max="10263" width="2.5703125" hidden="1" customWidth="1"/>
    <col min="10264" max="10264" width="2.42578125" hidden="1" customWidth="1"/>
    <col min="10265" max="10268" width="2.5703125" hidden="1" customWidth="1"/>
    <col min="10269" max="10269" width="2.42578125" hidden="1" customWidth="1"/>
    <col min="10270" max="10273" width="2.5703125" hidden="1" customWidth="1"/>
    <col min="10274" max="10279" width="2.42578125" hidden="1" customWidth="1"/>
    <col min="10280" max="10280" width="1.5703125" hidden="1" customWidth="1"/>
    <col min="10281" max="10496" width="2.5703125" hidden="1"/>
    <col min="10497" max="10497" width="1.5703125" hidden="1" customWidth="1"/>
    <col min="10498" max="10498" width="0.85546875" hidden="1" customWidth="1"/>
    <col min="10499" max="10514" width="2.5703125" hidden="1" customWidth="1"/>
    <col min="10515" max="10515" width="4" hidden="1" customWidth="1"/>
    <col min="10516" max="10519" width="2.5703125" hidden="1" customWidth="1"/>
    <col min="10520" max="10520" width="2.42578125" hidden="1" customWidth="1"/>
    <col min="10521" max="10524" width="2.5703125" hidden="1" customWidth="1"/>
    <col min="10525" max="10525" width="2.42578125" hidden="1" customWidth="1"/>
    <col min="10526" max="10529" width="2.5703125" hidden="1" customWidth="1"/>
    <col min="10530" max="10535" width="2.42578125" hidden="1" customWidth="1"/>
    <col min="10536" max="10536" width="1.5703125" hidden="1" customWidth="1"/>
    <col min="10537" max="10752" width="2.5703125" hidden="1"/>
    <col min="10753" max="10753" width="1.5703125" hidden="1" customWidth="1"/>
    <col min="10754" max="10754" width="0.85546875" hidden="1" customWidth="1"/>
    <col min="10755" max="10770" width="2.5703125" hidden="1" customWidth="1"/>
    <col min="10771" max="10771" width="4" hidden="1" customWidth="1"/>
    <col min="10772" max="10775" width="2.5703125" hidden="1" customWidth="1"/>
    <col min="10776" max="10776" width="2.42578125" hidden="1" customWidth="1"/>
    <col min="10777" max="10780" width="2.5703125" hidden="1" customWidth="1"/>
    <col min="10781" max="10781" width="2.42578125" hidden="1" customWidth="1"/>
    <col min="10782" max="10785" width="2.5703125" hidden="1" customWidth="1"/>
    <col min="10786" max="10791" width="2.42578125" hidden="1" customWidth="1"/>
    <col min="10792" max="10792" width="1.5703125" hidden="1" customWidth="1"/>
    <col min="10793" max="11008" width="2.5703125" hidden="1"/>
    <col min="11009" max="11009" width="1.5703125" hidden="1" customWidth="1"/>
    <col min="11010" max="11010" width="0.85546875" hidden="1" customWidth="1"/>
    <col min="11011" max="11026" width="2.5703125" hidden="1" customWidth="1"/>
    <col min="11027" max="11027" width="4" hidden="1" customWidth="1"/>
    <col min="11028" max="11031" width="2.5703125" hidden="1" customWidth="1"/>
    <col min="11032" max="11032" width="2.42578125" hidden="1" customWidth="1"/>
    <col min="11033" max="11036" width="2.5703125" hidden="1" customWidth="1"/>
    <col min="11037" max="11037" width="2.42578125" hidden="1" customWidth="1"/>
    <col min="11038" max="11041" width="2.5703125" hidden="1" customWidth="1"/>
    <col min="11042" max="11047" width="2.42578125" hidden="1" customWidth="1"/>
    <col min="11048" max="11048" width="1.5703125" hidden="1" customWidth="1"/>
    <col min="11049" max="11264" width="2.5703125" hidden="1"/>
    <col min="11265" max="11265" width="1.5703125" hidden="1" customWidth="1"/>
    <col min="11266" max="11266" width="0.85546875" hidden="1" customWidth="1"/>
    <col min="11267" max="11282" width="2.5703125" hidden="1" customWidth="1"/>
    <col min="11283" max="11283" width="4" hidden="1" customWidth="1"/>
    <col min="11284" max="11287" width="2.5703125" hidden="1" customWidth="1"/>
    <col min="11288" max="11288" width="2.42578125" hidden="1" customWidth="1"/>
    <col min="11289" max="11292" width="2.5703125" hidden="1" customWidth="1"/>
    <col min="11293" max="11293" width="2.42578125" hidden="1" customWidth="1"/>
    <col min="11294" max="11297" width="2.5703125" hidden="1" customWidth="1"/>
    <col min="11298" max="11303" width="2.42578125" hidden="1" customWidth="1"/>
    <col min="11304" max="11304" width="1.5703125" hidden="1" customWidth="1"/>
    <col min="11305" max="11520" width="2.5703125" hidden="1"/>
    <col min="11521" max="11521" width="1.5703125" hidden="1" customWidth="1"/>
    <col min="11522" max="11522" width="0.85546875" hidden="1" customWidth="1"/>
    <col min="11523" max="11538" width="2.5703125" hidden="1" customWidth="1"/>
    <col min="11539" max="11539" width="4" hidden="1" customWidth="1"/>
    <col min="11540" max="11543" width="2.5703125" hidden="1" customWidth="1"/>
    <col min="11544" max="11544" width="2.42578125" hidden="1" customWidth="1"/>
    <col min="11545" max="11548" width="2.5703125" hidden="1" customWidth="1"/>
    <col min="11549" max="11549" width="2.42578125" hidden="1" customWidth="1"/>
    <col min="11550" max="11553" width="2.5703125" hidden="1" customWidth="1"/>
    <col min="11554" max="11559" width="2.42578125" hidden="1" customWidth="1"/>
    <col min="11560" max="11560" width="1.5703125" hidden="1" customWidth="1"/>
    <col min="11561" max="11776" width="2.5703125" hidden="1"/>
    <col min="11777" max="11777" width="1.5703125" hidden="1" customWidth="1"/>
    <col min="11778" max="11778" width="0.85546875" hidden="1" customWidth="1"/>
    <col min="11779" max="11794" width="2.5703125" hidden="1" customWidth="1"/>
    <col min="11795" max="11795" width="4" hidden="1" customWidth="1"/>
    <col min="11796" max="11799" width="2.5703125" hidden="1" customWidth="1"/>
    <col min="11800" max="11800" width="2.42578125" hidden="1" customWidth="1"/>
    <col min="11801" max="11804" width="2.5703125" hidden="1" customWidth="1"/>
    <col min="11805" max="11805" width="2.42578125" hidden="1" customWidth="1"/>
    <col min="11806" max="11809" width="2.5703125" hidden="1" customWidth="1"/>
    <col min="11810" max="11815" width="2.42578125" hidden="1" customWidth="1"/>
    <col min="11816" max="11816" width="1.5703125" hidden="1" customWidth="1"/>
    <col min="11817" max="12032" width="2.5703125" hidden="1"/>
    <col min="12033" max="12033" width="1.5703125" hidden="1" customWidth="1"/>
    <col min="12034" max="12034" width="0.85546875" hidden="1" customWidth="1"/>
    <col min="12035" max="12050" width="2.5703125" hidden="1" customWidth="1"/>
    <col min="12051" max="12051" width="4" hidden="1" customWidth="1"/>
    <col min="12052" max="12055" width="2.5703125" hidden="1" customWidth="1"/>
    <col min="12056" max="12056" width="2.42578125" hidden="1" customWidth="1"/>
    <col min="12057" max="12060" width="2.5703125" hidden="1" customWidth="1"/>
    <col min="12061" max="12061" width="2.42578125" hidden="1" customWidth="1"/>
    <col min="12062" max="12065" width="2.5703125" hidden="1" customWidth="1"/>
    <col min="12066" max="12071" width="2.42578125" hidden="1" customWidth="1"/>
    <col min="12072" max="12072" width="1.5703125" hidden="1" customWidth="1"/>
    <col min="12073" max="12288" width="2.5703125" hidden="1"/>
    <col min="12289" max="12289" width="1.5703125" hidden="1" customWidth="1"/>
    <col min="12290" max="12290" width="0.85546875" hidden="1" customWidth="1"/>
    <col min="12291" max="12306" width="2.5703125" hidden="1" customWidth="1"/>
    <col min="12307" max="12307" width="4" hidden="1" customWidth="1"/>
    <col min="12308" max="12311" width="2.5703125" hidden="1" customWidth="1"/>
    <col min="12312" max="12312" width="2.42578125" hidden="1" customWidth="1"/>
    <col min="12313" max="12316" width="2.5703125" hidden="1" customWidth="1"/>
    <col min="12317" max="12317" width="2.42578125" hidden="1" customWidth="1"/>
    <col min="12318" max="12321" width="2.5703125" hidden="1" customWidth="1"/>
    <col min="12322" max="12327" width="2.42578125" hidden="1" customWidth="1"/>
    <col min="12328" max="12328" width="1.5703125" hidden="1" customWidth="1"/>
    <col min="12329" max="12544" width="2.5703125" hidden="1"/>
    <col min="12545" max="12545" width="1.5703125" hidden="1" customWidth="1"/>
    <col min="12546" max="12546" width="0.85546875" hidden="1" customWidth="1"/>
    <col min="12547" max="12562" width="2.5703125" hidden="1" customWidth="1"/>
    <col min="12563" max="12563" width="4" hidden="1" customWidth="1"/>
    <col min="12564" max="12567" width="2.5703125" hidden="1" customWidth="1"/>
    <col min="12568" max="12568" width="2.42578125" hidden="1" customWidth="1"/>
    <col min="12569" max="12572" width="2.5703125" hidden="1" customWidth="1"/>
    <col min="12573" max="12573" width="2.42578125" hidden="1" customWidth="1"/>
    <col min="12574" max="12577" width="2.5703125" hidden="1" customWidth="1"/>
    <col min="12578" max="12583" width="2.42578125" hidden="1" customWidth="1"/>
    <col min="12584" max="12584" width="1.5703125" hidden="1" customWidth="1"/>
    <col min="12585" max="12800" width="2.5703125" hidden="1"/>
    <col min="12801" max="12801" width="1.5703125" hidden="1" customWidth="1"/>
    <col min="12802" max="12802" width="0.85546875" hidden="1" customWidth="1"/>
    <col min="12803" max="12818" width="2.5703125" hidden="1" customWidth="1"/>
    <col min="12819" max="12819" width="4" hidden="1" customWidth="1"/>
    <col min="12820" max="12823" width="2.5703125" hidden="1" customWidth="1"/>
    <col min="12824" max="12824" width="2.42578125" hidden="1" customWidth="1"/>
    <col min="12825" max="12828" width="2.5703125" hidden="1" customWidth="1"/>
    <col min="12829" max="12829" width="2.42578125" hidden="1" customWidth="1"/>
    <col min="12830" max="12833" width="2.5703125" hidden="1" customWidth="1"/>
    <col min="12834" max="12839" width="2.42578125" hidden="1" customWidth="1"/>
    <col min="12840" max="12840" width="1.5703125" hidden="1" customWidth="1"/>
    <col min="12841" max="13056" width="2.5703125" hidden="1"/>
    <col min="13057" max="13057" width="1.5703125" hidden="1" customWidth="1"/>
    <col min="13058" max="13058" width="0.85546875" hidden="1" customWidth="1"/>
    <col min="13059" max="13074" width="2.5703125" hidden="1" customWidth="1"/>
    <col min="13075" max="13075" width="4" hidden="1" customWidth="1"/>
    <col min="13076" max="13079" width="2.5703125" hidden="1" customWidth="1"/>
    <col min="13080" max="13080" width="2.42578125" hidden="1" customWidth="1"/>
    <col min="13081" max="13084" width="2.5703125" hidden="1" customWidth="1"/>
    <col min="13085" max="13085" width="2.42578125" hidden="1" customWidth="1"/>
    <col min="13086" max="13089" width="2.5703125" hidden="1" customWidth="1"/>
    <col min="13090" max="13095" width="2.42578125" hidden="1" customWidth="1"/>
    <col min="13096" max="13096" width="1.5703125" hidden="1" customWidth="1"/>
    <col min="13097" max="13312" width="2.5703125" hidden="1"/>
    <col min="13313" max="13313" width="1.5703125" hidden="1" customWidth="1"/>
    <col min="13314" max="13314" width="0.85546875" hidden="1" customWidth="1"/>
    <col min="13315" max="13330" width="2.5703125" hidden="1" customWidth="1"/>
    <col min="13331" max="13331" width="4" hidden="1" customWidth="1"/>
    <col min="13332" max="13335" width="2.5703125" hidden="1" customWidth="1"/>
    <col min="13336" max="13336" width="2.42578125" hidden="1" customWidth="1"/>
    <col min="13337" max="13340" width="2.5703125" hidden="1" customWidth="1"/>
    <col min="13341" max="13341" width="2.42578125" hidden="1" customWidth="1"/>
    <col min="13342" max="13345" width="2.5703125" hidden="1" customWidth="1"/>
    <col min="13346" max="13351" width="2.42578125" hidden="1" customWidth="1"/>
    <col min="13352" max="13352" width="1.5703125" hidden="1" customWidth="1"/>
    <col min="13353" max="13568" width="2.5703125" hidden="1"/>
    <col min="13569" max="13569" width="1.5703125" hidden="1" customWidth="1"/>
    <col min="13570" max="13570" width="0.85546875" hidden="1" customWidth="1"/>
    <col min="13571" max="13586" width="2.5703125" hidden="1" customWidth="1"/>
    <col min="13587" max="13587" width="4" hidden="1" customWidth="1"/>
    <col min="13588" max="13591" width="2.5703125" hidden="1" customWidth="1"/>
    <col min="13592" max="13592" width="2.42578125" hidden="1" customWidth="1"/>
    <col min="13593" max="13596" width="2.5703125" hidden="1" customWidth="1"/>
    <col min="13597" max="13597" width="2.42578125" hidden="1" customWidth="1"/>
    <col min="13598" max="13601" width="2.5703125" hidden="1" customWidth="1"/>
    <col min="13602" max="13607" width="2.42578125" hidden="1" customWidth="1"/>
    <col min="13608" max="13608" width="1.5703125" hidden="1" customWidth="1"/>
    <col min="13609" max="13824" width="2.5703125" hidden="1"/>
    <col min="13825" max="13825" width="1.5703125" hidden="1" customWidth="1"/>
    <col min="13826" max="13826" width="0.85546875" hidden="1" customWidth="1"/>
    <col min="13827" max="13842" width="2.5703125" hidden="1" customWidth="1"/>
    <col min="13843" max="13843" width="4" hidden="1" customWidth="1"/>
    <col min="13844" max="13847" width="2.5703125" hidden="1" customWidth="1"/>
    <col min="13848" max="13848" width="2.42578125" hidden="1" customWidth="1"/>
    <col min="13849" max="13852" width="2.5703125" hidden="1" customWidth="1"/>
    <col min="13853" max="13853" width="2.42578125" hidden="1" customWidth="1"/>
    <col min="13854" max="13857" width="2.5703125" hidden="1" customWidth="1"/>
    <col min="13858" max="13863" width="2.42578125" hidden="1" customWidth="1"/>
    <col min="13864" max="13864" width="1.5703125" hidden="1" customWidth="1"/>
    <col min="13865" max="14080" width="2.5703125" hidden="1"/>
    <col min="14081" max="14081" width="1.5703125" hidden="1" customWidth="1"/>
    <col min="14082" max="14082" width="0.85546875" hidden="1" customWidth="1"/>
    <col min="14083" max="14098" width="2.5703125" hidden="1" customWidth="1"/>
    <col min="14099" max="14099" width="4" hidden="1" customWidth="1"/>
    <col min="14100" max="14103" width="2.5703125" hidden="1" customWidth="1"/>
    <col min="14104" max="14104" width="2.42578125" hidden="1" customWidth="1"/>
    <col min="14105" max="14108" width="2.5703125" hidden="1" customWidth="1"/>
    <col min="14109" max="14109" width="2.42578125" hidden="1" customWidth="1"/>
    <col min="14110" max="14113" width="2.5703125" hidden="1" customWidth="1"/>
    <col min="14114" max="14119" width="2.42578125" hidden="1" customWidth="1"/>
    <col min="14120" max="14120" width="1.5703125" hidden="1" customWidth="1"/>
    <col min="14121" max="14336" width="2.5703125" hidden="1"/>
    <col min="14337" max="14337" width="1.5703125" hidden="1" customWidth="1"/>
    <col min="14338" max="14338" width="0.85546875" hidden="1" customWidth="1"/>
    <col min="14339" max="14354" width="2.5703125" hidden="1" customWidth="1"/>
    <col min="14355" max="14355" width="4" hidden="1" customWidth="1"/>
    <col min="14356" max="14359" width="2.5703125" hidden="1" customWidth="1"/>
    <col min="14360" max="14360" width="2.42578125" hidden="1" customWidth="1"/>
    <col min="14361" max="14364" width="2.5703125" hidden="1" customWidth="1"/>
    <col min="14365" max="14365" width="2.42578125" hidden="1" customWidth="1"/>
    <col min="14366" max="14369" width="2.5703125" hidden="1" customWidth="1"/>
    <col min="14370" max="14375" width="2.42578125" hidden="1" customWidth="1"/>
    <col min="14376" max="14376" width="1.5703125" hidden="1" customWidth="1"/>
    <col min="14377" max="14592" width="2.5703125" hidden="1"/>
    <col min="14593" max="14593" width="1.5703125" hidden="1" customWidth="1"/>
    <col min="14594" max="14594" width="0.85546875" hidden="1" customWidth="1"/>
    <col min="14595" max="14610" width="2.5703125" hidden="1" customWidth="1"/>
    <col min="14611" max="14611" width="4" hidden="1" customWidth="1"/>
    <col min="14612" max="14615" width="2.5703125" hidden="1" customWidth="1"/>
    <col min="14616" max="14616" width="2.42578125" hidden="1" customWidth="1"/>
    <col min="14617" max="14620" width="2.5703125" hidden="1" customWidth="1"/>
    <col min="14621" max="14621" width="2.42578125" hidden="1" customWidth="1"/>
    <col min="14622" max="14625" width="2.5703125" hidden="1" customWidth="1"/>
    <col min="14626" max="14631" width="2.42578125" hidden="1" customWidth="1"/>
    <col min="14632" max="14632" width="1.5703125" hidden="1" customWidth="1"/>
    <col min="14633" max="14848" width="2.5703125" hidden="1"/>
    <col min="14849" max="14849" width="1.5703125" hidden="1" customWidth="1"/>
    <col min="14850" max="14850" width="0.85546875" hidden="1" customWidth="1"/>
    <col min="14851" max="14866" width="2.5703125" hidden="1" customWidth="1"/>
    <col min="14867" max="14867" width="4" hidden="1" customWidth="1"/>
    <col min="14868" max="14871" width="2.5703125" hidden="1" customWidth="1"/>
    <col min="14872" max="14872" width="2.42578125" hidden="1" customWidth="1"/>
    <col min="14873" max="14876" width="2.5703125" hidden="1" customWidth="1"/>
    <col min="14877" max="14877" width="2.42578125" hidden="1" customWidth="1"/>
    <col min="14878" max="14881" width="2.5703125" hidden="1" customWidth="1"/>
    <col min="14882" max="14887" width="2.42578125" hidden="1" customWidth="1"/>
    <col min="14888" max="14888" width="1.5703125" hidden="1" customWidth="1"/>
    <col min="14889" max="15104" width="2.5703125" hidden="1"/>
    <col min="15105" max="15105" width="1.5703125" hidden="1" customWidth="1"/>
    <col min="15106" max="15106" width="0.85546875" hidden="1" customWidth="1"/>
    <col min="15107" max="15122" width="2.5703125" hidden="1" customWidth="1"/>
    <col min="15123" max="15123" width="4" hidden="1" customWidth="1"/>
    <col min="15124" max="15127" width="2.5703125" hidden="1" customWidth="1"/>
    <col min="15128" max="15128" width="2.42578125" hidden="1" customWidth="1"/>
    <col min="15129" max="15132" width="2.5703125" hidden="1" customWidth="1"/>
    <col min="15133" max="15133" width="2.42578125" hidden="1" customWidth="1"/>
    <col min="15134" max="15137" width="2.5703125" hidden="1" customWidth="1"/>
    <col min="15138" max="15143" width="2.42578125" hidden="1" customWidth="1"/>
    <col min="15144" max="15144" width="1.5703125" hidden="1" customWidth="1"/>
    <col min="15145" max="15360" width="2.5703125" hidden="1"/>
    <col min="15361" max="15361" width="1.5703125" hidden="1" customWidth="1"/>
    <col min="15362" max="15362" width="0.85546875" hidden="1" customWidth="1"/>
    <col min="15363" max="15378" width="2.5703125" hidden="1" customWidth="1"/>
    <col min="15379" max="15379" width="4" hidden="1" customWidth="1"/>
    <col min="15380" max="15383" width="2.5703125" hidden="1" customWidth="1"/>
    <col min="15384" max="15384" width="2.42578125" hidden="1" customWidth="1"/>
    <col min="15385" max="15388" width="2.5703125" hidden="1" customWidth="1"/>
    <col min="15389" max="15389" width="2.42578125" hidden="1" customWidth="1"/>
    <col min="15390" max="15393" width="2.5703125" hidden="1" customWidth="1"/>
    <col min="15394" max="15399" width="2.42578125" hidden="1" customWidth="1"/>
    <col min="15400" max="15400" width="1.5703125" hidden="1" customWidth="1"/>
    <col min="15401" max="15616" width="2.5703125" hidden="1"/>
    <col min="15617" max="15617" width="1.5703125" hidden="1" customWidth="1"/>
    <col min="15618" max="15618" width="0.85546875" hidden="1" customWidth="1"/>
    <col min="15619" max="15634" width="2.5703125" hidden="1" customWidth="1"/>
    <col min="15635" max="15635" width="4" hidden="1" customWidth="1"/>
    <col min="15636" max="15639" width="2.5703125" hidden="1" customWidth="1"/>
    <col min="15640" max="15640" width="2.42578125" hidden="1" customWidth="1"/>
    <col min="15641" max="15644" width="2.5703125" hidden="1" customWidth="1"/>
    <col min="15645" max="15645" width="2.42578125" hidden="1" customWidth="1"/>
    <col min="15646" max="15649" width="2.5703125" hidden="1" customWidth="1"/>
    <col min="15650" max="15655" width="2.42578125" hidden="1" customWidth="1"/>
    <col min="15656" max="15656" width="1.5703125" hidden="1" customWidth="1"/>
    <col min="15657" max="15872" width="2.5703125" hidden="1"/>
    <col min="15873" max="15873" width="1.5703125" hidden="1" customWidth="1"/>
    <col min="15874" max="15874" width="0.85546875" hidden="1" customWidth="1"/>
    <col min="15875" max="15890" width="2.5703125" hidden="1" customWidth="1"/>
    <col min="15891" max="15891" width="4" hidden="1" customWidth="1"/>
    <col min="15892" max="15895" width="2.5703125" hidden="1" customWidth="1"/>
    <col min="15896" max="15896" width="2.42578125" hidden="1" customWidth="1"/>
    <col min="15897" max="15900" width="2.5703125" hidden="1" customWidth="1"/>
    <col min="15901" max="15901" width="2.42578125" hidden="1" customWidth="1"/>
    <col min="15902" max="15905" width="2.5703125" hidden="1" customWidth="1"/>
    <col min="15906" max="15911" width="2.42578125" hidden="1" customWidth="1"/>
    <col min="15912" max="15912" width="1.5703125" hidden="1" customWidth="1"/>
    <col min="15913" max="16128" width="2.5703125" hidden="1"/>
    <col min="16129" max="16129" width="1.5703125" hidden="1" customWidth="1"/>
    <col min="16130" max="16130" width="0.85546875" hidden="1" customWidth="1"/>
    <col min="16131" max="16146" width="2.5703125" hidden="1" customWidth="1"/>
    <col min="16147" max="16147" width="4" hidden="1" customWidth="1"/>
    <col min="16148" max="16151" width="2.5703125" hidden="1" customWidth="1"/>
    <col min="16152" max="16152" width="2.42578125" hidden="1" customWidth="1"/>
    <col min="16153" max="16156" width="2.5703125" hidden="1" customWidth="1"/>
    <col min="16157" max="16157" width="2.42578125" hidden="1" customWidth="1"/>
    <col min="16158" max="16161" width="2.5703125" hidden="1" customWidth="1"/>
    <col min="16162" max="16167" width="2.42578125" hidden="1" customWidth="1"/>
    <col min="16168" max="16168" width="1.5703125" hidden="1" customWidth="1"/>
    <col min="16169" max="16384" width="2.5703125" hidden="1"/>
  </cols>
  <sheetData>
    <row r="1" spans="1:98" ht="12.75" customHeight="1">
      <c r="A1" s="1676" t="s">
        <v>1582</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A2" s="670"/>
      <c r="CB2" s="670"/>
      <c r="CC2" s="670"/>
      <c r="CD2" s="670"/>
      <c r="CE2" s="670"/>
      <c r="CF2" s="670"/>
      <c r="CG2" s="670"/>
      <c r="CH2" s="670"/>
      <c r="CI2" s="670"/>
      <c r="CJ2" s="670"/>
      <c r="CK2" s="670"/>
      <c r="CL2" s="670"/>
      <c r="CM2" s="670"/>
      <c r="CN2" s="670"/>
      <c r="CO2" s="670"/>
      <c r="CP2" s="670"/>
      <c r="CQ2" s="670"/>
      <c r="CR2" s="670"/>
      <c r="CS2" s="670"/>
      <c r="CT2" s="670"/>
    </row>
    <row r="3" spans="1:98" s="2" customFormat="1" ht="13.5" thickTop="1">
      <c r="B3" s="29"/>
      <c r="C3" s="167"/>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1"/>
      <c r="AP3" s="671"/>
      <c r="AQ3" s="671"/>
      <c r="AR3" s="671"/>
      <c r="AS3" s="671"/>
      <c r="AT3" s="671"/>
      <c r="AU3" s="671"/>
      <c r="AV3" s="671"/>
      <c r="AW3" s="671"/>
      <c r="AX3" s="671"/>
      <c r="AY3" s="671"/>
      <c r="AZ3" s="671"/>
      <c r="BA3" s="671"/>
      <c r="BB3" s="671"/>
      <c r="BC3" s="671"/>
      <c r="BD3" s="671"/>
      <c r="BE3" s="671"/>
      <c r="BF3" s="671"/>
      <c r="BG3" s="671"/>
      <c r="BH3" s="671"/>
      <c r="BI3" s="671"/>
      <c r="BJ3" s="671"/>
      <c r="BK3" s="671"/>
      <c r="BL3" s="671"/>
      <c r="BM3" s="671"/>
      <c r="BN3" s="671"/>
      <c r="BO3" s="671"/>
      <c r="BP3" s="671"/>
      <c r="BQ3" s="671"/>
      <c r="BR3" s="671"/>
      <c r="BS3" s="671"/>
      <c r="BT3" s="671"/>
      <c r="BU3" s="671"/>
      <c r="BV3" s="671"/>
      <c r="BW3" s="671"/>
      <c r="BX3" s="671"/>
      <c r="BY3" s="671"/>
      <c r="BZ3" s="671"/>
      <c r="CA3" s="671"/>
      <c r="CB3" s="671"/>
      <c r="CC3" s="671"/>
      <c r="CD3" s="671"/>
      <c r="CE3" s="671"/>
      <c r="CF3" s="671"/>
      <c r="CG3" s="671"/>
      <c r="CH3" s="671"/>
      <c r="CI3" s="671"/>
      <c r="CJ3" s="671"/>
      <c r="CK3" s="671"/>
      <c r="CL3" s="671"/>
      <c r="CM3" s="671"/>
      <c r="CN3" s="671"/>
      <c r="CO3" s="671"/>
      <c r="CP3" s="671"/>
      <c r="CQ3" s="671"/>
      <c r="CR3" s="671"/>
      <c r="CS3" s="671"/>
      <c r="CT3" s="671"/>
    </row>
    <row r="4" spans="1:98" ht="12.75">
      <c r="A4" s="5" t="s">
        <v>130</v>
      </c>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c r="CR4" s="670"/>
      <c r="CS4" s="670"/>
      <c r="CT4" s="670"/>
    </row>
    <row r="5" spans="1:98" ht="12.75">
      <c r="F5" s="5"/>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c r="CR5" s="670"/>
      <c r="CS5" s="670"/>
      <c r="CT5" s="670"/>
    </row>
    <row r="6" spans="1:98" ht="12.75">
      <c r="A6" s="5" t="s">
        <v>345</v>
      </c>
      <c r="C6" s="5" t="s">
        <v>697</v>
      </c>
      <c r="AA6" s="2"/>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s="670"/>
      <c r="CB6" s="670"/>
      <c r="CC6" s="670"/>
      <c r="CD6" s="670"/>
      <c r="CE6" s="670"/>
      <c r="CF6" s="670"/>
      <c r="CG6" s="670"/>
      <c r="CH6" s="670"/>
      <c r="CI6" s="670"/>
      <c r="CJ6" s="670"/>
      <c r="CK6" s="670"/>
      <c r="CL6" s="670"/>
      <c r="CM6" s="670"/>
      <c r="CN6" s="670"/>
      <c r="CO6" s="670"/>
      <c r="CP6" s="670"/>
      <c r="CQ6" s="670"/>
      <c r="CR6" s="670"/>
      <c r="CS6" s="670"/>
      <c r="CT6" s="670"/>
    </row>
    <row r="7" spans="1:98" ht="13.15" customHeight="1">
      <c r="B7" s="9"/>
      <c r="C7" s="10"/>
      <c r="D7" s="10"/>
      <c r="E7" s="10"/>
      <c r="F7" s="10"/>
      <c r="G7" s="10"/>
      <c r="H7" s="10"/>
      <c r="I7" s="10"/>
      <c r="J7" s="10"/>
      <c r="K7" s="10"/>
      <c r="L7" s="10"/>
      <c r="M7" s="10"/>
      <c r="N7" s="10"/>
      <c r="O7" s="10"/>
      <c r="P7" s="10"/>
      <c r="Q7" s="10"/>
      <c r="R7" s="10"/>
      <c r="S7" s="10"/>
      <c r="T7" s="1645" t="str">
        <f xml:space="preserve"> IF(T25=100%,'Sources and Basis Breakdown'!G2,'Sources and Basis Breakdown'!F2)</f>
        <v>30% PVC for New Const/
Rehabilitation
DDA/QCT
SITES</v>
      </c>
      <c r="U7" s="1645"/>
      <c r="V7" s="1645"/>
      <c r="W7" s="1645"/>
      <c r="X7" s="1645"/>
      <c r="Y7" s="1645" t="str">
        <f>IF(T25=100%," ",'Sources and Basis Breakdown'!G2)</f>
        <v>30% PVC for New Const/
Rehabilitation
NON-DDA/
NON-QCT SITES</v>
      </c>
      <c r="Z7" s="1645"/>
      <c r="AA7" s="1645"/>
      <c r="AB7" s="1645"/>
      <c r="AC7" s="1645"/>
      <c r="AD7" s="1645" t="str">
        <f xml:space="preserve"> IF(T25=100%, 'Sources and Basis Breakdown'!J2,'Sources and Basis Breakdown'!I2)</f>
        <v>30% PVC for Acquisition
DDA/QCT
SITES</v>
      </c>
      <c r="AE7" s="1645"/>
      <c r="AF7" s="1645"/>
      <c r="AG7" s="1645"/>
      <c r="AH7" s="1645"/>
      <c r="AI7" s="1645" t="str">
        <f>IF(T25=100%," ",'Sources and Basis Breakdown'!J2)</f>
        <v>30% PVC for Acquisition
NON-DDA/
NON-QCT SITES</v>
      </c>
      <c r="AJ7" s="1645"/>
      <c r="AK7" s="1645"/>
      <c r="AL7" s="1645"/>
      <c r="AM7" s="1645"/>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670"/>
      <c r="CP7" s="670"/>
      <c r="CQ7" s="670"/>
      <c r="CR7" s="670"/>
      <c r="CS7" s="670"/>
      <c r="CT7" s="670"/>
    </row>
    <row r="8" spans="1:98" ht="12.75" customHeight="1">
      <c r="B8" s="208"/>
      <c r="C8" s="1"/>
      <c r="D8" s="1"/>
      <c r="E8" s="1"/>
      <c r="F8" s="1"/>
      <c r="G8" s="1"/>
      <c r="H8" s="1"/>
      <c r="I8" s="1"/>
      <c r="J8" s="1"/>
      <c r="K8" s="1"/>
      <c r="L8" s="1"/>
      <c r="M8" s="1"/>
      <c r="N8" s="1"/>
      <c r="O8" s="1"/>
      <c r="P8" s="1"/>
      <c r="Q8" s="1"/>
      <c r="R8" s="1"/>
      <c r="S8" s="1"/>
      <c r="T8" s="1645"/>
      <c r="U8" s="1645"/>
      <c r="V8" s="1645"/>
      <c r="W8" s="1645"/>
      <c r="X8" s="1645"/>
      <c r="Y8" s="1645"/>
      <c r="Z8" s="1645"/>
      <c r="AA8" s="1645"/>
      <c r="AB8" s="1645"/>
      <c r="AC8" s="1645"/>
      <c r="AD8" s="1645"/>
      <c r="AE8" s="1645"/>
      <c r="AF8" s="1645"/>
      <c r="AG8" s="1645"/>
      <c r="AH8" s="1645"/>
      <c r="AI8" s="1645"/>
      <c r="AJ8" s="1645"/>
      <c r="AK8" s="1645"/>
      <c r="AL8" s="1645"/>
      <c r="AM8" s="1645"/>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c r="CP8" s="670"/>
      <c r="CQ8" s="670"/>
      <c r="CR8" s="670"/>
      <c r="CS8" s="670"/>
      <c r="CT8" s="670"/>
    </row>
    <row r="9" spans="1:98" ht="12.75">
      <c r="B9" s="208"/>
      <c r="C9" s="1"/>
      <c r="D9" s="1"/>
      <c r="E9" s="1"/>
      <c r="F9" s="1"/>
      <c r="G9" s="1"/>
      <c r="H9" s="1"/>
      <c r="I9" s="1"/>
      <c r="J9" s="1"/>
      <c r="K9" s="1"/>
      <c r="L9" s="1"/>
      <c r="M9" s="1"/>
      <c r="N9" s="1"/>
      <c r="O9" s="1"/>
      <c r="P9" s="1"/>
      <c r="Q9" s="1"/>
      <c r="R9" s="1"/>
      <c r="S9" s="1"/>
      <c r="T9" s="1645"/>
      <c r="U9" s="1645"/>
      <c r="V9" s="1645"/>
      <c r="W9" s="1645"/>
      <c r="X9" s="1645"/>
      <c r="Y9" s="1645"/>
      <c r="Z9" s="1645"/>
      <c r="AA9" s="1645"/>
      <c r="AB9" s="1645"/>
      <c r="AC9" s="1645"/>
      <c r="AD9" s="1645"/>
      <c r="AE9" s="1645"/>
      <c r="AF9" s="1645"/>
      <c r="AG9" s="1645"/>
      <c r="AH9" s="1645"/>
      <c r="AI9" s="1645"/>
      <c r="AJ9" s="1645"/>
      <c r="AK9" s="1645"/>
      <c r="AL9" s="1645"/>
      <c r="AM9" s="1645"/>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c r="BW9" s="670"/>
      <c r="BX9" s="670"/>
      <c r="BY9" s="670"/>
      <c r="BZ9" s="670"/>
      <c r="CA9" s="670"/>
      <c r="CB9" s="670"/>
      <c r="CC9" s="670"/>
      <c r="CD9" s="670"/>
      <c r="CE9" s="670"/>
      <c r="CF9" s="670"/>
      <c r="CG9" s="670"/>
      <c r="CH9" s="670"/>
      <c r="CI9" s="670"/>
      <c r="CJ9" s="670"/>
      <c r="CK9" s="670"/>
      <c r="CL9" s="670"/>
      <c r="CM9" s="670"/>
      <c r="CN9" s="670"/>
      <c r="CO9" s="670"/>
      <c r="CP9" s="670"/>
      <c r="CQ9" s="670"/>
      <c r="CR9" s="670"/>
      <c r="CS9" s="670"/>
      <c r="CT9" s="670"/>
    </row>
    <row r="10" spans="1:98" ht="41.45" customHeight="1">
      <c r="B10" s="157"/>
      <c r="C10" s="158"/>
      <c r="D10" s="158"/>
      <c r="E10" s="158"/>
      <c r="F10" s="158"/>
      <c r="G10" s="158"/>
      <c r="H10" s="158"/>
      <c r="I10" s="158"/>
      <c r="J10" s="158"/>
      <c r="K10" s="158"/>
      <c r="L10" s="158"/>
      <c r="M10" s="158"/>
      <c r="N10" s="158"/>
      <c r="O10" s="158"/>
      <c r="P10" s="158"/>
      <c r="Q10" s="158"/>
      <c r="R10" s="158"/>
      <c r="S10" s="158"/>
      <c r="T10" s="1645"/>
      <c r="U10" s="1645"/>
      <c r="V10" s="1645"/>
      <c r="W10" s="1645"/>
      <c r="X10" s="1645"/>
      <c r="Y10" s="1645"/>
      <c r="Z10" s="1645"/>
      <c r="AA10" s="1645"/>
      <c r="AB10" s="1645"/>
      <c r="AC10" s="1645"/>
      <c r="AD10" s="1645"/>
      <c r="AE10" s="1645"/>
      <c r="AF10" s="1645"/>
      <c r="AG10" s="1645"/>
      <c r="AH10" s="1645"/>
      <c r="AI10" s="1645"/>
      <c r="AJ10" s="1645"/>
      <c r="AK10" s="1645"/>
      <c r="AL10" s="1645"/>
      <c r="AM10" s="1645"/>
      <c r="AO10" s="670"/>
      <c r="AP10" s="670"/>
      <c r="AQ10" s="670"/>
      <c r="AR10" s="670"/>
      <c r="AS10" s="670"/>
      <c r="AT10" s="670"/>
      <c r="AU10" s="670"/>
      <c r="AV10" s="670"/>
      <c r="AW10" s="670"/>
      <c r="AX10" s="670"/>
      <c r="AY10" s="670"/>
      <c r="AZ10" s="670"/>
      <c r="BA10" s="670"/>
      <c r="BB10" s="670"/>
      <c r="BC10" s="670"/>
      <c r="BD10" s="670"/>
      <c r="BE10" s="670"/>
      <c r="BF10" s="670"/>
      <c r="BG10" s="670"/>
      <c r="BH10" s="670"/>
      <c r="BI10" s="670"/>
      <c r="BJ10" s="670"/>
      <c r="BK10" s="670"/>
      <c r="BL10" s="670"/>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c r="CP10" s="670"/>
      <c r="CQ10" s="670"/>
      <c r="CR10" s="670"/>
      <c r="CS10" s="670"/>
      <c r="CT10" s="670"/>
    </row>
    <row r="11" spans="1:98" ht="12.75">
      <c r="B11" s="1632" t="s">
        <v>420</v>
      </c>
      <c r="C11" s="1633"/>
      <c r="D11" s="1633"/>
      <c r="E11" s="1633"/>
      <c r="F11" s="1633"/>
      <c r="G11" s="1633"/>
      <c r="H11" s="1633"/>
      <c r="I11" s="1633"/>
      <c r="J11" s="1633"/>
      <c r="K11" s="1633"/>
      <c r="L11" s="1633"/>
      <c r="M11" s="1633"/>
      <c r="N11" s="1633"/>
      <c r="O11" s="1633"/>
      <c r="P11" s="1633"/>
      <c r="Q11" s="1633"/>
      <c r="R11" s="1633"/>
      <c r="S11" s="1634"/>
      <c r="T11" s="1670">
        <f>IF(AND('Sources and Basis Breakdown'!E107&gt;0, Application!R183="Yes"),0, IF(AND('Sources and Basis Breakdown'!F107=0,Application!R183="No"),'Sources and Basis Breakdown'!E107,'Sources and Basis Breakdown'!F107))</f>
        <v>6527833</v>
      </c>
      <c r="U11" s="1671"/>
      <c r="V11" s="1671"/>
      <c r="W11" s="1671"/>
      <c r="X11" s="1671"/>
      <c r="Y11" s="1672">
        <f>IF(AND('Sources and Basis Breakdown'!E107&gt;0,Application!R183="Yes"),0,IF(AND('Sources and Basis Breakdown'!G107=0,Application!R183="No"),0,'Sources and Basis Breakdown'!G107))</f>
        <v>0</v>
      </c>
      <c r="Z11" s="1673"/>
      <c r="AA11" s="1673"/>
      <c r="AB11" s="1673"/>
      <c r="AC11" s="1673"/>
      <c r="AD11" s="1674">
        <f>IF(AND('Sources and Basis Breakdown'!E107&gt;0,Application!R183="Yes"),0,IF(AND('Sources and Basis Breakdown'!I107=0,Application!R183="No"),'Sources and Basis Breakdown'!H107,'Sources and Basis Breakdown'!I107))</f>
        <v>7623115</v>
      </c>
      <c r="AE11" s="1675"/>
      <c r="AF11" s="1675"/>
      <c r="AG11" s="1675"/>
      <c r="AH11" s="1675"/>
      <c r="AI11" s="1674">
        <f>IF(AND('Sources and Basis Breakdown'!E107&gt;0,Application!R183="Yes"),0,IF(AND('Sources and Basis Breakdown'!J107=0,Application!R183="No"),0,'Sources and Basis Breakdown'!J107))</f>
        <v>0</v>
      </c>
      <c r="AJ11" s="1675"/>
      <c r="AK11" s="1675"/>
      <c r="AL11" s="1675"/>
      <c r="AM11" s="1675"/>
      <c r="AO11" s="670"/>
      <c r="AP11" s="670"/>
      <c r="AQ11" s="670"/>
      <c r="AR11" s="670"/>
      <c r="AS11" s="670"/>
      <c r="AT11" s="670"/>
      <c r="AU11" s="670"/>
      <c r="AV11" s="670"/>
      <c r="AW11" s="670"/>
      <c r="AX11" s="670"/>
      <c r="AY11" s="670"/>
      <c r="AZ11" s="670"/>
      <c r="BA11" s="670"/>
      <c r="BB11" s="670"/>
      <c r="BC11" s="670"/>
      <c r="BD11" s="670"/>
      <c r="BE11" s="670"/>
      <c r="BF11" s="670"/>
      <c r="BG11" s="670"/>
      <c r="BH11" s="670"/>
      <c r="BI11" s="670"/>
      <c r="BJ11" s="670"/>
      <c r="BK11" s="670"/>
      <c r="BL11" s="670"/>
      <c r="BM11" s="670"/>
      <c r="BN11" s="670"/>
      <c r="BO11" s="670"/>
      <c r="BP11" s="670"/>
      <c r="BQ11" s="670"/>
      <c r="BR11" s="670"/>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c r="CT11" s="670"/>
    </row>
    <row r="12" spans="1:98" ht="12.75">
      <c r="B12" s="1667" t="s">
        <v>573</v>
      </c>
      <c r="C12" s="1668"/>
      <c r="D12" s="1668"/>
      <c r="E12" s="1668"/>
      <c r="F12" s="1668"/>
      <c r="G12" s="1668"/>
      <c r="H12" s="1668"/>
      <c r="I12" s="1668"/>
      <c r="J12" s="1668"/>
      <c r="K12" s="1668"/>
      <c r="L12" s="1668"/>
      <c r="M12" s="1668"/>
      <c r="N12" s="1668"/>
      <c r="O12" s="1668"/>
      <c r="P12" s="1668"/>
      <c r="Q12" s="1668"/>
      <c r="R12" s="1668"/>
      <c r="S12" s="1669"/>
      <c r="T12" s="1662"/>
      <c r="U12" s="1663"/>
      <c r="V12" s="1663"/>
      <c r="W12" s="1663"/>
      <c r="X12" s="1664"/>
      <c r="Y12" s="1662"/>
      <c r="Z12" s="1663"/>
      <c r="AA12" s="1663"/>
      <c r="AB12" s="1663"/>
      <c r="AC12" s="1664"/>
      <c r="AD12" s="1662"/>
      <c r="AE12" s="1663"/>
      <c r="AF12" s="1663"/>
      <c r="AG12" s="1663"/>
      <c r="AH12" s="1664"/>
      <c r="AI12" s="1662"/>
      <c r="AJ12" s="1663"/>
      <c r="AK12" s="1663"/>
      <c r="AL12" s="1663"/>
      <c r="AM12" s="1664"/>
      <c r="AO12" s="670"/>
      <c r="AP12" s="670"/>
      <c r="AQ12" s="670"/>
      <c r="AR12" s="670"/>
      <c r="AS12" s="670"/>
      <c r="AT12" s="670"/>
      <c r="AU12" s="670"/>
      <c r="AV12" s="670"/>
      <c r="AW12" s="670"/>
      <c r="AX12" s="670"/>
      <c r="AY12" s="670"/>
      <c r="AZ12" s="670"/>
      <c r="BA12" s="670"/>
      <c r="BB12" s="670"/>
      <c r="BC12" s="670"/>
      <c r="BD12" s="670"/>
      <c r="BE12" s="670"/>
      <c r="BF12" s="670"/>
      <c r="BG12" s="670"/>
      <c r="BH12" s="670"/>
      <c r="BI12" s="670"/>
      <c r="BJ12" s="670"/>
      <c r="BK12" s="670"/>
      <c r="BL12" s="670"/>
      <c r="BM12" s="670"/>
      <c r="BN12" s="670"/>
      <c r="BO12" s="670"/>
      <c r="BP12" s="670"/>
      <c r="BQ12" s="670"/>
      <c r="BR12" s="670"/>
      <c r="BS12" s="670"/>
      <c r="BT12" s="670"/>
      <c r="BU12" s="670"/>
      <c r="BV12" s="670"/>
      <c r="BW12" s="670"/>
      <c r="BX12" s="670"/>
      <c r="BY12" s="670"/>
      <c r="BZ12" s="670"/>
      <c r="CA12" s="670"/>
      <c r="CB12" s="670"/>
      <c r="CC12" s="670"/>
      <c r="CD12" s="670"/>
      <c r="CE12" s="670"/>
      <c r="CF12" s="670"/>
      <c r="CG12" s="670"/>
      <c r="CH12" s="670"/>
      <c r="CI12" s="670"/>
      <c r="CJ12" s="670"/>
      <c r="CK12" s="670"/>
      <c r="CL12" s="670"/>
      <c r="CM12" s="670"/>
      <c r="CN12" s="670"/>
      <c r="CO12" s="670"/>
      <c r="CP12" s="670"/>
      <c r="CQ12" s="670"/>
      <c r="CR12" s="670"/>
      <c r="CS12" s="670"/>
      <c r="CT12" s="670"/>
    </row>
    <row r="13" spans="1:98" ht="12.75">
      <c r="B13" s="737"/>
      <c r="C13" s="1660" t="s">
        <v>574</v>
      </c>
      <c r="D13" s="1660"/>
      <c r="E13" s="1660"/>
      <c r="F13" s="1660"/>
      <c r="G13" s="1660"/>
      <c r="H13" s="1660"/>
      <c r="I13" s="1660"/>
      <c r="J13" s="1660"/>
      <c r="K13" s="1660"/>
      <c r="L13" s="1660"/>
      <c r="M13" s="1660"/>
      <c r="N13" s="1660"/>
      <c r="O13" s="1660"/>
      <c r="P13" s="1660"/>
      <c r="Q13" s="1660"/>
      <c r="R13" s="1660"/>
      <c r="S13" s="1661"/>
      <c r="T13" s="1665"/>
      <c r="U13" s="1666"/>
      <c r="V13" s="1666"/>
      <c r="W13" s="1666"/>
      <c r="X13" s="1666"/>
      <c r="Y13" s="1665"/>
      <c r="Z13" s="1666"/>
      <c r="AA13" s="1666"/>
      <c r="AB13" s="1666"/>
      <c r="AC13" s="1666"/>
      <c r="AD13" s="1666"/>
      <c r="AE13" s="1666"/>
      <c r="AF13" s="1666"/>
      <c r="AG13" s="1666"/>
      <c r="AH13" s="1666"/>
      <c r="AI13" s="1666"/>
      <c r="AJ13" s="1666"/>
      <c r="AK13" s="1666"/>
      <c r="AL13" s="1666"/>
      <c r="AM13" s="1666"/>
      <c r="AO13" s="670"/>
      <c r="AP13" s="670"/>
      <c r="AQ13" s="670"/>
      <c r="AR13" s="670"/>
      <c r="AS13" s="670"/>
      <c r="AT13" s="670"/>
      <c r="AU13" s="670"/>
      <c r="AV13" s="670"/>
      <c r="AW13" s="670"/>
      <c r="AX13" s="670"/>
      <c r="AY13" s="670"/>
      <c r="AZ13" s="670"/>
      <c r="BA13" s="670"/>
      <c r="BB13" s="670"/>
      <c r="BC13" s="670"/>
      <c r="BD13" s="670"/>
      <c r="BE13" s="670"/>
      <c r="BF13" s="670"/>
      <c r="BG13" s="670"/>
      <c r="BH13" s="670"/>
      <c r="BI13" s="670"/>
      <c r="BJ13" s="670"/>
      <c r="BK13" s="670"/>
      <c r="BL13" s="670"/>
      <c r="BM13" s="670"/>
      <c r="BN13" s="670"/>
      <c r="BO13" s="670"/>
      <c r="BP13" s="670"/>
      <c r="BQ13" s="670"/>
      <c r="BR13" s="670"/>
      <c r="BS13" s="670"/>
      <c r="BT13" s="670"/>
      <c r="BU13" s="670"/>
      <c r="BV13" s="670"/>
      <c r="BW13" s="670"/>
      <c r="BX13" s="670"/>
      <c r="BY13" s="670"/>
      <c r="BZ13" s="670"/>
      <c r="CA13" s="670"/>
      <c r="CB13" s="670"/>
      <c r="CC13" s="670"/>
      <c r="CD13" s="670"/>
      <c r="CE13" s="670"/>
      <c r="CF13" s="670"/>
      <c r="CG13" s="670"/>
      <c r="CH13" s="670"/>
      <c r="CI13" s="670"/>
      <c r="CJ13" s="670"/>
      <c r="CK13" s="670"/>
      <c r="CL13" s="670"/>
      <c r="CM13" s="670"/>
      <c r="CN13" s="670"/>
      <c r="CO13" s="670"/>
      <c r="CP13" s="670"/>
      <c r="CQ13" s="670"/>
      <c r="CR13" s="670"/>
      <c r="CS13" s="670"/>
      <c r="CT13" s="670"/>
    </row>
    <row r="14" spans="1:98" ht="12.75">
      <c r="B14" s="737"/>
      <c r="C14" s="1660" t="s">
        <v>575</v>
      </c>
      <c r="D14" s="1660"/>
      <c r="E14" s="1660"/>
      <c r="F14" s="1660"/>
      <c r="G14" s="1660"/>
      <c r="H14" s="1660"/>
      <c r="I14" s="1660"/>
      <c r="J14" s="1660"/>
      <c r="K14" s="1660"/>
      <c r="L14" s="1660"/>
      <c r="M14" s="1660"/>
      <c r="N14" s="1660"/>
      <c r="O14" s="1660"/>
      <c r="P14" s="1660"/>
      <c r="Q14" s="1660"/>
      <c r="R14" s="1660"/>
      <c r="S14" s="1661"/>
      <c r="T14" s="1255"/>
      <c r="U14" s="1180"/>
      <c r="V14" s="1180"/>
      <c r="W14" s="1180"/>
      <c r="X14" s="1180"/>
      <c r="Y14" s="1255"/>
      <c r="Z14" s="1180"/>
      <c r="AA14" s="1180"/>
      <c r="AB14" s="1180"/>
      <c r="AC14" s="1180"/>
      <c r="AD14" s="1180"/>
      <c r="AE14" s="1180"/>
      <c r="AF14" s="1180"/>
      <c r="AG14" s="1180"/>
      <c r="AH14" s="1180"/>
      <c r="AI14" s="1180"/>
      <c r="AJ14" s="1180"/>
      <c r="AK14" s="1180"/>
      <c r="AL14" s="1180"/>
      <c r="AM14" s="1180"/>
      <c r="AO14" s="670"/>
      <c r="AP14" s="670"/>
      <c r="AQ14" s="670"/>
      <c r="AR14" s="670"/>
      <c r="AS14" s="670"/>
      <c r="AT14" s="670"/>
      <c r="AU14" s="670"/>
      <c r="AV14" s="670"/>
      <c r="AW14" s="670"/>
      <c r="AX14" s="670"/>
      <c r="AY14" s="670"/>
      <c r="AZ14" s="670"/>
      <c r="BA14" s="670"/>
      <c r="BB14" s="670"/>
      <c r="BC14" s="670"/>
      <c r="BD14" s="670"/>
      <c r="BE14" s="670"/>
      <c r="BF14" s="670"/>
      <c r="BG14" s="670"/>
      <c r="BH14" s="670"/>
      <c r="BI14" s="670"/>
      <c r="BJ14" s="670"/>
      <c r="BK14" s="670"/>
      <c r="BL14" s="670"/>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c r="CP14" s="670"/>
      <c r="CQ14" s="670"/>
      <c r="CR14" s="670"/>
      <c r="CS14" s="670"/>
      <c r="CT14" s="670"/>
    </row>
    <row r="15" spans="1:98" ht="12.75">
      <c r="B15" s="737"/>
      <c r="C15" s="1660" t="s">
        <v>576</v>
      </c>
      <c r="D15" s="1660"/>
      <c r="E15" s="1660"/>
      <c r="F15" s="1660"/>
      <c r="G15" s="1660"/>
      <c r="H15" s="1660"/>
      <c r="I15" s="1660"/>
      <c r="J15" s="1660"/>
      <c r="K15" s="1660"/>
      <c r="L15" s="1660"/>
      <c r="M15" s="1660"/>
      <c r="N15" s="1660"/>
      <c r="O15" s="1660"/>
      <c r="P15" s="1660"/>
      <c r="Q15" s="1660"/>
      <c r="R15" s="1660"/>
      <c r="S15" s="1661"/>
      <c r="T15" s="1255"/>
      <c r="U15" s="1180"/>
      <c r="V15" s="1180"/>
      <c r="W15" s="1180"/>
      <c r="X15" s="1180"/>
      <c r="Y15" s="1255"/>
      <c r="Z15" s="1180"/>
      <c r="AA15" s="1180"/>
      <c r="AB15" s="1180"/>
      <c r="AC15" s="1180"/>
      <c r="AD15" s="1180"/>
      <c r="AE15" s="1180"/>
      <c r="AF15" s="1180"/>
      <c r="AG15" s="1180"/>
      <c r="AH15" s="1180"/>
      <c r="AI15" s="1180"/>
      <c r="AJ15" s="1180"/>
      <c r="AK15" s="1180"/>
      <c r="AL15" s="1180"/>
      <c r="AM15" s="1180"/>
      <c r="AO15" s="670"/>
      <c r="AP15" s="670"/>
      <c r="AQ15" s="670"/>
      <c r="AR15" s="670"/>
      <c r="AS15" s="670"/>
      <c r="AT15" s="670"/>
      <c r="AU15" s="670"/>
      <c r="AV15" s="670"/>
      <c r="AW15" s="670"/>
      <c r="AX15" s="670"/>
      <c r="AY15" s="670"/>
      <c r="AZ15" s="670"/>
      <c r="BA15" s="670"/>
      <c r="BB15" s="670"/>
      <c r="BC15" s="670"/>
      <c r="BD15" s="670"/>
      <c r="BE15" s="670"/>
      <c r="BF15" s="670"/>
      <c r="BG15" s="670"/>
      <c r="BH15" s="670"/>
      <c r="BI15" s="670"/>
      <c r="BJ15" s="670"/>
      <c r="BK15" s="670"/>
      <c r="BL15" s="670"/>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c r="CP15" s="670"/>
      <c r="CQ15" s="670"/>
      <c r="CR15" s="670"/>
      <c r="CS15" s="670"/>
      <c r="CT15" s="670"/>
    </row>
    <row r="16" spans="1:98" ht="12.75">
      <c r="B16" s="737"/>
      <c r="C16" s="1660" t="s">
        <v>921</v>
      </c>
      <c r="D16" s="1660"/>
      <c r="E16" s="1660"/>
      <c r="F16" s="1660"/>
      <c r="G16" s="1660"/>
      <c r="H16" s="1660"/>
      <c r="I16" s="1660"/>
      <c r="J16" s="1660"/>
      <c r="K16" s="1660"/>
      <c r="L16" s="1660"/>
      <c r="M16" s="1660"/>
      <c r="N16" s="1660"/>
      <c r="O16" s="1660"/>
      <c r="P16" s="1660"/>
      <c r="Q16" s="1660"/>
      <c r="R16" s="1660"/>
      <c r="S16" s="1661"/>
      <c r="T16" s="1255"/>
      <c r="U16" s="1180"/>
      <c r="V16" s="1180"/>
      <c r="W16" s="1180"/>
      <c r="X16" s="1180"/>
      <c r="Y16" s="1255"/>
      <c r="Z16" s="1180"/>
      <c r="AA16" s="1180"/>
      <c r="AB16" s="1180"/>
      <c r="AC16" s="1180"/>
      <c r="AD16" s="1180"/>
      <c r="AE16" s="1180"/>
      <c r="AF16" s="1180"/>
      <c r="AG16" s="1180"/>
      <c r="AH16" s="1180"/>
      <c r="AI16" s="1180"/>
      <c r="AJ16" s="1180"/>
      <c r="AK16" s="1180"/>
      <c r="AL16" s="1180"/>
      <c r="AM16" s="1180"/>
      <c r="AO16" s="670"/>
      <c r="AP16" s="670"/>
      <c r="AQ16" s="670"/>
      <c r="AR16" s="670"/>
      <c r="AS16" s="670"/>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L16" s="670"/>
      <c r="CM16" s="670"/>
      <c r="CN16" s="670"/>
      <c r="CO16" s="670"/>
      <c r="CP16" s="670"/>
      <c r="CQ16" s="670"/>
      <c r="CR16" s="670"/>
      <c r="CS16" s="670"/>
      <c r="CT16" s="670"/>
    </row>
    <row r="17" spans="1:98" ht="12.75">
      <c r="B17" s="737"/>
      <c r="C17" s="1660" t="s">
        <v>577</v>
      </c>
      <c r="D17" s="1660"/>
      <c r="E17" s="1660"/>
      <c r="F17" s="1660"/>
      <c r="G17" s="1660"/>
      <c r="H17" s="1660"/>
      <c r="I17" s="1660"/>
      <c r="J17" s="1660"/>
      <c r="K17" s="1660"/>
      <c r="L17" s="1660"/>
      <c r="M17" s="1660"/>
      <c r="N17" s="1660"/>
      <c r="O17" s="1660"/>
      <c r="P17" s="1660"/>
      <c r="Q17" s="1660"/>
      <c r="R17" s="1660"/>
      <c r="S17" s="1661"/>
      <c r="T17" s="1255"/>
      <c r="U17" s="1180"/>
      <c r="V17" s="1180"/>
      <c r="W17" s="1180"/>
      <c r="X17" s="1180"/>
      <c r="Y17" s="1255"/>
      <c r="Z17" s="1180"/>
      <c r="AA17" s="1180"/>
      <c r="AB17" s="1180"/>
      <c r="AC17" s="1180"/>
      <c r="AD17" s="1180"/>
      <c r="AE17" s="1180"/>
      <c r="AF17" s="1180"/>
      <c r="AG17" s="1180"/>
      <c r="AH17" s="1180"/>
      <c r="AI17" s="1180"/>
      <c r="AJ17" s="1180"/>
      <c r="AK17" s="1180"/>
      <c r="AL17" s="1180"/>
      <c r="AM17" s="118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670"/>
      <c r="CT17" s="670"/>
    </row>
    <row r="18" spans="1:98" ht="12.75">
      <c r="B18" s="739"/>
      <c r="C18" s="1660" t="s">
        <v>1251</v>
      </c>
      <c r="D18" s="1660"/>
      <c r="E18" s="1660"/>
      <c r="F18" s="1660"/>
      <c r="G18" s="1660"/>
      <c r="H18" s="1660"/>
      <c r="I18" s="1660"/>
      <c r="J18" s="1660"/>
      <c r="K18" s="1660"/>
      <c r="L18" s="1660"/>
      <c r="M18" s="1660"/>
      <c r="N18" s="1660"/>
      <c r="O18" s="1660"/>
      <c r="P18" s="1660"/>
      <c r="Q18" s="1660"/>
      <c r="R18" s="1660"/>
      <c r="S18" s="1661"/>
      <c r="T18" s="1255"/>
      <c r="U18" s="1180"/>
      <c r="V18" s="1180"/>
      <c r="W18" s="1180"/>
      <c r="X18" s="1180"/>
      <c r="Y18" s="1255"/>
      <c r="Z18" s="1180"/>
      <c r="AA18" s="1180"/>
      <c r="AB18" s="1180"/>
      <c r="AC18" s="1180"/>
      <c r="AD18" s="1180"/>
      <c r="AE18" s="1180"/>
      <c r="AF18" s="1180"/>
      <c r="AG18" s="1180"/>
      <c r="AH18" s="1180"/>
      <c r="AI18" s="1180"/>
      <c r="AJ18" s="1180"/>
      <c r="AK18" s="1180"/>
      <c r="AL18" s="1180"/>
      <c r="AM18" s="1180"/>
      <c r="AO18" s="670"/>
      <c r="AP18" s="670"/>
      <c r="AQ18" s="670"/>
      <c r="AR18" s="670"/>
      <c r="AS18" s="670"/>
      <c r="AT18" s="670"/>
      <c r="AU18" s="670"/>
      <c r="AV18" s="670"/>
      <c r="AW18" s="670"/>
      <c r="AX18" s="670"/>
      <c r="AY18" s="670"/>
      <c r="AZ18" s="670"/>
      <c r="BA18" s="670"/>
      <c r="BB18" s="670"/>
      <c r="BC18" s="670"/>
      <c r="BD18" s="670"/>
      <c r="BE18" s="670"/>
      <c r="BF18" s="670"/>
      <c r="BG18" s="670"/>
      <c r="BH18" s="670"/>
      <c r="BI18" s="670"/>
      <c r="BJ18" s="670"/>
      <c r="BK18" s="670"/>
      <c r="BL18" s="670"/>
      <c r="BM18" s="670"/>
      <c r="BN18" s="670"/>
      <c r="BO18" s="670"/>
      <c r="BP18" s="670"/>
      <c r="BQ18" s="670"/>
      <c r="BR18" s="670"/>
      <c r="BS18" s="670"/>
      <c r="BT18" s="670"/>
      <c r="BU18" s="670"/>
      <c r="BV18" s="670"/>
      <c r="BW18" s="670"/>
      <c r="BX18" s="670"/>
      <c r="BY18" s="670"/>
      <c r="BZ18" s="670"/>
      <c r="CA18" s="670"/>
      <c r="CB18" s="670"/>
      <c r="CC18" s="670"/>
      <c r="CD18" s="670"/>
      <c r="CE18" s="670"/>
      <c r="CF18" s="670"/>
      <c r="CG18" s="670"/>
      <c r="CH18" s="670"/>
      <c r="CI18" s="670"/>
      <c r="CJ18" s="670"/>
      <c r="CK18" s="670"/>
      <c r="CL18" s="670"/>
      <c r="CM18" s="670"/>
      <c r="CN18" s="670"/>
      <c r="CO18" s="670"/>
      <c r="CP18" s="670"/>
      <c r="CQ18" s="670"/>
      <c r="CR18" s="670"/>
      <c r="CS18" s="670"/>
      <c r="CT18" s="670"/>
    </row>
    <row r="19" spans="1:98" ht="12.75">
      <c r="B19" s="738"/>
      <c r="C19" s="1658" t="s">
        <v>1111</v>
      </c>
      <c r="D19" s="1658"/>
      <c r="E19" s="1658"/>
      <c r="F19" s="1658"/>
      <c r="G19" s="1658"/>
      <c r="H19" s="1658"/>
      <c r="I19" s="1658"/>
      <c r="J19" s="1658"/>
      <c r="K19" s="1658"/>
      <c r="L19" s="1658"/>
      <c r="M19" s="1658"/>
      <c r="N19" s="1658"/>
      <c r="O19" s="1658"/>
      <c r="P19" s="1658"/>
      <c r="Q19" s="1658"/>
      <c r="R19" s="1658"/>
      <c r="S19" s="1659"/>
      <c r="T19" s="1255"/>
      <c r="U19" s="1180"/>
      <c r="V19" s="1180"/>
      <c r="W19" s="1180"/>
      <c r="X19" s="1180"/>
      <c r="Y19" s="1255"/>
      <c r="Z19" s="1180"/>
      <c r="AA19" s="1180"/>
      <c r="AB19" s="1180"/>
      <c r="AC19" s="1180"/>
      <c r="AD19" s="1180"/>
      <c r="AE19" s="1180"/>
      <c r="AF19" s="1180"/>
      <c r="AG19" s="1180"/>
      <c r="AH19" s="1180"/>
      <c r="AI19" s="1180"/>
      <c r="AJ19" s="1180"/>
      <c r="AK19" s="1180"/>
      <c r="AL19" s="1180"/>
      <c r="AM19" s="1180"/>
      <c r="AO19" s="670"/>
      <c r="AP19" s="670"/>
      <c r="AQ19" s="670"/>
      <c r="AR19" s="670"/>
      <c r="AS19" s="670"/>
      <c r="AT19" s="670"/>
      <c r="AU19" s="670"/>
      <c r="AV19" s="670"/>
      <c r="AW19" s="670"/>
      <c r="AX19" s="670"/>
      <c r="AY19" s="670"/>
      <c r="AZ19" s="670"/>
      <c r="BA19" s="670"/>
      <c r="BB19" s="670"/>
      <c r="BC19" s="670"/>
      <c r="BD19" s="670"/>
      <c r="BE19" s="670"/>
      <c r="BF19" s="670"/>
      <c r="BG19" s="670"/>
      <c r="BH19" s="670"/>
      <c r="BI19" s="670"/>
      <c r="BJ19" s="670"/>
      <c r="BK19" s="670"/>
      <c r="BL19" s="670"/>
      <c r="BM19" s="670"/>
      <c r="BN19" s="670"/>
      <c r="BO19" s="670"/>
      <c r="BP19" s="670"/>
      <c r="BQ19" s="670"/>
      <c r="BR19" s="670"/>
      <c r="BS19" s="670"/>
      <c r="BT19" s="670"/>
      <c r="BU19" s="670"/>
      <c r="BV19" s="670"/>
      <c r="BW19" s="670"/>
      <c r="BX19" s="670"/>
      <c r="BY19" s="670"/>
      <c r="BZ19" s="670"/>
      <c r="CA19" s="670"/>
      <c r="CB19" s="670"/>
      <c r="CC19" s="670"/>
      <c r="CD19" s="670"/>
      <c r="CE19" s="670"/>
      <c r="CF19" s="670"/>
      <c r="CG19" s="670"/>
      <c r="CH19" s="670"/>
      <c r="CI19" s="670"/>
      <c r="CJ19" s="670"/>
      <c r="CK19" s="670"/>
      <c r="CL19" s="670"/>
      <c r="CM19" s="670"/>
      <c r="CN19" s="670"/>
      <c r="CO19" s="670"/>
      <c r="CP19" s="670"/>
      <c r="CQ19" s="670"/>
      <c r="CR19" s="670"/>
      <c r="CS19" s="670"/>
      <c r="CT19" s="670"/>
    </row>
    <row r="20" spans="1:98" ht="12.75">
      <c r="B20" s="1632" t="s">
        <v>578</v>
      </c>
      <c r="C20" s="1633"/>
      <c r="D20" s="1633"/>
      <c r="E20" s="1633"/>
      <c r="F20" s="1633"/>
      <c r="G20" s="1633"/>
      <c r="H20" s="1633"/>
      <c r="I20" s="1633"/>
      <c r="J20" s="1633"/>
      <c r="K20" s="1633"/>
      <c r="L20" s="1633"/>
      <c r="M20" s="1633"/>
      <c r="N20" s="1633"/>
      <c r="O20" s="1633"/>
      <c r="P20" s="1633"/>
      <c r="Q20" s="1633"/>
      <c r="R20" s="1633"/>
      <c r="S20" s="1634"/>
      <c r="T20" s="1627">
        <f>SUM(T13:X19)</f>
        <v>0</v>
      </c>
      <c r="U20" s="1626"/>
      <c r="V20" s="1626"/>
      <c r="W20" s="1626"/>
      <c r="X20" s="1626"/>
      <c r="Y20" s="1627">
        <f>SUM(Y13:AC19)</f>
        <v>0</v>
      </c>
      <c r="Z20" s="1626"/>
      <c r="AA20" s="1626"/>
      <c r="AB20" s="1626"/>
      <c r="AC20" s="1626"/>
      <c r="AD20" s="1626">
        <f>SUM(AD13:AH19)</f>
        <v>0</v>
      </c>
      <c r="AE20" s="1626"/>
      <c r="AF20" s="1626"/>
      <c r="AG20" s="1626"/>
      <c r="AH20" s="1626"/>
      <c r="AI20" s="1626">
        <f>SUM(AI13:AM19)</f>
        <v>0</v>
      </c>
      <c r="AJ20" s="1626"/>
      <c r="AK20" s="1626"/>
      <c r="AL20" s="1626"/>
      <c r="AM20" s="1626"/>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670"/>
      <c r="BR20" s="670"/>
      <c r="BS20" s="670"/>
      <c r="BT20" s="670"/>
      <c r="BU20" s="670"/>
      <c r="BV20" s="670"/>
      <c r="BW20" s="670"/>
      <c r="BX20" s="670"/>
      <c r="BY20" s="670"/>
      <c r="BZ20" s="670"/>
      <c r="CA20" s="670"/>
      <c r="CB20" s="670"/>
      <c r="CC20" s="670"/>
      <c r="CD20" s="670"/>
      <c r="CE20" s="670"/>
      <c r="CF20" s="670"/>
      <c r="CG20" s="670"/>
      <c r="CH20" s="670"/>
      <c r="CI20" s="670"/>
      <c r="CJ20" s="670"/>
      <c r="CK20" s="670"/>
      <c r="CL20" s="670"/>
      <c r="CM20" s="670"/>
      <c r="CN20" s="670"/>
      <c r="CO20" s="670"/>
      <c r="CP20" s="670"/>
      <c r="CQ20" s="670"/>
      <c r="CR20" s="670"/>
      <c r="CS20" s="670"/>
      <c r="CT20" s="670"/>
    </row>
    <row r="21" spans="1:98" ht="12.75">
      <c r="B21" s="1632" t="s">
        <v>579</v>
      </c>
      <c r="C21" s="1633"/>
      <c r="D21" s="1633"/>
      <c r="E21" s="1633"/>
      <c r="F21" s="1633"/>
      <c r="G21" s="1633"/>
      <c r="H21" s="1633"/>
      <c r="I21" s="1633"/>
      <c r="J21" s="1633"/>
      <c r="K21" s="1633"/>
      <c r="L21" s="1633"/>
      <c r="M21" s="1633"/>
      <c r="N21" s="1633"/>
      <c r="O21" s="1633"/>
      <c r="P21" s="1633"/>
      <c r="Q21" s="1633"/>
      <c r="R21" s="1633"/>
      <c r="S21" s="1634"/>
      <c r="T21" s="1255"/>
      <c r="U21" s="1180"/>
      <c r="V21" s="1180"/>
      <c r="W21" s="1180"/>
      <c r="X21" s="1180"/>
      <c r="Y21" s="1255"/>
      <c r="Z21" s="1180"/>
      <c r="AA21" s="1180"/>
      <c r="AB21" s="1180"/>
      <c r="AC21" s="1180"/>
      <c r="AD21" s="1180"/>
      <c r="AE21" s="1180"/>
      <c r="AF21" s="1180"/>
      <c r="AG21" s="1180"/>
      <c r="AH21" s="1180"/>
      <c r="AI21" s="1180"/>
      <c r="AJ21" s="1180"/>
      <c r="AK21" s="1180"/>
      <c r="AL21" s="1180"/>
      <c r="AM21" s="118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c r="BV21" s="670"/>
      <c r="BW21" s="670"/>
      <c r="BX21" s="670"/>
      <c r="BY21" s="670"/>
      <c r="BZ21" s="670"/>
      <c r="CA21" s="670"/>
      <c r="CB21" s="670"/>
      <c r="CC21" s="670"/>
      <c r="CD21" s="670"/>
      <c r="CE21" s="670"/>
      <c r="CF21" s="670"/>
      <c r="CG21" s="670"/>
      <c r="CH21" s="670"/>
      <c r="CI21" s="670"/>
      <c r="CJ21" s="670"/>
      <c r="CK21" s="670"/>
      <c r="CL21" s="670"/>
      <c r="CM21" s="670"/>
      <c r="CN21" s="670"/>
      <c r="CO21" s="670"/>
      <c r="CP21" s="670"/>
      <c r="CQ21" s="670"/>
      <c r="CR21" s="670"/>
      <c r="CS21" s="670"/>
      <c r="CT21" s="670"/>
    </row>
    <row r="22" spans="1:98" ht="12.75">
      <c r="B22" s="1632" t="s">
        <v>580</v>
      </c>
      <c r="C22" s="1633"/>
      <c r="D22" s="1633"/>
      <c r="E22" s="1633"/>
      <c r="F22" s="1633"/>
      <c r="G22" s="1633"/>
      <c r="H22" s="1633"/>
      <c r="I22" s="1633"/>
      <c r="J22" s="1633"/>
      <c r="K22" s="1633"/>
      <c r="L22" s="1633"/>
      <c r="M22" s="1633"/>
      <c r="N22" s="1633"/>
      <c r="O22" s="1633"/>
      <c r="P22" s="1633"/>
      <c r="Q22" s="1633"/>
      <c r="R22" s="1633"/>
      <c r="S22" s="1634"/>
      <c r="T22" s="1653">
        <f>(T20+T21)*-1</f>
        <v>0</v>
      </c>
      <c r="U22" s="1654"/>
      <c r="V22" s="1654"/>
      <c r="W22" s="1654"/>
      <c r="X22" s="1654"/>
      <c r="Y22" s="1653">
        <f>(Y20+Y21)*-1</f>
        <v>0</v>
      </c>
      <c r="Z22" s="1654"/>
      <c r="AA22" s="1654"/>
      <c r="AB22" s="1654"/>
      <c r="AC22" s="1654"/>
      <c r="AD22" s="1653">
        <f>(AD20+AD21)*-1</f>
        <v>0</v>
      </c>
      <c r="AE22" s="1654"/>
      <c r="AF22" s="1654"/>
      <c r="AG22" s="1654"/>
      <c r="AH22" s="1654"/>
      <c r="AI22" s="1653">
        <f>(AI20+AI21)*-1</f>
        <v>0</v>
      </c>
      <c r="AJ22" s="1654"/>
      <c r="AK22" s="1654"/>
      <c r="AL22" s="1654"/>
      <c r="AM22" s="1654"/>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670"/>
      <c r="BR22" s="670"/>
      <c r="BS22" s="670"/>
      <c r="BT22" s="670"/>
      <c r="BU22" s="670"/>
      <c r="BV22" s="670"/>
      <c r="BW22" s="670"/>
      <c r="BX22" s="670"/>
      <c r="BY22" s="670"/>
      <c r="BZ22" s="670"/>
      <c r="CA22" s="670"/>
      <c r="CB22" s="670"/>
      <c r="CC22" s="670"/>
      <c r="CD22" s="670"/>
      <c r="CE22" s="670"/>
      <c r="CF22" s="670"/>
      <c r="CG22" s="670"/>
      <c r="CH22" s="670"/>
      <c r="CI22" s="670"/>
      <c r="CJ22" s="670"/>
      <c r="CK22" s="670"/>
      <c r="CL22" s="670"/>
      <c r="CM22" s="670"/>
      <c r="CN22" s="670"/>
      <c r="CO22" s="670"/>
      <c r="CP22" s="670"/>
      <c r="CQ22" s="670"/>
      <c r="CR22" s="670"/>
      <c r="CS22" s="670"/>
      <c r="CT22" s="670"/>
    </row>
    <row r="23" spans="1:98" ht="12.75">
      <c r="A23" s="2"/>
      <c r="B23" s="1655" t="s">
        <v>581</v>
      </c>
      <c r="C23" s="1656"/>
      <c r="D23" s="1656"/>
      <c r="E23" s="1656"/>
      <c r="F23" s="1656"/>
      <c r="G23" s="1656"/>
      <c r="H23" s="1656"/>
      <c r="I23" s="1656"/>
      <c r="J23" s="1656"/>
      <c r="K23" s="1656"/>
      <c r="L23" s="1656"/>
      <c r="M23" s="1656"/>
      <c r="N23" s="1656"/>
      <c r="O23" s="1656"/>
      <c r="P23" s="1656"/>
      <c r="Q23" s="1656"/>
      <c r="R23" s="1656"/>
      <c r="S23" s="1657"/>
      <c r="T23" s="1627">
        <f>T11+T22</f>
        <v>6527833</v>
      </c>
      <c r="U23" s="1626"/>
      <c r="V23" s="1626"/>
      <c r="W23" s="1626"/>
      <c r="X23" s="1626"/>
      <c r="Y23" s="1627">
        <f>Y11+Y22</f>
        <v>0</v>
      </c>
      <c r="Z23" s="1626"/>
      <c r="AA23" s="1626"/>
      <c r="AB23" s="1626"/>
      <c r="AC23" s="1626"/>
      <c r="AD23" s="1627">
        <f>AD11+AD22</f>
        <v>7623115</v>
      </c>
      <c r="AE23" s="1626"/>
      <c r="AF23" s="1626"/>
      <c r="AG23" s="1626"/>
      <c r="AH23" s="1626"/>
      <c r="AI23" s="1627">
        <f>AI11+AI22</f>
        <v>0</v>
      </c>
      <c r="AJ23" s="1626"/>
      <c r="AK23" s="1626"/>
      <c r="AL23" s="1626"/>
      <c r="AM23" s="1626"/>
      <c r="AO23" s="670"/>
      <c r="AP23" s="670"/>
      <c r="AQ23" s="670"/>
      <c r="AR23" s="670"/>
      <c r="AS23" s="670"/>
      <c r="AT23" s="670"/>
      <c r="AU23" s="670"/>
      <c r="AV23" s="670"/>
      <c r="AW23" s="670"/>
      <c r="AX23" s="670"/>
      <c r="AY23" s="670"/>
      <c r="AZ23" s="670"/>
      <c r="BA23" s="670"/>
      <c r="BB23" s="670"/>
      <c r="BC23" s="670"/>
      <c r="BD23" s="670"/>
      <c r="BE23" s="670"/>
      <c r="BF23" s="670"/>
      <c r="BG23" s="670"/>
      <c r="BH23" s="670"/>
      <c r="BI23" s="670"/>
      <c r="BJ23" s="670"/>
      <c r="BK23" s="670"/>
      <c r="BL23" s="670"/>
      <c r="BM23" s="670"/>
      <c r="BN23" s="670"/>
      <c r="BO23" s="670"/>
      <c r="BP23" s="670"/>
      <c r="BQ23" s="670"/>
      <c r="BR23" s="670"/>
      <c r="BS23" s="670"/>
      <c r="BT23" s="670"/>
      <c r="BU23" s="670"/>
      <c r="BV23" s="670"/>
      <c r="BW23" s="670"/>
      <c r="BX23" s="670"/>
      <c r="BY23" s="670"/>
      <c r="BZ23" s="670"/>
      <c r="CA23" s="670"/>
      <c r="CB23" s="670"/>
      <c r="CC23" s="670"/>
      <c r="CD23" s="670"/>
      <c r="CE23" s="670"/>
      <c r="CF23" s="670"/>
      <c r="CG23" s="670"/>
      <c r="CH23" s="670"/>
      <c r="CI23" s="670"/>
      <c r="CJ23" s="670"/>
      <c r="CK23" s="670"/>
      <c r="CL23" s="670"/>
      <c r="CM23" s="670"/>
      <c r="CN23" s="670"/>
      <c r="CO23" s="670"/>
      <c r="CP23" s="670"/>
      <c r="CQ23" s="670"/>
      <c r="CR23" s="670"/>
      <c r="CS23" s="670"/>
      <c r="CT23" s="670"/>
    </row>
    <row r="24" spans="1:98" ht="12.75">
      <c r="B24" s="1632" t="s">
        <v>1112</v>
      </c>
      <c r="C24" s="1633"/>
      <c r="D24" s="1633"/>
      <c r="E24" s="1633"/>
      <c r="F24" s="1633"/>
      <c r="G24" s="1633"/>
      <c r="H24" s="1633"/>
      <c r="I24" s="1633"/>
      <c r="J24" s="1633"/>
      <c r="K24" s="1633"/>
      <c r="L24" s="1633"/>
      <c r="M24" s="1633"/>
      <c r="N24" s="1633"/>
      <c r="O24" s="1633"/>
      <c r="P24" s="1633"/>
      <c r="Q24" s="1633"/>
      <c r="R24" s="1633"/>
      <c r="S24" s="1634"/>
      <c r="T24" s="1643">
        <f>Application!AD994</f>
        <v>95009328</v>
      </c>
      <c r="U24" s="1644"/>
      <c r="V24" s="1644"/>
      <c r="W24" s="1644"/>
      <c r="X24" s="1644"/>
      <c r="Y24" s="1644"/>
      <c r="Z24" s="1644"/>
      <c r="AA24" s="1644"/>
      <c r="AB24" s="1644"/>
      <c r="AC24" s="1644"/>
      <c r="AD24" s="1644"/>
      <c r="AE24" s="1644"/>
      <c r="AF24" s="1644"/>
      <c r="AG24" s="1644"/>
      <c r="AH24" s="1644"/>
      <c r="AI24" s="1644"/>
      <c r="AJ24" s="1644"/>
      <c r="AK24" s="1644"/>
      <c r="AL24" s="1644"/>
      <c r="AM24" s="1627"/>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c r="CP24" s="670"/>
      <c r="CQ24" s="670"/>
      <c r="CR24" s="670"/>
      <c r="CS24" s="670"/>
      <c r="CT24" s="670"/>
    </row>
    <row r="25" spans="1:98" ht="12.75">
      <c r="B25" s="1635" t="s">
        <v>1563</v>
      </c>
      <c r="C25" s="1636"/>
      <c r="D25" s="1636"/>
      <c r="E25" s="1636"/>
      <c r="F25" s="1636"/>
      <c r="G25" s="1636"/>
      <c r="H25" s="1636"/>
      <c r="I25" s="1636"/>
      <c r="J25" s="1636"/>
      <c r="K25" s="1636"/>
      <c r="L25" s="1636"/>
      <c r="M25" s="1636"/>
      <c r="N25" s="1636"/>
      <c r="O25" s="1636"/>
      <c r="P25" s="1636"/>
      <c r="Q25" s="1636"/>
      <c r="R25" s="1636"/>
      <c r="S25" s="1637"/>
      <c r="T25" s="1650">
        <f>IF(OR(Application!T196="yes",Application!T195="yes"),1.3,1)</f>
        <v>1.3</v>
      </c>
      <c r="U25" s="1651"/>
      <c r="V25" s="1651"/>
      <c r="W25" s="1651"/>
      <c r="X25" s="1651"/>
      <c r="Y25" s="1650">
        <v>1</v>
      </c>
      <c r="Z25" s="1651"/>
      <c r="AA25" s="1651"/>
      <c r="AB25" s="1651"/>
      <c r="AC25" s="1651"/>
      <c r="AD25" s="1650">
        <v>1</v>
      </c>
      <c r="AE25" s="1651"/>
      <c r="AF25" s="1651"/>
      <c r="AG25" s="1651"/>
      <c r="AH25" s="1652"/>
      <c r="AI25" s="1650">
        <v>1</v>
      </c>
      <c r="AJ25" s="1651"/>
      <c r="AK25" s="1651"/>
      <c r="AL25" s="1651"/>
      <c r="AM25" s="1652"/>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c r="CP25" s="670"/>
      <c r="CQ25" s="670"/>
      <c r="CR25" s="670"/>
      <c r="CS25" s="670"/>
      <c r="CT25" s="670"/>
    </row>
    <row r="26" spans="1:98" ht="12.75">
      <c r="B26" s="1632" t="s">
        <v>582</v>
      </c>
      <c r="C26" s="1633"/>
      <c r="D26" s="1633"/>
      <c r="E26" s="1633"/>
      <c r="F26" s="1633"/>
      <c r="G26" s="1633"/>
      <c r="H26" s="1633"/>
      <c r="I26" s="1633"/>
      <c r="J26" s="1633"/>
      <c r="K26" s="1633"/>
      <c r="L26" s="1633"/>
      <c r="M26" s="1633"/>
      <c r="N26" s="1633"/>
      <c r="O26" s="1633"/>
      <c r="P26" s="1633"/>
      <c r="Q26" s="1633"/>
      <c r="R26" s="1633"/>
      <c r="S26" s="1634"/>
      <c r="T26" s="1639">
        <f>T23*T25</f>
        <v>8486182.9000000004</v>
      </c>
      <c r="U26" s="1640"/>
      <c r="V26" s="1640"/>
      <c r="W26" s="1640"/>
      <c r="X26" s="1640"/>
      <c r="Y26" s="1639">
        <f>Y23*Y25</f>
        <v>0</v>
      </c>
      <c r="Z26" s="1640"/>
      <c r="AA26" s="1640"/>
      <c r="AB26" s="1640"/>
      <c r="AC26" s="1640"/>
      <c r="AD26" s="1639">
        <f>AD23*AD25</f>
        <v>7623115</v>
      </c>
      <c r="AE26" s="1640"/>
      <c r="AF26" s="1640"/>
      <c r="AG26" s="1640"/>
      <c r="AH26" s="1640"/>
      <c r="AI26" s="1639">
        <f>AI23*AI25</f>
        <v>0</v>
      </c>
      <c r="AJ26" s="1640"/>
      <c r="AK26" s="1640"/>
      <c r="AL26" s="1640"/>
      <c r="AM26" s="164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c r="CP26" s="670"/>
      <c r="CQ26" s="670"/>
      <c r="CR26" s="670"/>
      <c r="CS26" s="670"/>
      <c r="CT26" s="670"/>
    </row>
    <row r="27" spans="1:98" ht="12.75">
      <c r="A27" s="7"/>
      <c r="B27" s="1635" t="s">
        <v>475</v>
      </c>
      <c r="C27" s="1636"/>
      <c r="D27" s="1636"/>
      <c r="E27" s="1636"/>
      <c r="F27" s="1636"/>
      <c r="G27" s="1636"/>
      <c r="H27" s="1636"/>
      <c r="I27" s="1636"/>
      <c r="J27" s="1636"/>
      <c r="K27" s="1636"/>
      <c r="L27" s="1636"/>
      <c r="M27" s="1636"/>
      <c r="N27" s="1636"/>
      <c r="O27" s="1636"/>
      <c r="P27" s="1636"/>
      <c r="Q27" s="1636"/>
      <c r="R27" s="1636"/>
      <c r="S27" s="1637"/>
      <c r="T27" s="1641">
        <f>Application!$AG$432</f>
        <v>1</v>
      </c>
      <c r="U27" s="1642"/>
      <c r="V27" s="1642"/>
      <c r="W27" s="1642"/>
      <c r="X27" s="1642"/>
      <c r="Y27" s="1641">
        <f>Application!$AG$432</f>
        <v>1</v>
      </c>
      <c r="Z27" s="1642"/>
      <c r="AA27" s="1642"/>
      <c r="AB27" s="1642"/>
      <c r="AC27" s="1642"/>
      <c r="AD27" s="1641">
        <f>Application!$AG$432</f>
        <v>1</v>
      </c>
      <c r="AE27" s="1642"/>
      <c r="AF27" s="1642"/>
      <c r="AG27" s="1642"/>
      <c r="AH27" s="1642"/>
      <c r="AI27" s="1641">
        <f>Application!$AG$432</f>
        <v>1</v>
      </c>
      <c r="AJ27" s="1642"/>
      <c r="AK27" s="1642"/>
      <c r="AL27" s="1642"/>
      <c r="AM27" s="1642"/>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0"/>
      <c r="CQ27" s="670"/>
      <c r="CR27" s="670"/>
      <c r="CS27" s="670"/>
      <c r="CT27" s="670"/>
    </row>
    <row r="28" spans="1:98" ht="12.75" customHeight="1">
      <c r="A28" s="5"/>
      <c r="B28" s="1632" t="s">
        <v>583</v>
      </c>
      <c r="C28" s="1633"/>
      <c r="D28" s="1633"/>
      <c r="E28" s="1633"/>
      <c r="F28" s="1633"/>
      <c r="G28" s="1633"/>
      <c r="H28" s="1633"/>
      <c r="I28" s="1633"/>
      <c r="J28" s="1633"/>
      <c r="K28" s="1633"/>
      <c r="L28" s="1633"/>
      <c r="M28" s="1633"/>
      <c r="N28" s="1633"/>
      <c r="O28" s="1633"/>
      <c r="P28" s="1633"/>
      <c r="Q28" s="1633"/>
      <c r="R28" s="1633"/>
      <c r="S28" s="1634"/>
      <c r="T28" s="1648">
        <f>IF(ISERROR((T26*T27)),0,(T26*T27))</f>
        <v>8486182.9000000004</v>
      </c>
      <c r="U28" s="1649"/>
      <c r="V28" s="1649"/>
      <c r="W28" s="1649"/>
      <c r="X28" s="1649"/>
      <c r="Y28" s="1648">
        <f>IF(ISERROR((Y26*Y27)),0,(Y26*Y27))</f>
        <v>0</v>
      </c>
      <c r="Z28" s="1649"/>
      <c r="AA28" s="1649"/>
      <c r="AB28" s="1649"/>
      <c r="AC28" s="1649"/>
      <c r="AD28" s="1648">
        <f>IF(ISERROR((AD26*AD27)),0,(AD26*AD27))</f>
        <v>7623115</v>
      </c>
      <c r="AE28" s="1649"/>
      <c r="AF28" s="1649"/>
      <c r="AG28" s="1649"/>
      <c r="AH28" s="1649"/>
      <c r="AI28" s="1648">
        <f>IF(ISERROR((AI26*AI27)),0,(AI26*AI27))</f>
        <v>0</v>
      </c>
      <c r="AJ28" s="1649"/>
      <c r="AK28" s="1649"/>
      <c r="AL28" s="1649"/>
      <c r="AM28" s="1649"/>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c r="CP28" s="670"/>
      <c r="CQ28" s="670"/>
      <c r="CR28" s="670"/>
      <c r="CS28" s="670"/>
      <c r="CT28" s="670"/>
    </row>
    <row r="29" spans="1:98" ht="12.75">
      <c r="B29" s="1632" t="s">
        <v>600</v>
      </c>
      <c r="C29" s="1633"/>
      <c r="D29" s="1633"/>
      <c r="E29" s="1633"/>
      <c r="F29" s="1633"/>
      <c r="G29" s="1633"/>
      <c r="H29" s="1633"/>
      <c r="I29" s="1633"/>
      <c r="J29" s="1633"/>
      <c r="K29" s="1633"/>
      <c r="L29" s="1633"/>
      <c r="M29" s="1633"/>
      <c r="N29" s="1633"/>
      <c r="O29" s="1633"/>
      <c r="P29" s="1633"/>
      <c r="Q29" s="1633"/>
      <c r="R29" s="1633"/>
      <c r="S29" s="1634"/>
      <c r="T29" s="1643">
        <f>T28+Y28+AD28+AI28</f>
        <v>16109297.9</v>
      </c>
      <c r="U29" s="1644"/>
      <c r="V29" s="1644"/>
      <c r="W29" s="1644"/>
      <c r="X29" s="1644"/>
      <c r="Y29" s="1644"/>
      <c r="Z29" s="1644"/>
      <c r="AA29" s="1644"/>
      <c r="AB29" s="1644"/>
      <c r="AC29" s="1644"/>
      <c r="AD29" s="1644"/>
      <c r="AE29" s="1644"/>
      <c r="AF29" s="1644"/>
      <c r="AG29" s="1644"/>
      <c r="AH29" s="1644"/>
      <c r="AI29" s="1644"/>
      <c r="AJ29" s="1644"/>
      <c r="AK29" s="1644"/>
      <c r="AL29" s="1644"/>
      <c r="AM29" s="1627"/>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row>
    <row r="30" spans="1:98" s="1" customFormat="1" ht="12.75" customHeight="1">
      <c r="A30"/>
      <c r="B30"/>
      <c r="C30" s="1" t="s">
        <v>1565</v>
      </c>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966"/>
      <c r="CK30" s="966"/>
      <c r="CL30" s="966"/>
      <c r="CM30" s="966"/>
      <c r="CN30" s="966"/>
      <c r="CO30" s="966"/>
      <c r="CP30" s="966"/>
      <c r="CQ30" s="966"/>
      <c r="CR30" s="966"/>
      <c r="CS30" s="966"/>
      <c r="CT30" s="966"/>
    </row>
    <row r="31" spans="1:98" ht="12.75">
      <c r="B31" s="7"/>
      <c r="C31" s="1647" t="s">
        <v>1564</v>
      </c>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c r="AN31" s="1647"/>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B32" s="672"/>
      <c r="C32" s="672" t="s">
        <v>432</v>
      </c>
      <c r="D32" s="1"/>
      <c r="E32" s="1"/>
      <c r="F32" s="1"/>
      <c r="G32" s="1"/>
      <c r="H32" s="1"/>
      <c r="I32" s="1"/>
      <c r="J32" s="1"/>
      <c r="K32" s="1"/>
      <c r="L32" s="1"/>
      <c r="M32" s="1"/>
      <c r="N32" s="1"/>
      <c r="O32" s="1"/>
      <c r="P32" s="1"/>
      <c r="Q32" s="1"/>
      <c r="R32" s="1"/>
      <c r="S32" s="1"/>
      <c r="T32" s="1"/>
      <c r="U32" s="1"/>
      <c r="V32" s="1"/>
      <c r="W32" s="1"/>
      <c r="X32" s="673"/>
      <c r="Y32" s="674"/>
      <c r="Z32" s="674"/>
      <c r="AA32" s="674"/>
      <c r="AB32" s="674"/>
      <c r="AC32" s="674"/>
      <c r="AD32" s="674"/>
      <c r="AE32" s="674"/>
      <c r="AF32" s="674"/>
      <c r="AG32" s="674"/>
      <c r="AH32" s="674"/>
      <c r="AO32" s="670"/>
      <c r="AP32" s="670"/>
      <c r="AQ32" s="670"/>
      <c r="AR32" s="670"/>
      <c r="AS32" s="670"/>
      <c r="AT32" s="670"/>
      <c r="AU32" s="670"/>
      <c r="AV32" s="670"/>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670"/>
      <c r="CT32" s="670"/>
    </row>
    <row r="33" spans="1:98" ht="12.75">
      <c r="AO33" s="670"/>
      <c r="AP33" s="670"/>
      <c r="AQ33" s="670"/>
      <c r="AR33" s="670"/>
      <c r="AS33" s="670"/>
      <c r="AT33" s="670"/>
      <c r="AU33" s="670"/>
      <c r="AV33" s="670"/>
      <c r="AW33" s="670"/>
      <c r="AX33" s="670"/>
      <c r="AY33" s="670"/>
      <c r="AZ33" s="670"/>
      <c r="BA33" s="670"/>
      <c r="BB33" s="670"/>
      <c r="BC33" s="670"/>
      <c r="BD33" s="670"/>
      <c r="BE33" s="670"/>
      <c r="BF33" s="670"/>
      <c r="BG33" s="670"/>
      <c r="BH33" s="670"/>
      <c r="BI33" s="670"/>
      <c r="BJ33" s="670"/>
      <c r="BK33" s="670"/>
      <c r="BL33" s="670"/>
      <c r="BM33" s="670"/>
      <c r="BN33" s="670"/>
      <c r="BO33" s="670"/>
      <c r="BP33" s="670"/>
      <c r="BQ33" s="670"/>
      <c r="BR33" s="670"/>
      <c r="BS33" s="670"/>
      <c r="BT33" s="670"/>
      <c r="BU33" s="670"/>
      <c r="BV33" s="670"/>
      <c r="BW33" s="670"/>
      <c r="BX33" s="670"/>
      <c r="BY33" s="670"/>
      <c r="BZ33" s="670"/>
      <c r="CA33" s="670"/>
      <c r="CB33" s="670"/>
      <c r="CC33" s="670"/>
      <c r="CD33" s="670"/>
      <c r="CE33" s="670"/>
      <c r="CF33" s="670"/>
      <c r="CG33" s="670"/>
      <c r="CH33" s="670"/>
      <c r="CI33" s="670"/>
      <c r="CJ33" s="670"/>
      <c r="CK33" s="670"/>
      <c r="CL33" s="670"/>
      <c r="CM33" s="670"/>
      <c r="CN33" s="670"/>
      <c r="CO33" s="670"/>
      <c r="CP33" s="670"/>
      <c r="CQ33" s="670"/>
      <c r="CR33" s="670"/>
      <c r="CS33" s="670"/>
      <c r="CT33" s="670"/>
    </row>
    <row r="34" spans="1:98" ht="12.75">
      <c r="A34" s="5" t="s">
        <v>657</v>
      </c>
      <c r="C34" s="5" t="s">
        <v>647</v>
      </c>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c r="BR34" s="670"/>
      <c r="BS34" s="670"/>
      <c r="BT34" s="670"/>
      <c r="BU34" s="670"/>
      <c r="BV34" s="670"/>
      <c r="BW34" s="670"/>
      <c r="BX34" s="670"/>
      <c r="BY34" s="670"/>
      <c r="BZ34" s="670"/>
      <c r="CA34" s="670"/>
      <c r="CB34" s="670"/>
      <c r="CC34" s="670"/>
      <c r="CD34" s="670"/>
      <c r="CE34" s="670"/>
      <c r="CF34" s="670"/>
      <c r="CG34" s="670"/>
      <c r="CH34" s="670"/>
      <c r="CI34" s="670"/>
      <c r="CJ34" s="670"/>
      <c r="CK34" s="670"/>
      <c r="CL34" s="670"/>
      <c r="CM34" s="670"/>
      <c r="CN34" s="670"/>
      <c r="CO34" s="670"/>
      <c r="CP34" s="670"/>
      <c r="CQ34" s="670"/>
      <c r="CR34" s="670"/>
      <c r="CS34" s="670"/>
      <c r="CT34" s="670"/>
    </row>
    <row r="35" spans="1:98" ht="12.75">
      <c r="B35" s="9"/>
      <c r="C35" s="10"/>
      <c r="D35" s="10"/>
      <c r="E35" s="10"/>
      <c r="F35" s="10"/>
      <c r="G35" s="10"/>
      <c r="H35" s="10"/>
      <c r="I35" s="10"/>
      <c r="J35" s="10"/>
      <c r="K35" s="10"/>
      <c r="L35" s="10"/>
      <c r="M35" s="10"/>
      <c r="N35" s="10"/>
      <c r="O35" s="10"/>
      <c r="P35" s="10"/>
      <c r="Q35" s="10"/>
      <c r="R35" s="10"/>
      <c r="S35" s="10"/>
      <c r="T35" s="10"/>
      <c r="U35" s="10"/>
      <c r="V35" s="10"/>
      <c r="W35" s="10"/>
      <c r="X35" s="207"/>
      <c r="Y35" s="1645" t="s">
        <v>1459</v>
      </c>
      <c r="Z35" s="1645"/>
      <c r="AA35" s="1645"/>
      <c r="AB35" s="1645"/>
      <c r="AC35" s="1645"/>
      <c r="AD35" s="1646" t="s">
        <v>407</v>
      </c>
      <c r="AE35" s="1646"/>
      <c r="AF35" s="1646"/>
      <c r="AG35" s="1646"/>
      <c r="AH35" s="1646"/>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c r="CP35" s="670"/>
      <c r="CQ35" s="670"/>
      <c r="CR35" s="670"/>
      <c r="CS35" s="670"/>
      <c r="CT35" s="670"/>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45"/>
      <c r="Z36" s="1645"/>
      <c r="AA36" s="1645"/>
      <c r="AB36" s="1645"/>
      <c r="AC36" s="1645"/>
      <c r="AD36" s="1646"/>
      <c r="AE36" s="1646"/>
      <c r="AF36" s="1646"/>
      <c r="AG36" s="1646"/>
      <c r="AH36" s="1646"/>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670"/>
      <c r="CF36" s="670"/>
      <c r="CG36" s="670"/>
      <c r="CH36" s="670"/>
      <c r="CI36" s="670"/>
      <c r="CJ36" s="670"/>
      <c r="CK36" s="670"/>
      <c r="CL36" s="670"/>
      <c r="CM36" s="670"/>
      <c r="CN36" s="670"/>
      <c r="CO36" s="670"/>
      <c r="CP36" s="670"/>
      <c r="CQ36" s="670"/>
      <c r="CR36" s="670"/>
      <c r="CS36" s="670"/>
      <c r="CT36" s="670"/>
    </row>
    <row r="37" spans="1:98" ht="12.75">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45"/>
      <c r="Z37" s="1645"/>
      <c r="AA37" s="1645"/>
      <c r="AB37" s="1645"/>
      <c r="AC37" s="1645"/>
      <c r="AD37" s="1646"/>
      <c r="AE37" s="1646"/>
      <c r="AF37" s="1646"/>
      <c r="AG37" s="1646"/>
      <c r="AH37" s="1646"/>
      <c r="AO37" s="670"/>
      <c r="AP37" s="670"/>
      <c r="AQ37" s="670"/>
      <c r="AR37" s="670"/>
      <c r="AS37" s="670"/>
      <c r="AT37" s="670"/>
      <c r="AU37" s="670"/>
      <c r="AV37" s="670"/>
      <c r="AW37" s="670"/>
      <c r="AX37" s="670"/>
      <c r="AY37" s="670"/>
      <c r="AZ37" s="670"/>
      <c r="BA37" s="670"/>
      <c r="BB37" s="670"/>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c r="CP37" s="670"/>
      <c r="CQ37" s="670"/>
      <c r="CR37" s="670"/>
      <c r="CS37" s="670"/>
      <c r="CT37" s="670"/>
    </row>
    <row r="38" spans="1:98" ht="12.75" customHeight="1">
      <c r="A38" s="5"/>
      <c r="B38" s="1632" t="s">
        <v>583</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26">
        <f>IF(T24&gt;=(T23+Y23+AD23+AI23),T28+Y28,0)</f>
        <v>8486182.9000000004</v>
      </c>
      <c r="Z38" s="1626"/>
      <c r="AA38" s="1626"/>
      <c r="AB38" s="1626"/>
      <c r="AC38" s="1626"/>
      <c r="AD38" s="1626">
        <f>IF(T24&gt;=(T23+Y23+AD23+AI23),AD28+AI28,0)</f>
        <v>7623115</v>
      </c>
      <c r="AE38" s="1626"/>
      <c r="AF38" s="1626"/>
      <c r="AG38" s="1626"/>
      <c r="AH38" s="1626"/>
      <c r="AO38" s="670"/>
      <c r="AP38" s="670"/>
      <c r="AQ38" s="670"/>
      <c r="AR38" s="670"/>
      <c r="AS38" s="670"/>
      <c r="AT38" s="670"/>
      <c r="AU38" s="670"/>
      <c r="AV38" s="670"/>
      <c r="AW38" s="670"/>
      <c r="AX38" s="670"/>
      <c r="AY38" s="670"/>
      <c r="AZ38" s="670"/>
      <c r="BA38" s="670"/>
      <c r="BB38" s="670"/>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670"/>
      <c r="CF38" s="670"/>
      <c r="CG38" s="670"/>
      <c r="CH38" s="670"/>
      <c r="CI38" s="670"/>
      <c r="CJ38" s="670"/>
      <c r="CK38" s="670"/>
      <c r="CL38" s="670"/>
      <c r="CM38" s="670"/>
      <c r="CN38" s="670"/>
      <c r="CO38" s="670"/>
      <c r="CP38" s="670"/>
      <c r="CQ38" s="670"/>
      <c r="CR38" s="670"/>
      <c r="CS38" s="670"/>
      <c r="CT38" s="670"/>
    </row>
    <row r="39" spans="1:98" ht="12.75">
      <c r="B39" s="1632" t="s">
        <v>1606</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38">
        <v>3.3000000000000002E-2</v>
      </c>
      <c r="Z39" s="1638"/>
      <c r="AA39" s="1638"/>
      <c r="AB39" s="1638"/>
      <c r="AC39" s="1638"/>
      <c r="AD39" s="1638">
        <v>3.3000000000000002E-2</v>
      </c>
      <c r="AE39" s="1638"/>
      <c r="AF39" s="1638"/>
      <c r="AG39" s="1638"/>
      <c r="AH39" s="1638"/>
      <c r="AO39" s="670"/>
      <c r="AP39" s="670"/>
      <c r="AQ39" s="670"/>
      <c r="AR39" s="670"/>
      <c r="AS39" s="670"/>
      <c r="AT39" s="670"/>
      <c r="AU39" s="670"/>
      <c r="AV39" s="670"/>
      <c r="AW39" s="670"/>
      <c r="AX39" s="670"/>
      <c r="AY39" s="670"/>
      <c r="AZ39" s="670"/>
      <c r="BA39" s="670"/>
      <c r="BB39" s="670"/>
      <c r="BC39" s="670"/>
      <c r="BD39" s="670"/>
      <c r="BE39" s="670"/>
      <c r="BF39" s="670"/>
      <c r="BG39" s="670"/>
      <c r="BH39" s="670"/>
      <c r="BI39" s="670"/>
      <c r="BJ39" s="670"/>
      <c r="BK39" s="670"/>
      <c r="BL39" s="670"/>
      <c r="BM39" s="670"/>
      <c r="BN39" s="670"/>
      <c r="BO39" s="670"/>
      <c r="BP39" s="670"/>
      <c r="BQ39" s="670"/>
      <c r="BR39" s="670"/>
      <c r="BS39" s="670"/>
      <c r="BT39" s="670"/>
      <c r="BU39" s="670"/>
      <c r="BV39" s="670"/>
      <c r="BW39" s="670"/>
      <c r="BX39" s="670"/>
      <c r="BY39" s="670"/>
      <c r="BZ39" s="670"/>
      <c r="CA39" s="670"/>
      <c r="CB39" s="670"/>
      <c r="CC39" s="670"/>
      <c r="CD39" s="670"/>
      <c r="CE39" s="670"/>
      <c r="CF39" s="670"/>
      <c r="CG39" s="670"/>
      <c r="CH39" s="670"/>
      <c r="CI39" s="670"/>
      <c r="CJ39" s="670"/>
      <c r="CK39" s="670"/>
      <c r="CL39" s="670"/>
      <c r="CM39" s="670"/>
      <c r="CN39" s="670"/>
      <c r="CO39" s="670"/>
      <c r="CP39" s="670"/>
      <c r="CQ39" s="670"/>
      <c r="CR39" s="670"/>
      <c r="CS39" s="670"/>
      <c r="CT39" s="670"/>
    </row>
    <row r="40" spans="1:98" ht="12.75" customHeight="1">
      <c r="A40" s="5"/>
      <c r="B40" s="1632" t="s">
        <v>725</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26">
        <f>ROUND(Y38*Y39,0)</f>
        <v>280044</v>
      </c>
      <c r="Z40" s="1626"/>
      <c r="AA40" s="1626"/>
      <c r="AB40" s="1626"/>
      <c r="AC40" s="1626"/>
      <c r="AD40" s="1627">
        <f>ROUND(AD38*AD39,0)</f>
        <v>251563</v>
      </c>
      <c r="AE40" s="1626"/>
      <c r="AF40" s="1626"/>
      <c r="AG40" s="1626"/>
      <c r="AH40" s="1626"/>
      <c r="AO40" s="670"/>
      <c r="AP40" s="670"/>
      <c r="AQ40" s="670"/>
      <c r="AR40" s="670"/>
      <c r="AS40" s="670"/>
      <c r="AT40" s="670"/>
      <c r="AU40" s="670"/>
      <c r="AV40" s="670"/>
      <c r="AW40" s="670"/>
      <c r="AX40" s="670"/>
      <c r="AY40" s="670"/>
      <c r="AZ40" s="670"/>
      <c r="BA40" s="670"/>
      <c r="BB40" s="670"/>
      <c r="BC40" s="670"/>
      <c r="BD40" s="670"/>
      <c r="BE40" s="670"/>
      <c r="BF40" s="670"/>
      <c r="BG40" s="670"/>
      <c r="BH40" s="670"/>
      <c r="BI40" s="670"/>
      <c r="BJ40" s="670"/>
      <c r="BK40" s="670"/>
      <c r="BL40" s="670"/>
      <c r="BM40" s="670"/>
      <c r="BN40" s="67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70"/>
      <c r="CO40" s="670"/>
      <c r="CP40" s="670"/>
      <c r="CQ40" s="670"/>
      <c r="CR40" s="670"/>
      <c r="CS40" s="670"/>
      <c r="CT40" s="670"/>
    </row>
    <row r="41" spans="1:98" ht="12.75">
      <c r="B41" s="1632" t="s">
        <v>726</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28">
        <f>Y40+AD40</f>
        <v>531607</v>
      </c>
      <c r="Z41" s="1629"/>
      <c r="AA41" s="1629"/>
      <c r="AB41" s="1629"/>
      <c r="AC41" s="1629"/>
      <c r="AD41" s="1629"/>
      <c r="AE41" s="1629"/>
      <c r="AF41" s="1629"/>
      <c r="AG41" s="1629"/>
      <c r="AH41" s="1630"/>
      <c r="AO41" s="670"/>
      <c r="AP41" s="670"/>
      <c r="AQ41" s="670"/>
      <c r="AR41" s="670"/>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670"/>
      <c r="CN41" s="670"/>
      <c r="CO41" s="670"/>
      <c r="CP41" s="670"/>
      <c r="CQ41" s="670"/>
      <c r="CR41" s="670"/>
      <c r="CS41" s="670"/>
      <c r="CT41" s="670"/>
    </row>
    <row r="42" spans="1:98" ht="12.75" customHeight="1">
      <c r="A42" s="5"/>
      <c r="B42" s="1631" t="s">
        <v>1605</v>
      </c>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O42" s="670"/>
      <c r="AP42" s="670"/>
      <c r="AQ42" s="670"/>
      <c r="AR42" s="670"/>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670"/>
      <c r="CN42" s="670"/>
      <c r="CO42" s="670"/>
      <c r="CP42" s="670"/>
      <c r="CQ42" s="670"/>
      <c r="CR42" s="670"/>
      <c r="CS42" s="670"/>
      <c r="CT42" s="670"/>
    </row>
    <row r="43" spans="1:98" ht="12.75">
      <c r="B43" s="681"/>
      <c r="C43" s="681"/>
      <c r="D43" s="681"/>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O43" s="670"/>
      <c r="AP43" s="670"/>
      <c r="AQ43" s="670"/>
      <c r="AR43" s="670"/>
      <c r="AS43" s="670"/>
      <c r="AT43" s="670"/>
      <c r="AU43" s="670"/>
      <c r="AV43" s="670"/>
      <c r="AW43" s="670"/>
      <c r="AX43" s="670"/>
      <c r="AY43" s="670"/>
      <c r="AZ43" s="670"/>
      <c r="BA43" s="670"/>
      <c r="BB43" s="670"/>
      <c r="BC43" s="670"/>
      <c r="BD43" s="670"/>
      <c r="BE43" s="670"/>
      <c r="BF43" s="670"/>
      <c r="BG43" s="670"/>
      <c r="BH43" s="670"/>
      <c r="BI43" s="670"/>
      <c r="BJ43" s="670"/>
      <c r="BK43" s="670"/>
      <c r="BL43" s="670"/>
      <c r="BM43" s="670"/>
      <c r="BN43" s="67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70"/>
      <c r="CO43" s="670"/>
      <c r="CP43" s="670"/>
      <c r="CQ43" s="670"/>
      <c r="CR43" s="670"/>
      <c r="CS43" s="670"/>
      <c r="CT43" s="670"/>
    </row>
    <row r="44" spans="1:98" ht="12.75">
      <c r="AO44" s="670"/>
      <c r="AP44" s="670"/>
      <c r="AQ44" s="670"/>
      <c r="AR44" s="670"/>
      <c r="AS44" s="670"/>
      <c r="AT44" s="670"/>
      <c r="AU44" s="670"/>
      <c r="AV44" s="670"/>
      <c r="AW44" s="670"/>
      <c r="AX44" s="670"/>
      <c r="AY44" s="670"/>
      <c r="AZ44" s="670"/>
      <c r="BA44" s="670"/>
      <c r="BB44" s="670"/>
      <c r="BC44" s="670"/>
      <c r="BD44" s="670"/>
      <c r="BE44" s="670"/>
      <c r="BF44" s="670"/>
      <c r="BG44" s="670"/>
      <c r="BH44" s="670"/>
      <c r="BI44" s="670"/>
      <c r="BJ44" s="670"/>
      <c r="BK44" s="670"/>
      <c r="BL44" s="670"/>
      <c r="BM44" s="670"/>
      <c r="BN44" s="67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70"/>
      <c r="CO44" s="670"/>
      <c r="CP44" s="670"/>
      <c r="CQ44" s="670"/>
      <c r="CR44" s="670"/>
      <c r="CS44" s="670"/>
      <c r="CT44" s="670"/>
    </row>
    <row r="45" spans="1:98" ht="12.75">
      <c r="A45" s="5" t="s">
        <v>667</v>
      </c>
      <c r="C45" s="5" t="s">
        <v>303</v>
      </c>
      <c r="AO45" s="670"/>
      <c r="AP45" s="670"/>
      <c r="AQ45" s="670"/>
      <c r="AR45" s="670"/>
      <c r="AS45" s="670"/>
      <c r="AT45" s="670"/>
      <c r="AU45" s="670"/>
      <c r="AV45" s="670"/>
      <c r="AW45" s="670"/>
      <c r="AX45" s="670"/>
      <c r="AY45" s="670"/>
      <c r="AZ45" s="670"/>
      <c r="BA45" s="670"/>
      <c r="BB45" s="670"/>
      <c r="BC45" s="670"/>
      <c r="BD45" s="670"/>
      <c r="BE45" s="670"/>
      <c r="BF45" s="670"/>
      <c r="BG45" s="670"/>
      <c r="BH45" s="670"/>
      <c r="BI45" s="670"/>
      <c r="BJ45" s="670"/>
      <c r="BK45" s="670"/>
      <c r="BL45" s="670"/>
      <c r="BM45" s="670"/>
      <c r="BN45" s="67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70"/>
      <c r="CO45" s="670"/>
      <c r="CP45" s="670"/>
      <c r="CQ45" s="670"/>
      <c r="CR45" s="670"/>
      <c r="CS45" s="670"/>
      <c r="CT45" s="670"/>
    </row>
    <row r="46" spans="1:98" ht="12.75">
      <c r="D46" s="5" t="s">
        <v>304</v>
      </c>
      <c r="AB46" s="1615">
        <f>'Sources and Uses Budget'!B105-'Sources and Uses Budget'!B15</f>
        <v>16078758.547717843</v>
      </c>
      <c r="AC46" s="1616"/>
      <c r="AD46" s="1616"/>
      <c r="AE46" s="1616"/>
      <c r="AF46" s="1617"/>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A46" s="670"/>
      <c r="CB46" s="670"/>
      <c r="CC46" s="670"/>
      <c r="CD46" s="670"/>
      <c r="CE46" s="670"/>
      <c r="CF46" s="670"/>
      <c r="CG46" s="670"/>
      <c r="CH46" s="670"/>
      <c r="CI46" s="670"/>
      <c r="CJ46" s="670"/>
      <c r="CK46" s="670"/>
      <c r="CL46" s="670"/>
      <c r="CM46" s="670"/>
      <c r="CN46" s="670"/>
      <c r="CO46" s="670"/>
      <c r="CP46" s="670"/>
      <c r="CQ46" s="670"/>
      <c r="CR46" s="670"/>
      <c r="CS46" s="670"/>
      <c r="CT46" s="670"/>
    </row>
    <row r="47" spans="1:98" ht="12.75" customHeight="1">
      <c r="D47" s="5" t="s">
        <v>24</v>
      </c>
      <c r="AB47" s="1615">
        <f>Application!AG630-MIN('Sources and Uses Budget'!B15,Application!AG390)</f>
        <v>11214560</v>
      </c>
      <c r="AC47" s="1616"/>
      <c r="AD47" s="1616"/>
      <c r="AE47" s="1616"/>
      <c r="AF47" s="1617"/>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c r="BQ47" s="670"/>
      <c r="BR47" s="670"/>
      <c r="BS47" s="670"/>
      <c r="BT47" s="670"/>
      <c r="BU47" s="670"/>
      <c r="BV47" s="670"/>
      <c r="BW47" s="670"/>
      <c r="BX47" s="670"/>
      <c r="BY47" s="670"/>
      <c r="BZ47" s="670"/>
      <c r="CA47" s="670"/>
      <c r="CB47" s="670"/>
      <c r="CC47" s="670"/>
      <c r="CD47" s="670"/>
      <c r="CE47" s="670"/>
      <c r="CF47" s="670"/>
      <c r="CG47" s="670"/>
      <c r="CH47" s="670"/>
      <c r="CI47" s="670"/>
      <c r="CJ47" s="670"/>
      <c r="CK47" s="670"/>
      <c r="CL47" s="670"/>
      <c r="CM47" s="670"/>
      <c r="CN47" s="670"/>
      <c r="CO47" s="670"/>
      <c r="CP47" s="670"/>
      <c r="CQ47" s="670"/>
      <c r="CR47" s="670"/>
      <c r="CS47" s="670"/>
      <c r="CT47" s="670"/>
    </row>
    <row r="48" spans="1:98" ht="12.75">
      <c r="D48" s="5" t="s">
        <v>99</v>
      </c>
      <c r="AB48" s="1615">
        <f>AB46-AB47</f>
        <v>4864198.5477178432</v>
      </c>
      <c r="AC48" s="1616"/>
      <c r="AD48" s="1616"/>
      <c r="AE48" s="1616"/>
      <c r="AF48" s="1617"/>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0"/>
      <c r="BP48" s="670"/>
      <c r="BQ48" s="670"/>
      <c r="BR48" s="670"/>
      <c r="BS48" s="670"/>
      <c r="BT48" s="670"/>
      <c r="BU48" s="670"/>
      <c r="BV48" s="670"/>
      <c r="BW48" s="670"/>
      <c r="BX48" s="670"/>
      <c r="BY48" s="670"/>
      <c r="BZ48" s="670"/>
      <c r="CA48" s="670"/>
      <c r="CB48" s="670"/>
      <c r="CC48" s="670"/>
      <c r="CD48" s="670"/>
      <c r="CE48" s="670"/>
      <c r="CF48" s="670"/>
      <c r="CG48" s="670"/>
      <c r="CH48" s="670"/>
      <c r="CI48" s="670"/>
      <c r="CJ48" s="670"/>
      <c r="CK48" s="670"/>
      <c r="CL48" s="670"/>
      <c r="CM48" s="670"/>
      <c r="CN48" s="670"/>
      <c r="CO48" s="670"/>
      <c r="CP48" s="670"/>
      <c r="CQ48" s="670"/>
      <c r="CR48" s="670"/>
      <c r="CS48" s="670"/>
      <c r="CT48" s="670"/>
    </row>
    <row r="49" spans="1:98" ht="12.75">
      <c r="D49" s="5" t="s">
        <v>767</v>
      </c>
      <c r="X49" s="2"/>
      <c r="Y49" s="2"/>
      <c r="Z49" s="2"/>
      <c r="AA49" s="279"/>
      <c r="AB49" s="1619">
        <v>0.91500000000000004</v>
      </c>
      <c r="AC49" s="1620"/>
      <c r="AD49" s="1620"/>
      <c r="AE49" s="1620"/>
      <c r="AF49" s="1621"/>
      <c r="AO49" s="670"/>
      <c r="AP49" s="670"/>
      <c r="AQ49" s="670"/>
      <c r="AR49" s="670"/>
      <c r="AS49" s="670"/>
      <c r="AT49" s="670"/>
      <c r="AU49" s="670"/>
      <c r="AV49" s="670"/>
      <c r="AW49" s="670"/>
      <c r="AX49" s="670"/>
      <c r="AY49" s="670"/>
      <c r="AZ49" s="670"/>
      <c r="BA49" s="670"/>
      <c r="BB49" s="670"/>
      <c r="BC49" s="670"/>
      <c r="BD49" s="670"/>
      <c r="BE49" s="670"/>
      <c r="BF49" s="670"/>
      <c r="BG49" s="670"/>
      <c r="BH49" s="670"/>
      <c r="BI49" s="670"/>
      <c r="BJ49" s="670"/>
      <c r="BK49" s="670"/>
      <c r="BL49" s="670"/>
      <c r="BM49" s="670"/>
      <c r="BN49" s="670"/>
      <c r="BO49" s="670"/>
      <c r="BP49" s="670"/>
      <c r="BQ49" s="670"/>
      <c r="BR49" s="670"/>
      <c r="BS49" s="670"/>
      <c r="BT49" s="670"/>
      <c r="BU49" s="670"/>
      <c r="BV49" s="670"/>
      <c r="BW49" s="670"/>
      <c r="BX49" s="670"/>
      <c r="BY49" s="670"/>
      <c r="BZ49" s="670"/>
      <c r="CA49" s="670"/>
      <c r="CB49" s="670"/>
      <c r="CC49" s="670"/>
      <c r="CD49" s="670"/>
      <c r="CE49" s="670"/>
      <c r="CF49" s="670"/>
      <c r="CG49" s="670"/>
      <c r="CH49" s="670"/>
      <c r="CI49" s="670"/>
      <c r="CJ49" s="670"/>
      <c r="CK49" s="670"/>
      <c r="CL49" s="670"/>
      <c r="CM49" s="670"/>
      <c r="CN49" s="670"/>
      <c r="CO49" s="670"/>
      <c r="CP49" s="670"/>
      <c r="CQ49" s="670"/>
      <c r="CR49" s="670"/>
      <c r="CS49" s="670"/>
      <c r="CT49" s="670"/>
    </row>
    <row r="50" spans="1:98" s="677" customFormat="1" ht="15" customHeight="1">
      <c r="A50" s="2"/>
      <c r="B50" s="2"/>
      <c r="C50" s="2"/>
      <c r="D50" s="154"/>
      <c r="E50" s="1622" t="s">
        <v>1240</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675"/>
      <c r="AB50" s="675"/>
      <c r="AC50" s="675"/>
      <c r="AD50" s="675"/>
      <c r="AE50" s="675"/>
      <c r="AF50" s="675"/>
      <c r="AG50" s="2"/>
      <c r="AH50" s="2"/>
      <c r="AI50" s="2"/>
      <c r="AJ50" s="2"/>
      <c r="AK50" s="2"/>
      <c r="AL50" s="2"/>
      <c r="AM50" s="2"/>
      <c r="AN50" s="2"/>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row>
    <row r="51" spans="1:98" s="677" customFormat="1" ht="12" customHeight="1">
      <c r="A51" s="2"/>
      <c r="B51" s="2"/>
      <c r="C51" s="2"/>
      <c r="D51" s="154"/>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678"/>
      <c r="AB51" s="678"/>
      <c r="AC51" s="678"/>
      <c r="AD51" s="678"/>
      <c r="AE51" s="678"/>
      <c r="AF51" s="678"/>
      <c r="AG51" s="679"/>
      <c r="AH51" s="2"/>
      <c r="AI51" s="2"/>
      <c r="AJ51" s="2"/>
      <c r="AK51" s="2"/>
      <c r="AL51" s="2"/>
      <c r="AM51" s="2"/>
      <c r="AN51" s="2"/>
      <c r="AO51" s="676"/>
      <c r="AP51" s="676"/>
      <c r="AQ51" s="676"/>
      <c r="AR51" s="676"/>
      <c r="AS51" s="676"/>
      <c r="AT51" s="676"/>
      <c r="AU51" s="676"/>
      <c r="AV51" s="676"/>
      <c r="AW51" s="676"/>
      <c r="AX51" s="676"/>
      <c r="AY51" s="676"/>
      <c r="AZ51" s="676"/>
      <c r="BA51" s="676"/>
      <c r="BB51" s="676"/>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676"/>
      <c r="CB51" s="676"/>
      <c r="CC51" s="676"/>
      <c r="CD51" s="676"/>
      <c r="CE51" s="676"/>
      <c r="CF51" s="676"/>
      <c r="CG51" s="676"/>
      <c r="CH51" s="676"/>
      <c r="CI51" s="676"/>
      <c r="CJ51" s="676"/>
      <c r="CK51" s="676"/>
      <c r="CL51" s="676"/>
      <c r="CM51" s="676"/>
      <c r="CN51" s="676"/>
      <c r="CO51" s="676"/>
      <c r="CP51" s="676"/>
      <c r="CQ51" s="676"/>
      <c r="CR51" s="676"/>
      <c r="CS51" s="676"/>
      <c r="CT51" s="676"/>
    </row>
    <row r="52" spans="1:98" s="2" customFormat="1" ht="12" customHeight="1">
      <c r="D52" s="154"/>
      <c r="E52" s="680"/>
      <c r="F52" s="680"/>
      <c r="G52" s="680"/>
      <c r="H52" s="680"/>
      <c r="I52" s="680"/>
      <c r="J52" s="680"/>
      <c r="K52" s="680"/>
      <c r="L52" s="680"/>
      <c r="M52" s="680"/>
      <c r="N52" s="680"/>
      <c r="O52" s="680"/>
      <c r="P52" s="680"/>
      <c r="Q52" s="680"/>
      <c r="R52" s="680"/>
      <c r="S52" s="680"/>
      <c r="T52" s="680"/>
      <c r="U52" s="680"/>
      <c r="V52" s="680"/>
      <c r="W52" s="680"/>
      <c r="X52" s="680"/>
      <c r="Y52" s="680"/>
      <c r="Z52" s="680"/>
      <c r="AO52" s="671"/>
      <c r="AP52" s="671"/>
      <c r="AQ52" s="671"/>
      <c r="AR52" s="671"/>
      <c r="AS52" s="671"/>
      <c r="AT52" s="671"/>
      <c r="AU52" s="671"/>
      <c r="AV52" s="671"/>
      <c r="AW52" s="671"/>
      <c r="AX52" s="671"/>
      <c r="AY52" s="671"/>
      <c r="AZ52" s="671"/>
      <c r="BA52" s="671"/>
      <c r="BB52" s="671"/>
      <c r="BC52" s="671"/>
      <c r="BD52" s="671"/>
      <c r="BE52" s="671"/>
      <c r="BF52" s="671"/>
      <c r="BG52" s="671"/>
      <c r="BH52" s="671"/>
      <c r="BI52" s="671"/>
      <c r="BJ52" s="671"/>
      <c r="BK52" s="671"/>
      <c r="BL52" s="671"/>
      <c r="BM52" s="671"/>
      <c r="BN52" s="671"/>
      <c r="BO52" s="671"/>
      <c r="BP52" s="671"/>
      <c r="BQ52" s="671"/>
      <c r="BR52" s="671"/>
      <c r="BS52" s="671"/>
      <c r="BT52" s="671"/>
      <c r="BU52" s="671"/>
      <c r="BV52" s="671"/>
      <c r="BW52" s="671"/>
      <c r="BX52" s="671"/>
      <c r="BY52" s="671"/>
      <c r="BZ52" s="671"/>
      <c r="CA52" s="671"/>
      <c r="CB52" s="671"/>
      <c r="CC52" s="671"/>
      <c r="CD52" s="671"/>
      <c r="CE52" s="671"/>
      <c r="CF52" s="671"/>
      <c r="CG52" s="671"/>
      <c r="CH52" s="671"/>
      <c r="CI52" s="671"/>
      <c r="CJ52" s="671"/>
      <c r="CK52" s="671"/>
      <c r="CL52" s="671"/>
      <c r="CM52" s="671"/>
      <c r="CN52" s="671"/>
      <c r="CO52" s="671"/>
      <c r="CP52" s="671"/>
      <c r="CQ52" s="671"/>
      <c r="CR52" s="671"/>
      <c r="CS52" s="671"/>
      <c r="CT52" s="671"/>
    </row>
    <row r="53" spans="1:98" s="2" customFormat="1" ht="15" customHeight="1">
      <c r="A53"/>
      <c r="B53"/>
      <c r="C53"/>
      <c r="D53" s="5" t="s">
        <v>359</v>
      </c>
      <c r="E53"/>
      <c r="F53"/>
      <c r="G53"/>
      <c r="H53"/>
      <c r="I53"/>
      <c r="J53"/>
      <c r="K53"/>
      <c r="L53"/>
      <c r="M53"/>
      <c r="N53"/>
      <c r="O53"/>
      <c r="P53"/>
      <c r="Q53"/>
      <c r="R53"/>
      <c r="S53"/>
      <c r="T53"/>
      <c r="U53"/>
      <c r="V53"/>
      <c r="W53"/>
      <c r="X53"/>
      <c r="Y53"/>
      <c r="Z53"/>
      <c r="AA53"/>
      <c r="AB53" s="1615">
        <f>ROUND(IF(ISERROR((AB48/AB49)),0,(AB48/AB49)),0)</f>
        <v>5316064</v>
      </c>
      <c r="AC53" s="1616"/>
      <c r="AD53" s="1616"/>
      <c r="AE53" s="1616"/>
      <c r="AF53" s="1617"/>
      <c r="AG53"/>
      <c r="AH53"/>
      <c r="AI53"/>
      <c r="AJ53"/>
      <c r="AK53"/>
      <c r="AL53"/>
      <c r="AM53"/>
      <c r="AN53"/>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c r="CA53" s="671"/>
      <c r="CB53" s="671"/>
      <c r="CC53" s="671"/>
      <c r="CD53" s="671"/>
      <c r="CE53" s="671"/>
      <c r="CF53" s="671"/>
      <c r="CG53" s="671"/>
      <c r="CH53" s="671"/>
      <c r="CI53" s="671"/>
      <c r="CJ53" s="671"/>
      <c r="CK53" s="671"/>
      <c r="CL53" s="671"/>
      <c r="CM53" s="671"/>
      <c r="CN53" s="671"/>
      <c r="CO53" s="671"/>
      <c r="CP53" s="671"/>
      <c r="CQ53" s="671"/>
      <c r="CR53" s="671"/>
      <c r="CS53" s="671"/>
      <c r="CT53" s="671"/>
    </row>
    <row r="54" spans="1:98" ht="12.75" customHeight="1">
      <c r="D54" s="5" t="s">
        <v>360</v>
      </c>
      <c r="AB54" s="1615">
        <f>(AB53/10)</f>
        <v>531606.4</v>
      </c>
      <c r="AC54" s="1616"/>
      <c r="AD54" s="1616"/>
      <c r="AE54" s="1616"/>
      <c r="AF54" s="1617"/>
      <c r="AO54" s="670"/>
      <c r="AP54" s="670"/>
      <c r="AQ54" s="670"/>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670"/>
      <c r="CQ54" s="670"/>
      <c r="CR54" s="670"/>
      <c r="CS54" s="670"/>
      <c r="CT54" s="670"/>
    </row>
    <row r="55" spans="1:98" ht="12.75">
      <c r="D55" s="5" t="s">
        <v>850</v>
      </c>
      <c r="AB55" s="1623">
        <f>(IF((Y41&lt;AB54),Y41,AB54))</f>
        <v>531606.4</v>
      </c>
      <c r="AC55" s="1624"/>
      <c r="AD55" s="1624"/>
      <c r="AE55" s="1624"/>
      <c r="AF55" s="1625"/>
      <c r="AO55" s="670"/>
      <c r="AP55" s="670"/>
      <c r="AQ55" s="670"/>
      <c r="AR55" s="670"/>
      <c r="AS55" s="670"/>
      <c r="AT55" s="670"/>
      <c r="AU55" s="670"/>
      <c r="AV55" s="670"/>
      <c r="AW55" s="670"/>
      <c r="AX55" s="670"/>
      <c r="AY55" s="670"/>
      <c r="AZ55" s="670"/>
      <c r="BA55" s="670"/>
      <c r="BB55" s="670"/>
      <c r="BC55" s="670"/>
      <c r="BD55" s="670"/>
      <c r="BE55" s="670"/>
      <c r="BF55" s="670"/>
      <c r="BG55" s="670"/>
      <c r="BH55" s="670"/>
      <c r="BI55" s="670"/>
      <c r="BJ55" s="670"/>
      <c r="BK55" s="670"/>
      <c r="BL55" s="670"/>
      <c r="BM55" s="670"/>
      <c r="BN55" s="670"/>
      <c r="BO55" s="670"/>
      <c r="BP55" s="670"/>
      <c r="BQ55" s="670"/>
      <c r="BR55" s="670"/>
      <c r="BS55" s="670"/>
      <c r="BT55" s="670"/>
      <c r="BU55" s="670"/>
      <c r="BV55" s="670"/>
      <c r="BW55" s="670"/>
      <c r="BX55" s="670"/>
      <c r="BY55" s="670"/>
      <c r="BZ55" s="670"/>
      <c r="CA55" s="670"/>
      <c r="CB55" s="670"/>
      <c r="CC55" s="670"/>
      <c r="CD55" s="670"/>
      <c r="CE55" s="670"/>
      <c r="CF55" s="670"/>
      <c r="CG55" s="670"/>
      <c r="CH55" s="670"/>
      <c r="CI55" s="670"/>
      <c r="CJ55" s="670"/>
      <c r="CK55" s="670"/>
      <c r="CL55" s="670"/>
      <c r="CM55" s="670"/>
      <c r="CN55" s="670"/>
      <c r="CO55" s="670"/>
      <c r="CP55" s="670"/>
      <c r="CQ55" s="670"/>
      <c r="CR55" s="670"/>
      <c r="CS55" s="670"/>
      <c r="CT55" s="670"/>
    </row>
    <row r="56" spans="1:98" ht="12.75">
      <c r="D56" s="5" t="s">
        <v>849</v>
      </c>
      <c r="AB56" s="1615">
        <f>ROUND((10*AB55*AB49),0)</f>
        <v>4864199</v>
      </c>
      <c r="AC56" s="1616"/>
      <c r="AD56" s="1616"/>
      <c r="AE56" s="1616"/>
      <c r="AF56" s="1617"/>
      <c r="AO56" s="670"/>
      <c r="AP56" s="670"/>
      <c r="AQ56" s="670"/>
      <c r="AR56" s="670"/>
      <c r="AS56" s="670"/>
      <c r="AT56" s="670"/>
      <c r="AU56" s="670"/>
      <c r="AV56" s="670"/>
      <c r="AW56" s="670"/>
      <c r="AX56" s="670"/>
      <c r="AY56" s="670"/>
      <c r="AZ56" s="670"/>
      <c r="BA56" s="670"/>
      <c r="BB56" s="670"/>
      <c r="BC56" s="670"/>
      <c r="BD56" s="670"/>
      <c r="BE56" s="670"/>
      <c r="BF56" s="670"/>
      <c r="BG56" s="670"/>
      <c r="BH56" s="670"/>
      <c r="BI56" s="670"/>
      <c r="BJ56" s="670"/>
      <c r="BK56" s="670"/>
      <c r="BL56" s="670"/>
      <c r="BM56" s="670"/>
      <c r="BN56" s="670"/>
      <c r="BO56" s="670"/>
      <c r="BP56" s="670"/>
      <c r="BQ56" s="670"/>
      <c r="BR56" s="670"/>
      <c r="BS56" s="670"/>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670"/>
      <c r="CT56" s="670"/>
    </row>
    <row r="57" spans="1:98" ht="12.75">
      <c r="D57" s="5"/>
      <c r="AB57" s="308"/>
      <c r="AC57" s="308"/>
      <c r="AD57" s="308"/>
      <c r="AE57" s="308"/>
      <c r="AF57" s="308"/>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0"/>
      <c r="BO57" s="670"/>
      <c r="BP57" s="670"/>
      <c r="BQ57" s="670"/>
      <c r="BR57" s="670"/>
      <c r="BS57" s="670"/>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670"/>
      <c r="CQ57" s="670"/>
      <c r="CR57" s="670"/>
      <c r="CS57" s="670"/>
      <c r="CT57" s="670"/>
    </row>
    <row r="58" spans="1:98" ht="12.75" customHeight="1">
      <c r="D58" s="5" t="s">
        <v>848</v>
      </c>
      <c r="AB58" s="1618">
        <f>AB48-AB56</f>
        <v>-0.45228215679526329</v>
      </c>
      <c r="AC58" s="1618"/>
      <c r="AD58" s="1618"/>
      <c r="AE58" s="1618"/>
      <c r="AF58" s="1618"/>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670"/>
      <c r="CQ58" s="670"/>
      <c r="CR58" s="670"/>
      <c r="CS58" s="670"/>
      <c r="CT58" s="670"/>
    </row>
    <row r="59" spans="1:98" ht="12.75" customHeight="1">
      <c r="D59" s="5"/>
      <c r="AB59" s="308"/>
      <c r="AC59" s="308"/>
      <c r="AD59" s="308"/>
      <c r="AE59" s="308"/>
      <c r="AF59" s="308"/>
      <c r="AO59" s="670"/>
      <c r="AP59" s="670"/>
      <c r="AQ59" s="670"/>
      <c r="AR59" s="670"/>
      <c r="AS59" s="670"/>
      <c r="AT59" s="670"/>
      <c r="AU59" s="670"/>
      <c r="AV59" s="670"/>
      <c r="AW59" s="670"/>
      <c r="AX59" s="670"/>
      <c r="AY59" s="670"/>
      <c r="AZ59" s="670"/>
      <c r="BA59" s="670"/>
      <c r="BB59" s="670"/>
      <c r="BC59" s="670"/>
      <c r="BD59" s="670"/>
      <c r="BE59" s="670"/>
      <c r="BF59" s="670"/>
      <c r="BG59" s="670"/>
      <c r="BH59" s="670"/>
      <c r="BI59" s="670"/>
      <c r="BJ59" s="670"/>
      <c r="BK59" s="670"/>
      <c r="BL59" s="670"/>
      <c r="BM59" s="670"/>
      <c r="BN59" s="670"/>
      <c r="BO59" s="670"/>
      <c r="BP59" s="670"/>
      <c r="BQ59" s="670"/>
      <c r="BR59" s="670"/>
      <c r="BS59" s="670"/>
      <c r="BT59" s="670"/>
      <c r="BU59" s="670"/>
      <c r="BV59" s="670"/>
      <c r="BW59" s="670"/>
      <c r="BX59" s="670"/>
      <c r="BY59" s="670"/>
      <c r="BZ59" s="670"/>
      <c r="CA59" s="670"/>
      <c r="CB59" s="670"/>
      <c r="CC59" s="670"/>
      <c r="CD59" s="670"/>
      <c r="CE59" s="670"/>
      <c r="CF59" s="670"/>
      <c r="CG59" s="670"/>
      <c r="CH59" s="670"/>
      <c r="CI59" s="670"/>
      <c r="CJ59" s="670"/>
      <c r="CK59" s="670"/>
      <c r="CL59" s="670"/>
      <c r="CM59" s="670"/>
      <c r="CN59" s="670"/>
      <c r="CO59" s="670"/>
      <c r="CP59" s="670"/>
      <c r="CQ59" s="670"/>
      <c r="CR59" s="670"/>
      <c r="CS59" s="670"/>
      <c r="CT59" s="670"/>
    </row>
    <row r="60" spans="1:98" ht="12.75" customHeight="1">
      <c r="D60" s="5"/>
      <c r="F60" s="309" t="str">
        <f>IF(AB58&gt;0,"FUNDING GAP MUST NOT EXCEED ZERO UNLESS REQUESTING STATE CREDITS","")</f>
        <v/>
      </c>
      <c r="G60" s="309"/>
      <c r="N60" s="309"/>
      <c r="AB60" s="308"/>
      <c r="AC60" s="308"/>
      <c r="AD60" s="308"/>
      <c r="AE60" s="308"/>
      <c r="AF60" s="308"/>
      <c r="AO60" s="670"/>
      <c r="AP60" s="670"/>
      <c r="AQ60" s="670"/>
      <c r="AR60" s="670"/>
      <c r="AS60" s="670"/>
      <c r="AT60" s="670"/>
      <c r="AU60" s="670"/>
      <c r="AV60" s="670"/>
      <c r="AW60" s="670"/>
      <c r="AX60" s="670"/>
      <c r="AY60" s="670"/>
      <c r="AZ60" s="670"/>
      <c r="BA60" s="670"/>
      <c r="BB60" s="670"/>
      <c r="BC60" s="670"/>
      <c r="BD60" s="670"/>
      <c r="BE60" s="670"/>
      <c r="BF60" s="670"/>
      <c r="BG60" s="670"/>
      <c r="BH60" s="670"/>
      <c r="BI60" s="670"/>
      <c r="BJ60" s="670"/>
      <c r="BK60" s="670"/>
      <c r="BL60" s="670"/>
      <c r="BM60" s="670"/>
      <c r="BN60" s="670"/>
      <c r="BO60" s="670"/>
      <c r="BP60" s="670"/>
      <c r="BQ60" s="670"/>
      <c r="BR60" s="670"/>
      <c r="BS60" s="670"/>
      <c r="BT60" s="670"/>
      <c r="BU60" s="670"/>
      <c r="BV60" s="670"/>
      <c r="BW60" s="670"/>
      <c r="BX60" s="670"/>
      <c r="BY60" s="670"/>
      <c r="BZ60" s="670"/>
      <c r="CA60" s="670"/>
      <c r="CB60" s="670"/>
      <c r="CC60" s="670"/>
      <c r="CD60" s="670"/>
      <c r="CE60" s="670"/>
      <c r="CF60" s="670"/>
      <c r="CG60" s="670"/>
      <c r="CH60" s="670"/>
      <c r="CI60" s="670"/>
      <c r="CJ60" s="670"/>
      <c r="CK60" s="670"/>
      <c r="CL60" s="670"/>
      <c r="CM60" s="670"/>
      <c r="CN60" s="670"/>
      <c r="CO60" s="670"/>
      <c r="CP60" s="670"/>
      <c r="CQ60" s="670"/>
      <c r="CR60" s="670"/>
      <c r="CS60" s="670"/>
      <c r="CT60" s="670"/>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password="E2FF" sheet="1" objects="1" scenarios="1"/>
  <mergeCells count="119">
    <mergeCell ref="T11:X11"/>
    <mergeCell ref="Y11:AC11"/>
    <mergeCell ref="AD11:AH11"/>
    <mergeCell ref="AI11:AM11"/>
    <mergeCell ref="A1:AN2"/>
    <mergeCell ref="T7:X10"/>
    <mergeCell ref="Y7:AC10"/>
    <mergeCell ref="AD7:AH10"/>
    <mergeCell ref="AI7:AM10"/>
    <mergeCell ref="B11:S11"/>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AD39:AH39"/>
    <mergeCell ref="T27:X27"/>
    <mergeCell ref="Y27:AC27"/>
    <mergeCell ref="AD27:AH27"/>
    <mergeCell ref="T29:AM29"/>
    <mergeCell ref="Y35:AC37"/>
    <mergeCell ref="AD35:AH37"/>
    <mergeCell ref="Y38:AC38"/>
    <mergeCell ref="AD38:AH38"/>
    <mergeCell ref="C31:AN31"/>
    <mergeCell ref="B38:X38"/>
    <mergeCell ref="B39:X39"/>
    <mergeCell ref="AI27:AM27"/>
    <mergeCell ref="T28:X28"/>
    <mergeCell ref="Y28:AC28"/>
    <mergeCell ref="AD28:AH28"/>
    <mergeCell ref="AI28:AM28"/>
    <mergeCell ref="B26:S26"/>
    <mergeCell ref="B27:S27"/>
    <mergeCell ref="B28:S28"/>
    <mergeCell ref="B29:S29"/>
    <mergeCell ref="B40:X40"/>
    <mergeCell ref="B41:X41"/>
    <mergeCell ref="Y39:AC39"/>
    <mergeCell ref="T26:X26"/>
    <mergeCell ref="Y26:AC26"/>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xr:uid="{00000000-0002-0000-0700-00000000000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xr:uid="{00000000-0002-0000-0700-000002000000}">
      <formula1>0</formula1>
    </dataValidation>
    <dataValidation type="decimal" allowBlank="1" showInputMessage="1" showErrorMessage="1" errorTitle="Federal Tax Credit Factor" error="Federal Tax Credit Factor must be within stated range" sqref="AB49:AF49" xr:uid="{00000000-0002-0000-0700-000003000000}">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WV103"/>
  <sheetViews>
    <sheetView showGridLines="0" showZeros="0" zoomScaleNormal="100" zoomScaleSheetLayoutView="100" workbookViewId="0">
      <selection activeCell="T13" sqref="T13:X13"/>
    </sheetView>
  </sheetViews>
  <sheetFormatPr defaultColWidth="0" defaultRowHeight="0" customHeight="1" zeroHeight="1"/>
  <cols>
    <col min="1" max="1" width="1.5703125" style="683" customWidth="1"/>
    <col min="2" max="2" width="0.85546875" style="683" customWidth="1"/>
    <col min="3" max="18" width="2.5703125" style="683" customWidth="1"/>
    <col min="19" max="19" width="4" style="683" customWidth="1"/>
    <col min="20" max="23" width="2.5703125" style="683" customWidth="1"/>
    <col min="24" max="24" width="2.42578125" style="683" customWidth="1"/>
    <col min="25" max="28" width="2.5703125" style="683" customWidth="1"/>
    <col min="29" max="29" width="2.42578125" style="683" customWidth="1"/>
    <col min="30" max="33" width="2.5703125" style="683" customWidth="1"/>
    <col min="34" max="39" width="2.42578125" style="683" customWidth="1"/>
    <col min="40" max="40" width="1.5703125" style="683" customWidth="1"/>
    <col min="41" max="256" width="2.5703125" style="683" hidden="1"/>
    <col min="257" max="257" width="1.5703125" style="683" hidden="1" customWidth="1"/>
    <col min="258" max="258" width="0.85546875" style="683" hidden="1" customWidth="1"/>
    <col min="259" max="274" width="2.5703125" style="683" hidden="1" customWidth="1"/>
    <col min="275" max="275" width="4" style="683" hidden="1" customWidth="1"/>
    <col min="276" max="279" width="2.5703125" style="683" hidden="1" customWidth="1"/>
    <col min="280" max="280" width="2.42578125" style="683" hidden="1" customWidth="1"/>
    <col min="281" max="284" width="2.5703125" style="683" hidden="1" customWidth="1"/>
    <col min="285" max="285" width="2.42578125" style="683" hidden="1" customWidth="1"/>
    <col min="286" max="289" width="2.5703125" style="683" hidden="1" customWidth="1"/>
    <col min="290" max="295" width="2.42578125" style="683" hidden="1" customWidth="1"/>
    <col min="296" max="296" width="1.5703125" style="683" hidden="1" customWidth="1"/>
    <col min="297" max="512" width="2.5703125" style="683" hidden="1"/>
    <col min="513" max="513" width="1.5703125" style="683" hidden="1" customWidth="1"/>
    <col min="514" max="514" width="0.85546875" style="683" hidden="1" customWidth="1"/>
    <col min="515" max="530" width="2.5703125" style="683" hidden="1" customWidth="1"/>
    <col min="531" max="531" width="4" style="683" hidden="1" customWidth="1"/>
    <col min="532" max="535" width="2.5703125" style="683" hidden="1" customWidth="1"/>
    <col min="536" max="536" width="2.42578125" style="683" hidden="1" customWidth="1"/>
    <col min="537" max="540" width="2.5703125" style="683" hidden="1" customWidth="1"/>
    <col min="541" max="541" width="2.42578125" style="683" hidden="1" customWidth="1"/>
    <col min="542" max="545" width="2.5703125" style="683" hidden="1" customWidth="1"/>
    <col min="546" max="551" width="2.42578125" style="683" hidden="1" customWidth="1"/>
    <col min="552" max="552" width="1.5703125" style="683" hidden="1" customWidth="1"/>
    <col min="553" max="768" width="2.5703125" style="683" hidden="1"/>
    <col min="769" max="769" width="1.5703125" style="683" hidden="1" customWidth="1"/>
    <col min="770" max="770" width="0.85546875" style="683" hidden="1" customWidth="1"/>
    <col min="771" max="786" width="2.5703125" style="683" hidden="1" customWidth="1"/>
    <col min="787" max="787" width="4" style="683" hidden="1" customWidth="1"/>
    <col min="788" max="791" width="2.5703125" style="683" hidden="1" customWidth="1"/>
    <col min="792" max="792" width="2.42578125" style="683" hidden="1" customWidth="1"/>
    <col min="793" max="796" width="2.5703125" style="683" hidden="1" customWidth="1"/>
    <col min="797" max="797" width="2.42578125" style="683" hidden="1" customWidth="1"/>
    <col min="798" max="801" width="2.5703125" style="683" hidden="1" customWidth="1"/>
    <col min="802" max="807" width="2.42578125" style="683" hidden="1" customWidth="1"/>
    <col min="808" max="808" width="1.5703125" style="683" hidden="1" customWidth="1"/>
    <col min="809" max="1024" width="2.5703125" style="683" hidden="1"/>
    <col min="1025" max="1025" width="1.5703125" style="683" hidden="1" customWidth="1"/>
    <col min="1026" max="1026" width="0.85546875" style="683" hidden="1" customWidth="1"/>
    <col min="1027" max="1042" width="2.5703125" style="683" hidden="1" customWidth="1"/>
    <col min="1043" max="1043" width="4" style="683" hidden="1" customWidth="1"/>
    <col min="1044" max="1047" width="2.5703125" style="683" hidden="1" customWidth="1"/>
    <col min="1048" max="1048" width="2.42578125" style="683" hidden="1" customWidth="1"/>
    <col min="1049" max="1052" width="2.5703125" style="683" hidden="1" customWidth="1"/>
    <col min="1053" max="1053" width="2.42578125" style="683" hidden="1" customWidth="1"/>
    <col min="1054" max="1057" width="2.5703125" style="683" hidden="1" customWidth="1"/>
    <col min="1058" max="1063" width="2.42578125" style="683" hidden="1" customWidth="1"/>
    <col min="1064" max="1064" width="1.5703125" style="683" hidden="1" customWidth="1"/>
    <col min="1065" max="1280" width="2.5703125" style="683" hidden="1"/>
    <col min="1281" max="1281" width="1.5703125" style="683" hidden="1" customWidth="1"/>
    <col min="1282" max="1282" width="0.85546875" style="683" hidden="1" customWidth="1"/>
    <col min="1283" max="1298" width="2.5703125" style="683" hidden="1" customWidth="1"/>
    <col min="1299" max="1299" width="4" style="683" hidden="1" customWidth="1"/>
    <col min="1300" max="1303" width="2.5703125" style="683" hidden="1" customWidth="1"/>
    <col min="1304" max="1304" width="2.42578125" style="683" hidden="1" customWidth="1"/>
    <col min="1305" max="1308" width="2.5703125" style="683" hidden="1" customWidth="1"/>
    <col min="1309" max="1309" width="2.42578125" style="683" hidden="1" customWidth="1"/>
    <col min="1310" max="1313" width="2.5703125" style="683" hidden="1" customWidth="1"/>
    <col min="1314" max="1319" width="2.42578125" style="683" hidden="1" customWidth="1"/>
    <col min="1320" max="1320" width="1.5703125" style="683" hidden="1" customWidth="1"/>
    <col min="1321" max="1536" width="2.5703125" style="683" hidden="1"/>
    <col min="1537" max="1537" width="1.5703125" style="683" hidden="1" customWidth="1"/>
    <col min="1538" max="1538" width="0.85546875" style="683" hidden="1" customWidth="1"/>
    <col min="1539" max="1554" width="2.5703125" style="683" hidden="1" customWidth="1"/>
    <col min="1555" max="1555" width="4" style="683" hidden="1" customWidth="1"/>
    <col min="1556" max="1559" width="2.5703125" style="683" hidden="1" customWidth="1"/>
    <col min="1560" max="1560" width="2.42578125" style="683" hidden="1" customWidth="1"/>
    <col min="1561" max="1564" width="2.5703125" style="683" hidden="1" customWidth="1"/>
    <col min="1565" max="1565" width="2.42578125" style="683" hidden="1" customWidth="1"/>
    <col min="1566" max="1569" width="2.5703125" style="683" hidden="1" customWidth="1"/>
    <col min="1570" max="1575" width="2.42578125" style="683" hidden="1" customWidth="1"/>
    <col min="1576" max="1576" width="1.5703125" style="683" hidden="1" customWidth="1"/>
    <col min="1577" max="1792" width="2.5703125" style="683" hidden="1"/>
    <col min="1793" max="1793" width="1.5703125" style="683" hidden="1" customWidth="1"/>
    <col min="1794" max="1794" width="0.85546875" style="683" hidden="1" customWidth="1"/>
    <col min="1795" max="1810" width="2.5703125" style="683" hidden="1" customWidth="1"/>
    <col min="1811" max="1811" width="4" style="683" hidden="1" customWidth="1"/>
    <col min="1812" max="1815" width="2.5703125" style="683" hidden="1" customWidth="1"/>
    <col min="1816" max="1816" width="2.42578125" style="683" hidden="1" customWidth="1"/>
    <col min="1817" max="1820" width="2.5703125" style="683" hidden="1" customWidth="1"/>
    <col min="1821" max="1821" width="2.42578125" style="683" hidden="1" customWidth="1"/>
    <col min="1822" max="1825" width="2.5703125" style="683" hidden="1" customWidth="1"/>
    <col min="1826" max="1831" width="2.42578125" style="683" hidden="1" customWidth="1"/>
    <col min="1832" max="1832" width="1.5703125" style="683" hidden="1" customWidth="1"/>
    <col min="1833" max="2048" width="2.5703125" style="683" hidden="1"/>
    <col min="2049" max="2049" width="1.5703125" style="683" hidden="1" customWidth="1"/>
    <col min="2050" max="2050" width="0.85546875" style="683" hidden="1" customWidth="1"/>
    <col min="2051" max="2066" width="2.5703125" style="683" hidden="1" customWidth="1"/>
    <col min="2067" max="2067" width="4" style="683" hidden="1" customWidth="1"/>
    <col min="2068" max="2071" width="2.5703125" style="683" hidden="1" customWidth="1"/>
    <col min="2072" max="2072" width="2.42578125" style="683" hidden="1" customWidth="1"/>
    <col min="2073" max="2076" width="2.5703125" style="683" hidden="1" customWidth="1"/>
    <col min="2077" max="2077" width="2.42578125" style="683" hidden="1" customWidth="1"/>
    <col min="2078" max="2081" width="2.5703125" style="683" hidden="1" customWidth="1"/>
    <col min="2082" max="2087" width="2.42578125" style="683" hidden="1" customWidth="1"/>
    <col min="2088" max="2088" width="1.5703125" style="683" hidden="1" customWidth="1"/>
    <col min="2089" max="2304" width="2.5703125" style="683" hidden="1"/>
    <col min="2305" max="2305" width="1.5703125" style="683" hidden="1" customWidth="1"/>
    <col min="2306" max="2306" width="0.85546875" style="683" hidden="1" customWidth="1"/>
    <col min="2307" max="2322" width="2.5703125" style="683" hidden="1" customWidth="1"/>
    <col min="2323" max="2323" width="4" style="683" hidden="1" customWidth="1"/>
    <col min="2324" max="2327" width="2.5703125" style="683" hidden="1" customWidth="1"/>
    <col min="2328" max="2328" width="2.42578125" style="683" hidden="1" customWidth="1"/>
    <col min="2329" max="2332" width="2.5703125" style="683" hidden="1" customWidth="1"/>
    <col min="2333" max="2333" width="2.42578125" style="683" hidden="1" customWidth="1"/>
    <col min="2334" max="2337" width="2.5703125" style="683" hidden="1" customWidth="1"/>
    <col min="2338" max="2343" width="2.42578125" style="683" hidden="1" customWidth="1"/>
    <col min="2344" max="2344" width="1.5703125" style="683" hidden="1" customWidth="1"/>
    <col min="2345" max="2560" width="2.5703125" style="683" hidden="1"/>
    <col min="2561" max="2561" width="1.5703125" style="683" hidden="1" customWidth="1"/>
    <col min="2562" max="2562" width="0.85546875" style="683" hidden="1" customWidth="1"/>
    <col min="2563" max="2578" width="2.5703125" style="683" hidden="1" customWidth="1"/>
    <col min="2579" max="2579" width="4" style="683" hidden="1" customWidth="1"/>
    <col min="2580" max="2583" width="2.5703125" style="683" hidden="1" customWidth="1"/>
    <col min="2584" max="2584" width="2.42578125" style="683" hidden="1" customWidth="1"/>
    <col min="2585" max="2588" width="2.5703125" style="683" hidden="1" customWidth="1"/>
    <col min="2589" max="2589" width="2.42578125" style="683" hidden="1" customWidth="1"/>
    <col min="2590" max="2593" width="2.5703125" style="683" hidden="1" customWidth="1"/>
    <col min="2594" max="2599" width="2.42578125" style="683" hidden="1" customWidth="1"/>
    <col min="2600" max="2600" width="1.5703125" style="683" hidden="1" customWidth="1"/>
    <col min="2601" max="2816" width="2.5703125" style="683" hidden="1"/>
    <col min="2817" max="2817" width="1.5703125" style="683" hidden="1" customWidth="1"/>
    <col min="2818" max="2818" width="0.85546875" style="683" hidden="1" customWidth="1"/>
    <col min="2819" max="2834" width="2.5703125" style="683" hidden="1" customWidth="1"/>
    <col min="2835" max="2835" width="4" style="683" hidden="1" customWidth="1"/>
    <col min="2836" max="2839" width="2.5703125" style="683" hidden="1" customWidth="1"/>
    <col min="2840" max="2840" width="2.42578125" style="683" hidden="1" customWidth="1"/>
    <col min="2841" max="2844" width="2.5703125" style="683" hidden="1" customWidth="1"/>
    <col min="2845" max="2845" width="2.42578125" style="683" hidden="1" customWidth="1"/>
    <col min="2846" max="2849" width="2.5703125" style="683" hidden="1" customWidth="1"/>
    <col min="2850" max="2855" width="2.42578125" style="683" hidden="1" customWidth="1"/>
    <col min="2856" max="2856" width="1.5703125" style="683" hidden="1" customWidth="1"/>
    <col min="2857" max="3072" width="2.5703125" style="683" hidden="1"/>
    <col min="3073" max="3073" width="1.5703125" style="683" hidden="1" customWidth="1"/>
    <col min="3074" max="3074" width="0.85546875" style="683" hidden="1" customWidth="1"/>
    <col min="3075" max="3090" width="2.5703125" style="683" hidden="1" customWidth="1"/>
    <col min="3091" max="3091" width="4" style="683" hidden="1" customWidth="1"/>
    <col min="3092" max="3095" width="2.5703125" style="683" hidden="1" customWidth="1"/>
    <col min="3096" max="3096" width="2.42578125" style="683" hidden="1" customWidth="1"/>
    <col min="3097" max="3100" width="2.5703125" style="683" hidden="1" customWidth="1"/>
    <col min="3101" max="3101" width="2.42578125" style="683" hidden="1" customWidth="1"/>
    <col min="3102" max="3105" width="2.5703125" style="683" hidden="1" customWidth="1"/>
    <col min="3106" max="3111" width="2.42578125" style="683" hidden="1" customWidth="1"/>
    <col min="3112" max="3112" width="1.5703125" style="683" hidden="1" customWidth="1"/>
    <col min="3113" max="3328" width="2.5703125" style="683" hidden="1"/>
    <col min="3329" max="3329" width="1.5703125" style="683" hidden="1" customWidth="1"/>
    <col min="3330" max="3330" width="0.85546875" style="683" hidden="1" customWidth="1"/>
    <col min="3331" max="3346" width="2.5703125" style="683" hidden="1" customWidth="1"/>
    <col min="3347" max="3347" width="4" style="683" hidden="1" customWidth="1"/>
    <col min="3348" max="3351" width="2.5703125" style="683" hidden="1" customWidth="1"/>
    <col min="3352" max="3352" width="2.42578125" style="683" hidden="1" customWidth="1"/>
    <col min="3353" max="3356" width="2.5703125" style="683" hidden="1" customWidth="1"/>
    <col min="3357" max="3357" width="2.42578125" style="683" hidden="1" customWidth="1"/>
    <col min="3358" max="3361" width="2.5703125" style="683" hidden="1" customWidth="1"/>
    <col min="3362" max="3367" width="2.42578125" style="683" hidden="1" customWidth="1"/>
    <col min="3368" max="3368" width="1.5703125" style="683" hidden="1" customWidth="1"/>
    <col min="3369" max="3584" width="2.5703125" style="683" hidden="1"/>
    <col min="3585" max="3585" width="1.5703125" style="683" hidden="1" customWidth="1"/>
    <col min="3586" max="3586" width="0.85546875" style="683" hidden="1" customWidth="1"/>
    <col min="3587" max="3602" width="2.5703125" style="683" hidden="1" customWidth="1"/>
    <col min="3603" max="3603" width="4" style="683" hidden="1" customWidth="1"/>
    <col min="3604" max="3607" width="2.5703125" style="683" hidden="1" customWidth="1"/>
    <col min="3608" max="3608" width="2.42578125" style="683" hidden="1" customWidth="1"/>
    <col min="3609" max="3612" width="2.5703125" style="683" hidden="1" customWidth="1"/>
    <col min="3613" max="3613" width="2.42578125" style="683" hidden="1" customWidth="1"/>
    <col min="3614" max="3617" width="2.5703125" style="683" hidden="1" customWidth="1"/>
    <col min="3618" max="3623" width="2.42578125" style="683" hidden="1" customWidth="1"/>
    <col min="3624" max="3624" width="1.5703125" style="683" hidden="1" customWidth="1"/>
    <col min="3625" max="3840" width="2.5703125" style="683" hidden="1"/>
    <col min="3841" max="3841" width="1.5703125" style="683" hidden="1" customWidth="1"/>
    <col min="3842" max="3842" width="0.85546875" style="683" hidden="1" customWidth="1"/>
    <col min="3843" max="3858" width="2.5703125" style="683" hidden="1" customWidth="1"/>
    <col min="3859" max="3859" width="4" style="683" hidden="1" customWidth="1"/>
    <col min="3860" max="3863" width="2.5703125" style="683" hidden="1" customWidth="1"/>
    <col min="3864" max="3864" width="2.42578125" style="683" hidden="1" customWidth="1"/>
    <col min="3865" max="3868" width="2.5703125" style="683" hidden="1" customWidth="1"/>
    <col min="3869" max="3869" width="2.42578125" style="683" hidden="1" customWidth="1"/>
    <col min="3870" max="3873" width="2.5703125" style="683" hidden="1" customWidth="1"/>
    <col min="3874" max="3879" width="2.42578125" style="683" hidden="1" customWidth="1"/>
    <col min="3880" max="3880" width="1.5703125" style="683" hidden="1" customWidth="1"/>
    <col min="3881" max="4096" width="2.5703125" style="683" hidden="1"/>
    <col min="4097" max="4097" width="1.5703125" style="683" hidden="1" customWidth="1"/>
    <col min="4098" max="4098" width="0.85546875" style="683" hidden="1" customWidth="1"/>
    <col min="4099" max="4114" width="2.5703125" style="683" hidden="1" customWidth="1"/>
    <col min="4115" max="4115" width="4" style="683" hidden="1" customWidth="1"/>
    <col min="4116" max="4119" width="2.5703125" style="683" hidden="1" customWidth="1"/>
    <col min="4120" max="4120" width="2.42578125" style="683" hidden="1" customWidth="1"/>
    <col min="4121" max="4124" width="2.5703125" style="683" hidden="1" customWidth="1"/>
    <col min="4125" max="4125" width="2.42578125" style="683" hidden="1" customWidth="1"/>
    <col min="4126" max="4129" width="2.5703125" style="683" hidden="1" customWidth="1"/>
    <col min="4130" max="4135" width="2.42578125" style="683" hidden="1" customWidth="1"/>
    <col min="4136" max="4136" width="1.5703125" style="683" hidden="1" customWidth="1"/>
    <col min="4137" max="4352" width="2.5703125" style="683" hidden="1"/>
    <col min="4353" max="4353" width="1.5703125" style="683" hidden="1" customWidth="1"/>
    <col min="4354" max="4354" width="0.85546875" style="683" hidden="1" customWidth="1"/>
    <col min="4355" max="4370" width="2.5703125" style="683" hidden="1" customWidth="1"/>
    <col min="4371" max="4371" width="4" style="683" hidden="1" customWidth="1"/>
    <col min="4372" max="4375" width="2.5703125" style="683" hidden="1" customWidth="1"/>
    <col min="4376" max="4376" width="2.42578125" style="683" hidden="1" customWidth="1"/>
    <col min="4377" max="4380" width="2.5703125" style="683" hidden="1" customWidth="1"/>
    <col min="4381" max="4381" width="2.42578125" style="683" hidden="1" customWidth="1"/>
    <col min="4382" max="4385" width="2.5703125" style="683" hidden="1" customWidth="1"/>
    <col min="4386" max="4391" width="2.42578125" style="683" hidden="1" customWidth="1"/>
    <col min="4392" max="4392" width="1.5703125" style="683" hidden="1" customWidth="1"/>
    <col min="4393" max="4608" width="2.5703125" style="683" hidden="1"/>
    <col min="4609" max="4609" width="1.5703125" style="683" hidden="1" customWidth="1"/>
    <col min="4610" max="4610" width="0.85546875" style="683" hidden="1" customWidth="1"/>
    <col min="4611" max="4626" width="2.5703125" style="683" hidden="1" customWidth="1"/>
    <col min="4627" max="4627" width="4" style="683" hidden="1" customWidth="1"/>
    <col min="4628" max="4631" width="2.5703125" style="683" hidden="1" customWidth="1"/>
    <col min="4632" max="4632" width="2.42578125" style="683" hidden="1" customWidth="1"/>
    <col min="4633" max="4636" width="2.5703125" style="683" hidden="1" customWidth="1"/>
    <col min="4637" max="4637" width="2.42578125" style="683" hidden="1" customWidth="1"/>
    <col min="4638" max="4641" width="2.5703125" style="683" hidden="1" customWidth="1"/>
    <col min="4642" max="4647" width="2.42578125" style="683" hidden="1" customWidth="1"/>
    <col min="4648" max="4648" width="1.5703125" style="683" hidden="1" customWidth="1"/>
    <col min="4649" max="4864" width="2.5703125" style="683" hidden="1"/>
    <col min="4865" max="4865" width="1.5703125" style="683" hidden="1" customWidth="1"/>
    <col min="4866" max="4866" width="0.85546875" style="683" hidden="1" customWidth="1"/>
    <col min="4867" max="4882" width="2.5703125" style="683" hidden="1" customWidth="1"/>
    <col min="4883" max="4883" width="4" style="683" hidden="1" customWidth="1"/>
    <col min="4884" max="4887" width="2.5703125" style="683" hidden="1" customWidth="1"/>
    <col min="4888" max="4888" width="2.42578125" style="683" hidden="1" customWidth="1"/>
    <col min="4889" max="4892" width="2.5703125" style="683" hidden="1" customWidth="1"/>
    <col min="4893" max="4893" width="2.42578125" style="683" hidden="1" customWidth="1"/>
    <col min="4894" max="4897" width="2.5703125" style="683" hidden="1" customWidth="1"/>
    <col min="4898" max="4903" width="2.42578125" style="683" hidden="1" customWidth="1"/>
    <col min="4904" max="4904" width="1.5703125" style="683" hidden="1" customWidth="1"/>
    <col min="4905" max="5120" width="2.5703125" style="683" hidden="1"/>
    <col min="5121" max="5121" width="1.5703125" style="683" hidden="1" customWidth="1"/>
    <col min="5122" max="5122" width="0.85546875" style="683" hidden="1" customWidth="1"/>
    <col min="5123" max="5138" width="2.5703125" style="683" hidden="1" customWidth="1"/>
    <col min="5139" max="5139" width="4" style="683" hidden="1" customWidth="1"/>
    <col min="5140" max="5143" width="2.5703125" style="683" hidden="1" customWidth="1"/>
    <col min="5144" max="5144" width="2.42578125" style="683" hidden="1" customWidth="1"/>
    <col min="5145" max="5148" width="2.5703125" style="683" hidden="1" customWidth="1"/>
    <col min="5149" max="5149" width="2.42578125" style="683" hidden="1" customWidth="1"/>
    <col min="5150" max="5153" width="2.5703125" style="683" hidden="1" customWidth="1"/>
    <col min="5154" max="5159" width="2.42578125" style="683" hidden="1" customWidth="1"/>
    <col min="5160" max="5160" width="1.5703125" style="683" hidden="1" customWidth="1"/>
    <col min="5161" max="5376" width="2.5703125" style="683" hidden="1"/>
    <col min="5377" max="5377" width="1.5703125" style="683" hidden="1" customWidth="1"/>
    <col min="5378" max="5378" width="0.85546875" style="683" hidden="1" customWidth="1"/>
    <col min="5379" max="5394" width="2.5703125" style="683" hidden="1" customWidth="1"/>
    <col min="5395" max="5395" width="4" style="683" hidden="1" customWidth="1"/>
    <col min="5396" max="5399" width="2.5703125" style="683" hidden="1" customWidth="1"/>
    <col min="5400" max="5400" width="2.42578125" style="683" hidden="1" customWidth="1"/>
    <col min="5401" max="5404" width="2.5703125" style="683" hidden="1" customWidth="1"/>
    <col min="5405" max="5405" width="2.42578125" style="683" hidden="1" customWidth="1"/>
    <col min="5406" max="5409" width="2.5703125" style="683" hidden="1" customWidth="1"/>
    <col min="5410" max="5415" width="2.42578125" style="683" hidden="1" customWidth="1"/>
    <col min="5416" max="5416" width="1.5703125" style="683" hidden="1" customWidth="1"/>
    <col min="5417" max="5632" width="2.5703125" style="683" hidden="1"/>
    <col min="5633" max="5633" width="1.5703125" style="683" hidden="1" customWidth="1"/>
    <col min="5634" max="5634" width="0.85546875" style="683" hidden="1" customWidth="1"/>
    <col min="5635" max="5650" width="2.5703125" style="683" hidden="1" customWidth="1"/>
    <col min="5651" max="5651" width="4" style="683" hidden="1" customWidth="1"/>
    <col min="5652" max="5655" width="2.5703125" style="683" hidden="1" customWidth="1"/>
    <col min="5656" max="5656" width="2.42578125" style="683" hidden="1" customWidth="1"/>
    <col min="5657" max="5660" width="2.5703125" style="683" hidden="1" customWidth="1"/>
    <col min="5661" max="5661" width="2.42578125" style="683" hidden="1" customWidth="1"/>
    <col min="5662" max="5665" width="2.5703125" style="683" hidden="1" customWidth="1"/>
    <col min="5666" max="5671" width="2.42578125" style="683" hidden="1" customWidth="1"/>
    <col min="5672" max="5672" width="1.5703125" style="683" hidden="1" customWidth="1"/>
    <col min="5673" max="5888" width="2.5703125" style="683" hidden="1"/>
    <col min="5889" max="5889" width="1.5703125" style="683" hidden="1" customWidth="1"/>
    <col min="5890" max="5890" width="0.85546875" style="683" hidden="1" customWidth="1"/>
    <col min="5891" max="5906" width="2.5703125" style="683" hidden="1" customWidth="1"/>
    <col min="5907" max="5907" width="4" style="683" hidden="1" customWidth="1"/>
    <col min="5908" max="5911" width="2.5703125" style="683" hidden="1" customWidth="1"/>
    <col min="5912" max="5912" width="2.42578125" style="683" hidden="1" customWidth="1"/>
    <col min="5913" max="5916" width="2.5703125" style="683" hidden="1" customWidth="1"/>
    <col min="5917" max="5917" width="2.42578125" style="683" hidden="1" customWidth="1"/>
    <col min="5918" max="5921" width="2.5703125" style="683" hidden="1" customWidth="1"/>
    <col min="5922" max="5927" width="2.42578125" style="683" hidden="1" customWidth="1"/>
    <col min="5928" max="5928" width="1.5703125" style="683" hidden="1" customWidth="1"/>
    <col min="5929" max="6144" width="2.5703125" style="683" hidden="1"/>
    <col min="6145" max="6145" width="1.5703125" style="683" hidden="1" customWidth="1"/>
    <col min="6146" max="6146" width="0.85546875" style="683" hidden="1" customWidth="1"/>
    <col min="6147" max="6162" width="2.5703125" style="683" hidden="1" customWidth="1"/>
    <col min="6163" max="6163" width="4" style="683" hidden="1" customWidth="1"/>
    <col min="6164" max="6167" width="2.5703125" style="683" hidden="1" customWidth="1"/>
    <col min="6168" max="6168" width="2.42578125" style="683" hidden="1" customWidth="1"/>
    <col min="6169" max="6172" width="2.5703125" style="683" hidden="1" customWidth="1"/>
    <col min="6173" max="6173" width="2.42578125" style="683" hidden="1" customWidth="1"/>
    <col min="6174" max="6177" width="2.5703125" style="683" hidden="1" customWidth="1"/>
    <col min="6178" max="6183" width="2.42578125" style="683" hidden="1" customWidth="1"/>
    <col min="6184" max="6184" width="1.5703125" style="683" hidden="1" customWidth="1"/>
    <col min="6185" max="6400" width="2.5703125" style="683" hidden="1"/>
    <col min="6401" max="6401" width="1.5703125" style="683" hidden="1" customWidth="1"/>
    <col min="6402" max="6402" width="0.85546875" style="683" hidden="1" customWidth="1"/>
    <col min="6403" max="6418" width="2.5703125" style="683" hidden="1" customWidth="1"/>
    <col min="6419" max="6419" width="4" style="683" hidden="1" customWidth="1"/>
    <col min="6420" max="6423" width="2.5703125" style="683" hidden="1" customWidth="1"/>
    <col min="6424" max="6424" width="2.42578125" style="683" hidden="1" customWidth="1"/>
    <col min="6425" max="6428" width="2.5703125" style="683" hidden="1" customWidth="1"/>
    <col min="6429" max="6429" width="2.42578125" style="683" hidden="1" customWidth="1"/>
    <col min="6430" max="6433" width="2.5703125" style="683" hidden="1" customWidth="1"/>
    <col min="6434" max="6439" width="2.42578125" style="683" hidden="1" customWidth="1"/>
    <col min="6440" max="6440" width="1.5703125" style="683" hidden="1" customWidth="1"/>
    <col min="6441" max="6656" width="2.5703125" style="683" hidden="1"/>
    <col min="6657" max="6657" width="1.5703125" style="683" hidden="1" customWidth="1"/>
    <col min="6658" max="6658" width="0.85546875" style="683" hidden="1" customWidth="1"/>
    <col min="6659" max="6674" width="2.5703125" style="683" hidden="1" customWidth="1"/>
    <col min="6675" max="6675" width="4" style="683" hidden="1" customWidth="1"/>
    <col min="6676" max="6679" width="2.5703125" style="683" hidden="1" customWidth="1"/>
    <col min="6680" max="6680" width="2.42578125" style="683" hidden="1" customWidth="1"/>
    <col min="6681" max="6684" width="2.5703125" style="683" hidden="1" customWidth="1"/>
    <col min="6685" max="6685" width="2.42578125" style="683" hidden="1" customWidth="1"/>
    <col min="6686" max="6689" width="2.5703125" style="683" hidden="1" customWidth="1"/>
    <col min="6690" max="6695" width="2.42578125" style="683" hidden="1" customWidth="1"/>
    <col min="6696" max="6696" width="1.5703125" style="683" hidden="1" customWidth="1"/>
    <col min="6697" max="6912" width="2.5703125" style="683" hidden="1"/>
    <col min="6913" max="6913" width="1.5703125" style="683" hidden="1" customWidth="1"/>
    <col min="6914" max="6914" width="0.85546875" style="683" hidden="1" customWidth="1"/>
    <col min="6915" max="6930" width="2.5703125" style="683" hidden="1" customWidth="1"/>
    <col min="6931" max="6931" width="4" style="683" hidden="1" customWidth="1"/>
    <col min="6932" max="6935" width="2.5703125" style="683" hidden="1" customWidth="1"/>
    <col min="6936" max="6936" width="2.42578125" style="683" hidden="1" customWidth="1"/>
    <col min="6937" max="6940" width="2.5703125" style="683" hidden="1" customWidth="1"/>
    <col min="6941" max="6941" width="2.42578125" style="683" hidden="1" customWidth="1"/>
    <col min="6942" max="6945" width="2.5703125" style="683" hidden="1" customWidth="1"/>
    <col min="6946" max="6951" width="2.42578125" style="683" hidden="1" customWidth="1"/>
    <col min="6952" max="6952" width="1.5703125" style="683" hidden="1" customWidth="1"/>
    <col min="6953" max="7168" width="2.5703125" style="683" hidden="1"/>
    <col min="7169" max="7169" width="1.5703125" style="683" hidden="1" customWidth="1"/>
    <col min="7170" max="7170" width="0.85546875" style="683" hidden="1" customWidth="1"/>
    <col min="7171" max="7186" width="2.5703125" style="683" hidden="1" customWidth="1"/>
    <col min="7187" max="7187" width="4" style="683" hidden="1" customWidth="1"/>
    <col min="7188" max="7191" width="2.5703125" style="683" hidden="1" customWidth="1"/>
    <col min="7192" max="7192" width="2.42578125" style="683" hidden="1" customWidth="1"/>
    <col min="7193" max="7196" width="2.5703125" style="683" hidden="1" customWidth="1"/>
    <col min="7197" max="7197" width="2.42578125" style="683" hidden="1" customWidth="1"/>
    <col min="7198" max="7201" width="2.5703125" style="683" hidden="1" customWidth="1"/>
    <col min="7202" max="7207" width="2.42578125" style="683" hidden="1" customWidth="1"/>
    <col min="7208" max="7208" width="1.5703125" style="683" hidden="1" customWidth="1"/>
    <col min="7209" max="7424" width="2.5703125" style="683" hidden="1"/>
    <col min="7425" max="7425" width="1.5703125" style="683" hidden="1" customWidth="1"/>
    <col min="7426" max="7426" width="0.85546875" style="683" hidden="1" customWidth="1"/>
    <col min="7427" max="7442" width="2.5703125" style="683" hidden="1" customWidth="1"/>
    <col min="7443" max="7443" width="4" style="683" hidden="1" customWidth="1"/>
    <col min="7444" max="7447" width="2.5703125" style="683" hidden="1" customWidth="1"/>
    <col min="7448" max="7448" width="2.42578125" style="683" hidden="1" customWidth="1"/>
    <col min="7449" max="7452" width="2.5703125" style="683" hidden="1" customWidth="1"/>
    <col min="7453" max="7453" width="2.42578125" style="683" hidden="1" customWidth="1"/>
    <col min="7454" max="7457" width="2.5703125" style="683" hidden="1" customWidth="1"/>
    <col min="7458" max="7463" width="2.42578125" style="683" hidden="1" customWidth="1"/>
    <col min="7464" max="7464" width="1.5703125" style="683" hidden="1" customWidth="1"/>
    <col min="7465" max="7680" width="2.5703125" style="683" hidden="1"/>
    <col min="7681" max="7681" width="1.5703125" style="683" hidden="1" customWidth="1"/>
    <col min="7682" max="7682" width="0.85546875" style="683" hidden="1" customWidth="1"/>
    <col min="7683" max="7698" width="2.5703125" style="683" hidden="1" customWidth="1"/>
    <col min="7699" max="7699" width="4" style="683" hidden="1" customWidth="1"/>
    <col min="7700" max="7703" width="2.5703125" style="683" hidden="1" customWidth="1"/>
    <col min="7704" max="7704" width="2.42578125" style="683" hidden="1" customWidth="1"/>
    <col min="7705" max="7708" width="2.5703125" style="683" hidden="1" customWidth="1"/>
    <col min="7709" max="7709" width="2.42578125" style="683" hidden="1" customWidth="1"/>
    <col min="7710" max="7713" width="2.5703125" style="683" hidden="1" customWidth="1"/>
    <col min="7714" max="7719" width="2.42578125" style="683" hidden="1" customWidth="1"/>
    <col min="7720" max="7720" width="1.5703125" style="683" hidden="1" customWidth="1"/>
    <col min="7721" max="7936" width="2.5703125" style="683" hidden="1"/>
    <col min="7937" max="7937" width="1.5703125" style="683" hidden="1" customWidth="1"/>
    <col min="7938" max="7938" width="0.85546875" style="683" hidden="1" customWidth="1"/>
    <col min="7939" max="7954" width="2.5703125" style="683" hidden="1" customWidth="1"/>
    <col min="7955" max="7955" width="4" style="683" hidden="1" customWidth="1"/>
    <col min="7956" max="7959" width="2.5703125" style="683" hidden="1" customWidth="1"/>
    <col min="7960" max="7960" width="2.42578125" style="683" hidden="1" customWidth="1"/>
    <col min="7961" max="7964" width="2.5703125" style="683" hidden="1" customWidth="1"/>
    <col min="7965" max="7965" width="2.42578125" style="683" hidden="1" customWidth="1"/>
    <col min="7966" max="7969" width="2.5703125" style="683" hidden="1" customWidth="1"/>
    <col min="7970" max="7975" width="2.42578125" style="683" hidden="1" customWidth="1"/>
    <col min="7976" max="7976" width="1.5703125" style="683" hidden="1" customWidth="1"/>
    <col min="7977" max="8192" width="2.5703125" style="683" hidden="1"/>
    <col min="8193" max="8193" width="1.5703125" style="683" hidden="1" customWidth="1"/>
    <col min="8194" max="8194" width="0.85546875" style="683" hidden="1" customWidth="1"/>
    <col min="8195" max="8210" width="2.5703125" style="683" hidden="1" customWidth="1"/>
    <col min="8211" max="8211" width="4" style="683" hidden="1" customWidth="1"/>
    <col min="8212" max="8215" width="2.5703125" style="683" hidden="1" customWidth="1"/>
    <col min="8216" max="8216" width="2.42578125" style="683" hidden="1" customWidth="1"/>
    <col min="8217" max="8220" width="2.5703125" style="683" hidden="1" customWidth="1"/>
    <col min="8221" max="8221" width="2.42578125" style="683" hidden="1" customWidth="1"/>
    <col min="8222" max="8225" width="2.5703125" style="683" hidden="1" customWidth="1"/>
    <col min="8226" max="8231" width="2.42578125" style="683" hidden="1" customWidth="1"/>
    <col min="8232" max="8232" width="1.5703125" style="683" hidden="1" customWidth="1"/>
    <col min="8233" max="8448" width="2.5703125" style="683" hidden="1"/>
    <col min="8449" max="8449" width="1.5703125" style="683" hidden="1" customWidth="1"/>
    <col min="8450" max="8450" width="0.85546875" style="683" hidden="1" customWidth="1"/>
    <col min="8451" max="8466" width="2.5703125" style="683" hidden="1" customWidth="1"/>
    <col min="8467" max="8467" width="4" style="683" hidden="1" customWidth="1"/>
    <col min="8468" max="8471" width="2.5703125" style="683" hidden="1" customWidth="1"/>
    <col min="8472" max="8472" width="2.42578125" style="683" hidden="1" customWidth="1"/>
    <col min="8473" max="8476" width="2.5703125" style="683" hidden="1" customWidth="1"/>
    <col min="8477" max="8477" width="2.42578125" style="683" hidden="1" customWidth="1"/>
    <col min="8478" max="8481" width="2.5703125" style="683" hidden="1" customWidth="1"/>
    <col min="8482" max="8487" width="2.42578125" style="683" hidden="1" customWidth="1"/>
    <col min="8488" max="8488" width="1.5703125" style="683" hidden="1" customWidth="1"/>
    <col min="8489" max="8704" width="2.5703125" style="683" hidden="1"/>
    <col min="8705" max="8705" width="1.5703125" style="683" hidden="1" customWidth="1"/>
    <col min="8706" max="8706" width="0.85546875" style="683" hidden="1" customWidth="1"/>
    <col min="8707" max="8722" width="2.5703125" style="683" hidden="1" customWidth="1"/>
    <col min="8723" max="8723" width="4" style="683" hidden="1" customWidth="1"/>
    <col min="8724" max="8727" width="2.5703125" style="683" hidden="1" customWidth="1"/>
    <col min="8728" max="8728" width="2.42578125" style="683" hidden="1" customWidth="1"/>
    <col min="8729" max="8732" width="2.5703125" style="683" hidden="1" customWidth="1"/>
    <col min="8733" max="8733" width="2.42578125" style="683" hidden="1" customWidth="1"/>
    <col min="8734" max="8737" width="2.5703125" style="683" hidden="1" customWidth="1"/>
    <col min="8738" max="8743" width="2.42578125" style="683" hidden="1" customWidth="1"/>
    <col min="8744" max="8744" width="1.5703125" style="683" hidden="1" customWidth="1"/>
    <col min="8745" max="8960" width="2.5703125" style="683" hidden="1"/>
    <col min="8961" max="8961" width="1.5703125" style="683" hidden="1" customWidth="1"/>
    <col min="8962" max="8962" width="0.85546875" style="683" hidden="1" customWidth="1"/>
    <col min="8963" max="8978" width="2.5703125" style="683" hidden="1" customWidth="1"/>
    <col min="8979" max="8979" width="4" style="683" hidden="1" customWidth="1"/>
    <col min="8980" max="8983" width="2.5703125" style="683" hidden="1" customWidth="1"/>
    <col min="8984" max="8984" width="2.42578125" style="683" hidden="1" customWidth="1"/>
    <col min="8985" max="8988" width="2.5703125" style="683" hidden="1" customWidth="1"/>
    <col min="8989" max="8989" width="2.42578125" style="683" hidden="1" customWidth="1"/>
    <col min="8990" max="8993" width="2.5703125" style="683" hidden="1" customWidth="1"/>
    <col min="8994" max="8999" width="2.42578125" style="683" hidden="1" customWidth="1"/>
    <col min="9000" max="9000" width="1.5703125" style="683" hidden="1" customWidth="1"/>
    <col min="9001" max="9216" width="2.5703125" style="683" hidden="1"/>
    <col min="9217" max="9217" width="1.5703125" style="683" hidden="1" customWidth="1"/>
    <col min="9218" max="9218" width="0.85546875" style="683" hidden="1" customWidth="1"/>
    <col min="9219" max="9234" width="2.5703125" style="683" hidden="1" customWidth="1"/>
    <col min="9235" max="9235" width="4" style="683" hidden="1" customWidth="1"/>
    <col min="9236" max="9239" width="2.5703125" style="683" hidden="1" customWidth="1"/>
    <col min="9240" max="9240" width="2.42578125" style="683" hidden="1" customWidth="1"/>
    <col min="9241" max="9244" width="2.5703125" style="683" hidden="1" customWidth="1"/>
    <col min="9245" max="9245" width="2.42578125" style="683" hidden="1" customWidth="1"/>
    <col min="9246" max="9249" width="2.5703125" style="683" hidden="1" customWidth="1"/>
    <col min="9250" max="9255" width="2.42578125" style="683" hidden="1" customWidth="1"/>
    <col min="9256" max="9256" width="1.5703125" style="683" hidden="1" customWidth="1"/>
    <col min="9257" max="9472" width="2.5703125" style="683" hidden="1"/>
    <col min="9473" max="9473" width="1.5703125" style="683" hidden="1" customWidth="1"/>
    <col min="9474" max="9474" width="0.85546875" style="683" hidden="1" customWidth="1"/>
    <col min="9475" max="9490" width="2.5703125" style="683" hidden="1" customWidth="1"/>
    <col min="9491" max="9491" width="4" style="683" hidden="1" customWidth="1"/>
    <col min="9492" max="9495" width="2.5703125" style="683" hidden="1" customWidth="1"/>
    <col min="9496" max="9496" width="2.42578125" style="683" hidden="1" customWidth="1"/>
    <col min="9497" max="9500" width="2.5703125" style="683" hidden="1" customWidth="1"/>
    <col min="9501" max="9501" width="2.42578125" style="683" hidden="1" customWidth="1"/>
    <col min="9502" max="9505" width="2.5703125" style="683" hidden="1" customWidth="1"/>
    <col min="9506" max="9511" width="2.42578125" style="683" hidden="1" customWidth="1"/>
    <col min="9512" max="9512" width="1.5703125" style="683" hidden="1" customWidth="1"/>
    <col min="9513" max="9728" width="2.5703125" style="683" hidden="1"/>
    <col min="9729" max="9729" width="1.5703125" style="683" hidden="1" customWidth="1"/>
    <col min="9730" max="9730" width="0.85546875" style="683" hidden="1" customWidth="1"/>
    <col min="9731" max="9746" width="2.5703125" style="683" hidden="1" customWidth="1"/>
    <col min="9747" max="9747" width="4" style="683" hidden="1" customWidth="1"/>
    <col min="9748" max="9751" width="2.5703125" style="683" hidden="1" customWidth="1"/>
    <col min="9752" max="9752" width="2.42578125" style="683" hidden="1" customWidth="1"/>
    <col min="9753" max="9756" width="2.5703125" style="683" hidden="1" customWidth="1"/>
    <col min="9757" max="9757" width="2.42578125" style="683" hidden="1" customWidth="1"/>
    <col min="9758" max="9761" width="2.5703125" style="683" hidden="1" customWidth="1"/>
    <col min="9762" max="9767" width="2.42578125" style="683" hidden="1" customWidth="1"/>
    <col min="9768" max="9768" width="1.5703125" style="683" hidden="1" customWidth="1"/>
    <col min="9769" max="9984" width="2.5703125" style="683" hidden="1"/>
    <col min="9985" max="9985" width="1.5703125" style="683" hidden="1" customWidth="1"/>
    <col min="9986" max="9986" width="0.85546875" style="683" hidden="1" customWidth="1"/>
    <col min="9987" max="10002" width="2.5703125" style="683" hidden="1" customWidth="1"/>
    <col min="10003" max="10003" width="4" style="683" hidden="1" customWidth="1"/>
    <col min="10004" max="10007" width="2.5703125" style="683" hidden="1" customWidth="1"/>
    <col min="10008" max="10008" width="2.42578125" style="683" hidden="1" customWidth="1"/>
    <col min="10009" max="10012" width="2.5703125" style="683" hidden="1" customWidth="1"/>
    <col min="10013" max="10013" width="2.42578125" style="683" hidden="1" customWidth="1"/>
    <col min="10014" max="10017" width="2.5703125" style="683" hidden="1" customWidth="1"/>
    <col min="10018" max="10023" width="2.42578125" style="683" hidden="1" customWidth="1"/>
    <col min="10024" max="10024" width="1.5703125" style="683" hidden="1" customWidth="1"/>
    <col min="10025" max="10240" width="2.5703125" style="683" hidden="1"/>
    <col min="10241" max="10241" width="1.5703125" style="683" hidden="1" customWidth="1"/>
    <col min="10242" max="10242" width="0.85546875" style="683" hidden="1" customWidth="1"/>
    <col min="10243" max="10258" width="2.5703125" style="683" hidden="1" customWidth="1"/>
    <col min="10259" max="10259" width="4" style="683" hidden="1" customWidth="1"/>
    <col min="10260" max="10263" width="2.5703125" style="683" hidden="1" customWidth="1"/>
    <col min="10264" max="10264" width="2.42578125" style="683" hidden="1" customWidth="1"/>
    <col min="10265" max="10268" width="2.5703125" style="683" hidden="1" customWidth="1"/>
    <col min="10269" max="10269" width="2.42578125" style="683" hidden="1" customWidth="1"/>
    <col min="10270" max="10273" width="2.5703125" style="683" hidden="1" customWidth="1"/>
    <col min="10274" max="10279" width="2.42578125" style="683" hidden="1" customWidth="1"/>
    <col min="10280" max="10280" width="1.5703125" style="683" hidden="1" customWidth="1"/>
    <col min="10281" max="10496" width="2.5703125" style="683" hidden="1"/>
    <col min="10497" max="10497" width="1.5703125" style="683" hidden="1" customWidth="1"/>
    <col min="10498" max="10498" width="0.85546875" style="683" hidden="1" customWidth="1"/>
    <col min="10499" max="10514" width="2.5703125" style="683" hidden="1" customWidth="1"/>
    <col min="10515" max="10515" width="4" style="683" hidden="1" customWidth="1"/>
    <col min="10516" max="10519" width="2.5703125" style="683" hidden="1" customWidth="1"/>
    <col min="10520" max="10520" width="2.42578125" style="683" hidden="1" customWidth="1"/>
    <col min="10521" max="10524" width="2.5703125" style="683" hidden="1" customWidth="1"/>
    <col min="10525" max="10525" width="2.42578125" style="683" hidden="1" customWidth="1"/>
    <col min="10526" max="10529" width="2.5703125" style="683" hidden="1" customWidth="1"/>
    <col min="10530" max="10535" width="2.42578125" style="683" hidden="1" customWidth="1"/>
    <col min="10536" max="10536" width="1.5703125" style="683" hidden="1" customWidth="1"/>
    <col min="10537" max="10752" width="2.5703125" style="683" hidden="1"/>
    <col min="10753" max="10753" width="1.5703125" style="683" hidden="1" customWidth="1"/>
    <col min="10754" max="10754" width="0.85546875" style="683" hidden="1" customWidth="1"/>
    <col min="10755" max="10770" width="2.5703125" style="683" hidden="1" customWidth="1"/>
    <col min="10771" max="10771" width="4" style="683" hidden="1" customWidth="1"/>
    <col min="10772" max="10775" width="2.5703125" style="683" hidden="1" customWidth="1"/>
    <col min="10776" max="10776" width="2.42578125" style="683" hidden="1" customWidth="1"/>
    <col min="10777" max="10780" width="2.5703125" style="683" hidden="1" customWidth="1"/>
    <col min="10781" max="10781" width="2.42578125" style="683" hidden="1" customWidth="1"/>
    <col min="10782" max="10785" width="2.5703125" style="683" hidden="1" customWidth="1"/>
    <col min="10786" max="10791" width="2.42578125" style="683" hidden="1" customWidth="1"/>
    <col min="10792" max="10792" width="1.5703125" style="683" hidden="1" customWidth="1"/>
    <col min="10793" max="11008" width="2.5703125" style="683" hidden="1"/>
    <col min="11009" max="11009" width="1.5703125" style="683" hidden="1" customWidth="1"/>
    <col min="11010" max="11010" width="0.85546875" style="683" hidden="1" customWidth="1"/>
    <col min="11011" max="11026" width="2.5703125" style="683" hidden="1" customWidth="1"/>
    <col min="11027" max="11027" width="4" style="683" hidden="1" customWidth="1"/>
    <col min="11028" max="11031" width="2.5703125" style="683" hidden="1" customWidth="1"/>
    <col min="11032" max="11032" width="2.42578125" style="683" hidden="1" customWidth="1"/>
    <col min="11033" max="11036" width="2.5703125" style="683" hidden="1" customWidth="1"/>
    <col min="11037" max="11037" width="2.42578125" style="683" hidden="1" customWidth="1"/>
    <col min="11038" max="11041" width="2.5703125" style="683" hidden="1" customWidth="1"/>
    <col min="11042" max="11047" width="2.42578125" style="683" hidden="1" customWidth="1"/>
    <col min="11048" max="11048" width="1.5703125" style="683" hidden="1" customWidth="1"/>
    <col min="11049" max="11264" width="2.5703125" style="683" hidden="1"/>
    <col min="11265" max="11265" width="1.5703125" style="683" hidden="1" customWidth="1"/>
    <col min="11266" max="11266" width="0.85546875" style="683" hidden="1" customWidth="1"/>
    <col min="11267" max="11282" width="2.5703125" style="683" hidden="1" customWidth="1"/>
    <col min="11283" max="11283" width="4" style="683" hidden="1" customWidth="1"/>
    <col min="11284" max="11287" width="2.5703125" style="683" hidden="1" customWidth="1"/>
    <col min="11288" max="11288" width="2.42578125" style="683" hidden="1" customWidth="1"/>
    <col min="11289" max="11292" width="2.5703125" style="683" hidden="1" customWidth="1"/>
    <col min="11293" max="11293" width="2.42578125" style="683" hidden="1" customWidth="1"/>
    <col min="11294" max="11297" width="2.5703125" style="683" hidden="1" customWidth="1"/>
    <col min="11298" max="11303" width="2.42578125" style="683" hidden="1" customWidth="1"/>
    <col min="11304" max="11304" width="1.5703125" style="683" hidden="1" customWidth="1"/>
    <col min="11305" max="11520" width="2.5703125" style="683" hidden="1"/>
    <col min="11521" max="11521" width="1.5703125" style="683" hidden="1" customWidth="1"/>
    <col min="11522" max="11522" width="0.85546875" style="683" hidden="1" customWidth="1"/>
    <col min="11523" max="11538" width="2.5703125" style="683" hidden="1" customWidth="1"/>
    <col min="11539" max="11539" width="4" style="683" hidden="1" customWidth="1"/>
    <col min="11540" max="11543" width="2.5703125" style="683" hidden="1" customWidth="1"/>
    <col min="11544" max="11544" width="2.42578125" style="683" hidden="1" customWidth="1"/>
    <col min="11545" max="11548" width="2.5703125" style="683" hidden="1" customWidth="1"/>
    <col min="11549" max="11549" width="2.42578125" style="683" hidden="1" customWidth="1"/>
    <col min="11550" max="11553" width="2.5703125" style="683" hidden="1" customWidth="1"/>
    <col min="11554" max="11559" width="2.42578125" style="683" hidden="1" customWidth="1"/>
    <col min="11560" max="11560" width="1.5703125" style="683" hidden="1" customWidth="1"/>
    <col min="11561" max="11776" width="2.5703125" style="683" hidden="1"/>
    <col min="11777" max="11777" width="1.5703125" style="683" hidden="1" customWidth="1"/>
    <col min="11778" max="11778" width="0.85546875" style="683" hidden="1" customWidth="1"/>
    <col min="11779" max="11794" width="2.5703125" style="683" hidden="1" customWidth="1"/>
    <col min="11795" max="11795" width="4" style="683" hidden="1" customWidth="1"/>
    <col min="11796" max="11799" width="2.5703125" style="683" hidden="1" customWidth="1"/>
    <col min="11800" max="11800" width="2.42578125" style="683" hidden="1" customWidth="1"/>
    <col min="11801" max="11804" width="2.5703125" style="683" hidden="1" customWidth="1"/>
    <col min="11805" max="11805" width="2.42578125" style="683" hidden="1" customWidth="1"/>
    <col min="11806" max="11809" width="2.5703125" style="683" hidden="1" customWidth="1"/>
    <col min="11810" max="11815" width="2.42578125" style="683" hidden="1" customWidth="1"/>
    <col min="11816" max="11816" width="1.5703125" style="683" hidden="1" customWidth="1"/>
    <col min="11817" max="12032" width="2.5703125" style="683" hidden="1"/>
    <col min="12033" max="12033" width="1.5703125" style="683" hidden="1" customWidth="1"/>
    <col min="12034" max="12034" width="0.85546875" style="683" hidden="1" customWidth="1"/>
    <col min="12035" max="12050" width="2.5703125" style="683" hidden="1" customWidth="1"/>
    <col min="12051" max="12051" width="4" style="683" hidden="1" customWidth="1"/>
    <col min="12052" max="12055" width="2.5703125" style="683" hidden="1" customWidth="1"/>
    <col min="12056" max="12056" width="2.42578125" style="683" hidden="1" customWidth="1"/>
    <col min="12057" max="12060" width="2.5703125" style="683" hidden="1" customWidth="1"/>
    <col min="12061" max="12061" width="2.42578125" style="683" hidden="1" customWidth="1"/>
    <col min="12062" max="12065" width="2.5703125" style="683" hidden="1" customWidth="1"/>
    <col min="12066" max="12071" width="2.42578125" style="683" hidden="1" customWidth="1"/>
    <col min="12072" max="12072" width="1.5703125" style="683" hidden="1" customWidth="1"/>
    <col min="12073" max="12288" width="2.5703125" style="683" hidden="1"/>
    <col min="12289" max="12289" width="1.5703125" style="683" hidden="1" customWidth="1"/>
    <col min="12290" max="12290" width="0.85546875" style="683" hidden="1" customWidth="1"/>
    <col min="12291" max="12306" width="2.5703125" style="683" hidden="1" customWidth="1"/>
    <col min="12307" max="12307" width="4" style="683" hidden="1" customWidth="1"/>
    <col min="12308" max="12311" width="2.5703125" style="683" hidden="1" customWidth="1"/>
    <col min="12312" max="12312" width="2.42578125" style="683" hidden="1" customWidth="1"/>
    <col min="12313" max="12316" width="2.5703125" style="683" hidden="1" customWidth="1"/>
    <col min="12317" max="12317" width="2.42578125" style="683" hidden="1" customWidth="1"/>
    <col min="12318" max="12321" width="2.5703125" style="683" hidden="1" customWidth="1"/>
    <col min="12322" max="12327" width="2.42578125" style="683" hidden="1" customWidth="1"/>
    <col min="12328" max="12328" width="1.5703125" style="683" hidden="1" customWidth="1"/>
    <col min="12329" max="12544" width="2.5703125" style="683" hidden="1"/>
    <col min="12545" max="12545" width="1.5703125" style="683" hidden="1" customWidth="1"/>
    <col min="12546" max="12546" width="0.85546875" style="683" hidden="1" customWidth="1"/>
    <col min="12547" max="12562" width="2.5703125" style="683" hidden="1" customWidth="1"/>
    <col min="12563" max="12563" width="4" style="683" hidden="1" customWidth="1"/>
    <col min="12564" max="12567" width="2.5703125" style="683" hidden="1" customWidth="1"/>
    <col min="12568" max="12568" width="2.42578125" style="683" hidden="1" customWidth="1"/>
    <col min="12569" max="12572" width="2.5703125" style="683" hidden="1" customWidth="1"/>
    <col min="12573" max="12573" width="2.42578125" style="683" hidden="1" customWidth="1"/>
    <col min="12574" max="12577" width="2.5703125" style="683" hidden="1" customWidth="1"/>
    <col min="12578" max="12583" width="2.42578125" style="683" hidden="1" customWidth="1"/>
    <col min="12584" max="12584" width="1.5703125" style="683" hidden="1" customWidth="1"/>
    <col min="12585" max="12800" width="2.5703125" style="683" hidden="1"/>
    <col min="12801" max="12801" width="1.5703125" style="683" hidden="1" customWidth="1"/>
    <col min="12802" max="12802" width="0.85546875" style="683" hidden="1" customWidth="1"/>
    <col min="12803" max="12818" width="2.5703125" style="683" hidden="1" customWidth="1"/>
    <col min="12819" max="12819" width="4" style="683" hidden="1" customWidth="1"/>
    <col min="12820" max="12823" width="2.5703125" style="683" hidden="1" customWidth="1"/>
    <col min="12824" max="12824" width="2.42578125" style="683" hidden="1" customWidth="1"/>
    <col min="12825" max="12828" width="2.5703125" style="683" hidden="1" customWidth="1"/>
    <col min="12829" max="12829" width="2.42578125" style="683" hidden="1" customWidth="1"/>
    <col min="12830" max="12833" width="2.5703125" style="683" hidden="1" customWidth="1"/>
    <col min="12834" max="12839" width="2.42578125" style="683" hidden="1" customWidth="1"/>
    <col min="12840" max="12840" width="1.5703125" style="683" hidden="1" customWidth="1"/>
    <col min="12841" max="13056" width="2.5703125" style="683" hidden="1"/>
    <col min="13057" max="13057" width="1.5703125" style="683" hidden="1" customWidth="1"/>
    <col min="13058" max="13058" width="0.85546875" style="683" hidden="1" customWidth="1"/>
    <col min="13059" max="13074" width="2.5703125" style="683" hidden="1" customWidth="1"/>
    <col min="13075" max="13075" width="4" style="683" hidden="1" customWidth="1"/>
    <col min="13076" max="13079" width="2.5703125" style="683" hidden="1" customWidth="1"/>
    <col min="13080" max="13080" width="2.42578125" style="683" hidden="1" customWidth="1"/>
    <col min="13081" max="13084" width="2.5703125" style="683" hidden="1" customWidth="1"/>
    <col min="13085" max="13085" width="2.42578125" style="683" hidden="1" customWidth="1"/>
    <col min="13086" max="13089" width="2.5703125" style="683" hidden="1" customWidth="1"/>
    <col min="13090" max="13095" width="2.42578125" style="683" hidden="1" customWidth="1"/>
    <col min="13096" max="13096" width="1.5703125" style="683" hidden="1" customWidth="1"/>
    <col min="13097" max="13312" width="2.5703125" style="683" hidden="1"/>
    <col min="13313" max="13313" width="1.5703125" style="683" hidden="1" customWidth="1"/>
    <col min="13314" max="13314" width="0.85546875" style="683" hidden="1" customWidth="1"/>
    <col min="13315" max="13330" width="2.5703125" style="683" hidden="1" customWidth="1"/>
    <col min="13331" max="13331" width="4" style="683" hidden="1" customWidth="1"/>
    <col min="13332" max="13335" width="2.5703125" style="683" hidden="1" customWidth="1"/>
    <col min="13336" max="13336" width="2.42578125" style="683" hidden="1" customWidth="1"/>
    <col min="13337" max="13340" width="2.5703125" style="683" hidden="1" customWidth="1"/>
    <col min="13341" max="13341" width="2.42578125" style="683" hidden="1" customWidth="1"/>
    <col min="13342" max="13345" width="2.5703125" style="683" hidden="1" customWidth="1"/>
    <col min="13346" max="13351" width="2.42578125" style="683" hidden="1" customWidth="1"/>
    <col min="13352" max="13352" width="1.5703125" style="683" hidden="1" customWidth="1"/>
    <col min="13353" max="13568" width="2.5703125" style="683" hidden="1"/>
    <col min="13569" max="13569" width="1.5703125" style="683" hidden="1" customWidth="1"/>
    <col min="13570" max="13570" width="0.85546875" style="683" hidden="1" customWidth="1"/>
    <col min="13571" max="13586" width="2.5703125" style="683" hidden="1" customWidth="1"/>
    <col min="13587" max="13587" width="4" style="683" hidden="1" customWidth="1"/>
    <col min="13588" max="13591" width="2.5703125" style="683" hidden="1" customWidth="1"/>
    <col min="13592" max="13592" width="2.42578125" style="683" hidden="1" customWidth="1"/>
    <col min="13593" max="13596" width="2.5703125" style="683" hidden="1" customWidth="1"/>
    <col min="13597" max="13597" width="2.42578125" style="683" hidden="1" customWidth="1"/>
    <col min="13598" max="13601" width="2.5703125" style="683" hidden="1" customWidth="1"/>
    <col min="13602" max="13607" width="2.42578125" style="683" hidden="1" customWidth="1"/>
    <col min="13608" max="13608" width="1.5703125" style="683" hidden="1" customWidth="1"/>
    <col min="13609" max="13824" width="2.5703125" style="683" hidden="1"/>
    <col min="13825" max="13825" width="1.5703125" style="683" hidden="1" customWidth="1"/>
    <col min="13826" max="13826" width="0.85546875" style="683" hidden="1" customWidth="1"/>
    <col min="13827" max="13842" width="2.5703125" style="683" hidden="1" customWidth="1"/>
    <col min="13843" max="13843" width="4" style="683" hidden="1" customWidth="1"/>
    <col min="13844" max="13847" width="2.5703125" style="683" hidden="1" customWidth="1"/>
    <col min="13848" max="13848" width="2.42578125" style="683" hidden="1" customWidth="1"/>
    <col min="13849" max="13852" width="2.5703125" style="683" hidden="1" customWidth="1"/>
    <col min="13853" max="13853" width="2.42578125" style="683" hidden="1" customWidth="1"/>
    <col min="13854" max="13857" width="2.5703125" style="683" hidden="1" customWidth="1"/>
    <col min="13858" max="13863" width="2.42578125" style="683" hidden="1" customWidth="1"/>
    <col min="13864" max="13864" width="1.5703125" style="683" hidden="1" customWidth="1"/>
    <col min="13865" max="14080" width="2.5703125" style="683" hidden="1"/>
    <col min="14081" max="14081" width="1.5703125" style="683" hidden="1" customWidth="1"/>
    <col min="14082" max="14082" width="0.85546875" style="683" hidden="1" customWidth="1"/>
    <col min="14083" max="14098" width="2.5703125" style="683" hidden="1" customWidth="1"/>
    <col min="14099" max="14099" width="4" style="683" hidden="1" customWidth="1"/>
    <col min="14100" max="14103" width="2.5703125" style="683" hidden="1" customWidth="1"/>
    <col min="14104" max="14104" width="2.42578125" style="683" hidden="1" customWidth="1"/>
    <col min="14105" max="14108" width="2.5703125" style="683" hidden="1" customWidth="1"/>
    <col min="14109" max="14109" width="2.42578125" style="683" hidden="1" customWidth="1"/>
    <col min="14110" max="14113" width="2.5703125" style="683" hidden="1" customWidth="1"/>
    <col min="14114" max="14119" width="2.42578125" style="683" hidden="1" customWidth="1"/>
    <col min="14120" max="14120" width="1.5703125" style="683" hidden="1" customWidth="1"/>
    <col min="14121" max="14336" width="2.5703125" style="683" hidden="1"/>
    <col min="14337" max="14337" width="1.5703125" style="683" hidden="1" customWidth="1"/>
    <col min="14338" max="14338" width="0.85546875" style="683" hidden="1" customWidth="1"/>
    <col min="14339" max="14354" width="2.5703125" style="683" hidden="1" customWidth="1"/>
    <col min="14355" max="14355" width="4" style="683" hidden="1" customWidth="1"/>
    <col min="14356" max="14359" width="2.5703125" style="683" hidden="1" customWidth="1"/>
    <col min="14360" max="14360" width="2.42578125" style="683" hidden="1" customWidth="1"/>
    <col min="14361" max="14364" width="2.5703125" style="683" hidden="1" customWidth="1"/>
    <col min="14365" max="14365" width="2.42578125" style="683" hidden="1" customWidth="1"/>
    <col min="14366" max="14369" width="2.5703125" style="683" hidden="1" customWidth="1"/>
    <col min="14370" max="14375" width="2.42578125" style="683" hidden="1" customWidth="1"/>
    <col min="14376" max="14376" width="1.5703125" style="683" hidden="1" customWidth="1"/>
    <col min="14377" max="14592" width="2.5703125" style="683" hidden="1"/>
    <col min="14593" max="14593" width="1.5703125" style="683" hidden="1" customWidth="1"/>
    <col min="14594" max="14594" width="0.85546875" style="683" hidden="1" customWidth="1"/>
    <col min="14595" max="14610" width="2.5703125" style="683" hidden="1" customWidth="1"/>
    <col min="14611" max="14611" width="4" style="683" hidden="1" customWidth="1"/>
    <col min="14612" max="14615" width="2.5703125" style="683" hidden="1" customWidth="1"/>
    <col min="14616" max="14616" width="2.42578125" style="683" hidden="1" customWidth="1"/>
    <col min="14617" max="14620" width="2.5703125" style="683" hidden="1" customWidth="1"/>
    <col min="14621" max="14621" width="2.42578125" style="683" hidden="1" customWidth="1"/>
    <col min="14622" max="14625" width="2.5703125" style="683" hidden="1" customWidth="1"/>
    <col min="14626" max="14631" width="2.42578125" style="683" hidden="1" customWidth="1"/>
    <col min="14632" max="14632" width="1.5703125" style="683" hidden="1" customWidth="1"/>
    <col min="14633" max="14848" width="2.5703125" style="683" hidden="1"/>
    <col min="14849" max="14849" width="1.5703125" style="683" hidden="1" customWidth="1"/>
    <col min="14850" max="14850" width="0.85546875" style="683" hidden="1" customWidth="1"/>
    <col min="14851" max="14866" width="2.5703125" style="683" hidden="1" customWidth="1"/>
    <col min="14867" max="14867" width="4" style="683" hidden="1" customWidth="1"/>
    <col min="14868" max="14871" width="2.5703125" style="683" hidden="1" customWidth="1"/>
    <col min="14872" max="14872" width="2.42578125" style="683" hidden="1" customWidth="1"/>
    <col min="14873" max="14876" width="2.5703125" style="683" hidden="1" customWidth="1"/>
    <col min="14877" max="14877" width="2.42578125" style="683" hidden="1" customWidth="1"/>
    <col min="14878" max="14881" width="2.5703125" style="683" hidden="1" customWidth="1"/>
    <col min="14882" max="14887" width="2.42578125" style="683" hidden="1" customWidth="1"/>
    <col min="14888" max="14888" width="1.5703125" style="683" hidden="1" customWidth="1"/>
    <col min="14889" max="15104" width="2.5703125" style="683" hidden="1"/>
    <col min="15105" max="15105" width="1.5703125" style="683" hidden="1" customWidth="1"/>
    <col min="15106" max="15106" width="0.85546875" style="683" hidden="1" customWidth="1"/>
    <col min="15107" max="15122" width="2.5703125" style="683" hidden="1" customWidth="1"/>
    <col min="15123" max="15123" width="4" style="683" hidden="1" customWidth="1"/>
    <col min="15124" max="15127" width="2.5703125" style="683" hidden="1" customWidth="1"/>
    <col min="15128" max="15128" width="2.42578125" style="683" hidden="1" customWidth="1"/>
    <col min="15129" max="15132" width="2.5703125" style="683" hidden="1" customWidth="1"/>
    <col min="15133" max="15133" width="2.42578125" style="683" hidden="1" customWidth="1"/>
    <col min="15134" max="15137" width="2.5703125" style="683" hidden="1" customWidth="1"/>
    <col min="15138" max="15143" width="2.42578125" style="683" hidden="1" customWidth="1"/>
    <col min="15144" max="15144" width="1.5703125" style="683" hidden="1" customWidth="1"/>
    <col min="15145" max="15360" width="2.5703125" style="683" hidden="1"/>
    <col min="15361" max="15361" width="1.5703125" style="683" hidden="1" customWidth="1"/>
    <col min="15362" max="15362" width="0.85546875" style="683" hidden="1" customWidth="1"/>
    <col min="15363" max="15378" width="2.5703125" style="683" hidden="1" customWidth="1"/>
    <col min="15379" max="15379" width="4" style="683" hidden="1" customWidth="1"/>
    <col min="15380" max="15383" width="2.5703125" style="683" hidden="1" customWidth="1"/>
    <col min="15384" max="15384" width="2.42578125" style="683" hidden="1" customWidth="1"/>
    <col min="15385" max="15388" width="2.5703125" style="683" hidden="1" customWidth="1"/>
    <col min="15389" max="15389" width="2.42578125" style="683" hidden="1" customWidth="1"/>
    <col min="15390" max="15393" width="2.5703125" style="683" hidden="1" customWidth="1"/>
    <col min="15394" max="15399" width="2.42578125" style="683" hidden="1" customWidth="1"/>
    <col min="15400" max="15400" width="1.5703125" style="683" hidden="1" customWidth="1"/>
    <col min="15401" max="15616" width="2.5703125" style="683" hidden="1"/>
    <col min="15617" max="15617" width="1.5703125" style="683" hidden="1" customWidth="1"/>
    <col min="15618" max="15618" width="0.85546875" style="683" hidden="1" customWidth="1"/>
    <col min="15619" max="15634" width="2.5703125" style="683" hidden="1" customWidth="1"/>
    <col min="15635" max="15635" width="4" style="683" hidden="1" customWidth="1"/>
    <col min="15636" max="15639" width="2.5703125" style="683" hidden="1" customWidth="1"/>
    <col min="15640" max="15640" width="2.42578125" style="683" hidden="1" customWidth="1"/>
    <col min="15641" max="15644" width="2.5703125" style="683" hidden="1" customWidth="1"/>
    <col min="15645" max="15645" width="2.42578125" style="683" hidden="1" customWidth="1"/>
    <col min="15646" max="15649" width="2.5703125" style="683" hidden="1" customWidth="1"/>
    <col min="15650" max="15655" width="2.42578125" style="683" hidden="1" customWidth="1"/>
    <col min="15656" max="15656" width="1.5703125" style="683" hidden="1" customWidth="1"/>
    <col min="15657" max="15872" width="2.5703125" style="683" hidden="1"/>
    <col min="15873" max="15873" width="1.5703125" style="683" hidden="1" customWidth="1"/>
    <col min="15874" max="15874" width="0.85546875" style="683" hidden="1" customWidth="1"/>
    <col min="15875" max="15890" width="2.5703125" style="683" hidden="1" customWidth="1"/>
    <col min="15891" max="15891" width="4" style="683" hidden="1" customWidth="1"/>
    <col min="15892" max="15895" width="2.5703125" style="683" hidden="1" customWidth="1"/>
    <col min="15896" max="15896" width="2.42578125" style="683" hidden="1" customWidth="1"/>
    <col min="15897" max="15900" width="2.5703125" style="683" hidden="1" customWidth="1"/>
    <col min="15901" max="15901" width="2.42578125" style="683" hidden="1" customWidth="1"/>
    <col min="15902" max="15905" width="2.5703125" style="683" hidden="1" customWidth="1"/>
    <col min="15906" max="15911" width="2.42578125" style="683" hidden="1" customWidth="1"/>
    <col min="15912" max="15912" width="1.5703125" style="683" hidden="1" customWidth="1"/>
    <col min="15913" max="16128" width="2.5703125" style="683" hidden="1"/>
    <col min="16129" max="16129" width="1.5703125" style="683" hidden="1" customWidth="1"/>
    <col min="16130" max="16130" width="0.85546875" style="683" hidden="1" customWidth="1"/>
    <col min="16131" max="16146" width="2.5703125" style="683" hidden="1" customWidth="1"/>
    <col min="16147" max="16147" width="4" style="683" hidden="1" customWidth="1"/>
    <col min="16148" max="16151" width="2.5703125" style="683" hidden="1" customWidth="1"/>
    <col min="16152" max="16152" width="2.42578125" style="683" hidden="1" customWidth="1"/>
    <col min="16153" max="16156" width="2.5703125" style="683" hidden="1" customWidth="1"/>
    <col min="16157" max="16157" width="2.42578125" style="683" hidden="1" customWidth="1"/>
    <col min="16158" max="16161" width="2.5703125" style="683" hidden="1" customWidth="1"/>
    <col min="16162" max="16167" width="2.42578125" style="683" hidden="1" customWidth="1"/>
    <col min="16168" max="16168" width="1.5703125" style="683" hidden="1" customWidth="1"/>
    <col min="16169" max="16384" width="2.5703125" style="683" hidden="1"/>
  </cols>
  <sheetData>
    <row r="1" spans="1:98" ht="12.75" customHeight="1">
      <c r="A1" s="1731" t="s">
        <v>1239</v>
      </c>
      <c r="B1" s="1731"/>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c r="CA1" s="682"/>
      <c r="CB1" s="682"/>
      <c r="CC1" s="682"/>
      <c r="CD1" s="682"/>
      <c r="CE1" s="682"/>
      <c r="CF1" s="682"/>
      <c r="CG1" s="682"/>
      <c r="CH1" s="682"/>
      <c r="CI1" s="682"/>
      <c r="CJ1" s="682"/>
      <c r="CK1" s="682"/>
      <c r="CL1" s="682"/>
      <c r="CM1" s="682"/>
      <c r="CN1" s="682"/>
      <c r="CO1" s="682"/>
      <c r="CP1" s="682"/>
      <c r="CQ1" s="682"/>
      <c r="CR1" s="682"/>
      <c r="CS1" s="682"/>
      <c r="CT1" s="682"/>
    </row>
    <row r="2" spans="1:98" ht="13.5" thickBot="1">
      <c r="A2" s="1732"/>
      <c r="B2" s="1732"/>
      <c r="C2" s="1732"/>
      <c r="D2" s="1732"/>
      <c r="E2" s="1732"/>
      <c r="F2" s="1732"/>
      <c r="G2" s="1732"/>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row>
    <row r="3" spans="1:98" s="684" customFormat="1" ht="13.5" thickTop="1">
      <c r="B3" s="685"/>
      <c r="C3" s="167"/>
      <c r="D3" s="167"/>
      <c r="E3" s="167"/>
      <c r="F3" s="167"/>
      <c r="G3" s="167"/>
      <c r="H3" s="167"/>
      <c r="I3" s="167"/>
      <c r="J3" s="686"/>
      <c r="K3" s="686"/>
      <c r="L3" s="686"/>
      <c r="M3" s="686"/>
      <c r="N3" s="686"/>
      <c r="O3" s="686"/>
      <c r="P3" s="686"/>
      <c r="Q3" s="686"/>
      <c r="R3" s="686"/>
      <c r="S3" s="686"/>
      <c r="T3" s="686"/>
      <c r="U3" s="686"/>
      <c r="V3" s="686"/>
      <c r="W3" s="686"/>
      <c r="X3" s="686"/>
      <c r="Y3" s="686"/>
      <c r="Z3" s="686"/>
      <c r="AA3" s="686"/>
      <c r="AB3" s="686"/>
      <c r="AC3" s="686"/>
      <c r="AD3" s="686"/>
      <c r="AE3" s="686"/>
      <c r="AF3" s="686"/>
      <c r="AG3" s="686"/>
      <c r="AH3" s="686"/>
      <c r="AI3" s="686"/>
      <c r="AJ3" s="686"/>
      <c r="AK3" s="686"/>
      <c r="AL3" s="686"/>
      <c r="AM3" s="686"/>
      <c r="AN3" s="686"/>
      <c r="AO3" s="687"/>
      <c r="AP3" s="687"/>
      <c r="AQ3" s="687"/>
      <c r="AR3" s="687"/>
      <c r="AS3" s="687"/>
      <c r="AT3" s="687"/>
      <c r="AU3" s="687"/>
      <c r="AV3" s="687"/>
      <c r="AW3" s="687"/>
      <c r="AX3" s="687"/>
      <c r="AY3" s="687"/>
      <c r="AZ3" s="687"/>
      <c r="BA3" s="687"/>
      <c r="BB3" s="687"/>
      <c r="BC3" s="687"/>
      <c r="BD3" s="687"/>
      <c r="BE3" s="687"/>
      <c r="BF3" s="687"/>
      <c r="BG3" s="687"/>
      <c r="BH3" s="687"/>
      <c r="BI3" s="687"/>
      <c r="BJ3" s="687"/>
      <c r="BK3" s="687"/>
      <c r="BL3" s="687"/>
      <c r="BM3" s="687"/>
      <c r="BN3" s="687"/>
      <c r="BO3" s="687"/>
      <c r="BP3" s="687"/>
      <c r="BQ3" s="687"/>
      <c r="BR3" s="687"/>
      <c r="BS3" s="687"/>
      <c r="BT3" s="687"/>
      <c r="BU3" s="687"/>
      <c r="BV3" s="687"/>
      <c r="BW3" s="687"/>
      <c r="BX3" s="687"/>
      <c r="BY3" s="687"/>
      <c r="BZ3" s="687"/>
      <c r="CA3" s="687"/>
      <c r="CB3" s="687"/>
      <c r="CC3" s="687"/>
      <c r="CD3" s="687"/>
      <c r="CE3" s="687"/>
      <c r="CF3" s="687"/>
      <c r="CG3" s="687"/>
      <c r="CH3" s="687"/>
      <c r="CI3" s="687"/>
      <c r="CJ3" s="687"/>
      <c r="CK3" s="687"/>
      <c r="CL3" s="687"/>
      <c r="CM3" s="687"/>
      <c r="CN3" s="687"/>
      <c r="CO3" s="687"/>
      <c r="CP3" s="687"/>
      <c r="CQ3" s="687"/>
      <c r="CR3" s="687"/>
      <c r="CS3" s="687"/>
      <c r="CT3" s="687"/>
    </row>
    <row r="4" spans="1:98" ht="12.75">
      <c r="A4" s="688" t="s">
        <v>130</v>
      </c>
      <c r="AO4" s="682"/>
      <c r="AP4" s="682"/>
      <c r="AQ4" s="682"/>
      <c r="AR4" s="682"/>
      <c r="AS4" s="682"/>
      <c r="AT4" s="682"/>
      <c r="AU4" s="682"/>
      <c r="AV4" s="682"/>
      <c r="AW4" s="682"/>
      <c r="AX4" s="682"/>
      <c r="AY4" s="682"/>
      <c r="AZ4" s="682"/>
      <c r="BA4" s="682"/>
      <c r="BB4" s="682"/>
      <c r="BC4" s="682"/>
      <c r="BD4" s="682"/>
      <c r="BE4" s="682"/>
      <c r="BF4" s="682"/>
      <c r="BG4" s="682"/>
      <c r="BH4" s="682"/>
      <c r="BI4" s="682"/>
      <c r="BJ4" s="682"/>
      <c r="BK4" s="682"/>
      <c r="BL4" s="682"/>
      <c r="BM4" s="682"/>
      <c r="BN4" s="682"/>
      <c r="BO4" s="682"/>
      <c r="BP4" s="682"/>
      <c r="BQ4" s="682"/>
      <c r="BR4" s="682"/>
      <c r="BS4" s="682"/>
      <c r="BT4" s="682"/>
      <c r="BU4" s="682"/>
      <c r="BV4" s="682"/>
      <c r="BW4" s="682"/>
      <c r="BX4" s="682"/>
      <c r="BY4" s="682"/>
      <c r="BZ4" s="682"/>
      <c r="CA4" s="682"/>
      <c r="CB4" s="682"/>
      <c r="CC4" s="682"/>
      <c r="CD4" s="682"/>
      <c r="CE4" s="682"/>
      <c r="CF4" s="682"/>
      <c r="CG4" s="682"/>
      <c r="CH4" s="682"/>
      <c r="CI4" s="682"/>
      <c r="CJ4" s="682"/>
      <c r="CK4" s="682"/>
      <c r="CL4" s="682"/>
      <c r="CM4" s="682"/>
      <c r="CN4" s="682"/>
      <c r="CO4" s="682"/>
      <c r="CP4" s="682"/>
      <c r="CQ4" s="682"/>
      <c r="CR4" s="682"/>
      <c r="CS4" s="682"/>
      <c r="CT4" s="682"/>
    </row>
    <row r="5" spans="1:98" ht="12.75">
      <c r="F5" s="688"/>
      <c r="AO5" s="682"/>
      <c r="AP5" s="682"/>
      <c r="AQ5" s="682"/>
      <c r="AR5" s="682"/>
      <c r="AS5" s="682"/>
      <c r="AT5" s="682"/>
      <c r="AU5" s="682"/>
      <c r="AV5" s="682"/>
      <c r="AW5" s="682"/>
      <c r="AX5" s="682"/>
      <c r="AY5" s="682"/>
      <c r="AZ5" s="682"/>
      <c r="BA5" s="682"/>
      <c r="BB5" s="682"/>
      <c r="BC5" s="682"/>
      <c r="BD5" s="682"/>
      <c r="BE5" s="682"/>
      <c r="BF5" s="682"/>
      <c r="BG5" s="682"/>
      <c r="BH5" s="682"/>
      <c r="BI5" s="682"/>
      <c r="BJ5" s="682"/>
      <c r="BK5" s="682"/>
      <c r="BL5" s="682"/>
      <c r="BM5" s="682"/>
      <c r="BN5" s="682"/>
      <c r="BO5" s="682"/>
      <c r="BP5" s="682"/>
      <c r="BQ5" s="682"/>
      <c r="BR5" s="682"/>
      <c r="BS5" s="682"/>
      <c r="BT5" s="682"/>
      <c r="BU5" s="682"/>
      <c r="BV5" s="682"/>
      <c r="BW5" s="682"/>
      <c r="BX5" s="682"/>
      <c r="BY5" s="682"/>
      <c r="BZ5" s="682"/>
      <c r="CA5" s="682"/>
      <c r="CB5" s="682"/>
      <c r="CC5" s="682"/>
      <c r="CD5" s="682"/>
      <c r="CE5" s="682"/>
      <c r="CF5" s="682"/>
      <c r="CG5" s="682"/>
      <c r="CH5" s="682"/>
      <c r="CI5" s="682"/>
      <c r="CJ5" s="682"/>
      <c r="CK5" s="682"/>
      <c r="CL5" s="682"/>
      <c r="CM5" s="682"/>
      <c r="CN5" s="682"/>
      <c r="CO5" s="682"/>
      <c r="CP5" s="682"/>
      <c r="CQ5" s="682"/>
      <c r="CR5" s="682"/>
      <c r="CS5" s="682"/>
      <c r="CT5" s="682"/>
    </row>
    <row r="6" spans="1:98" ht="12.75">
      <c r="A6" s="688" t="s">
        <v>345</v>
      </c>
      <c r="C6" s="688" t="s">
        <v>697</v>
      </c>
      <c r="AA6" s="684"/>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2"/>
      <c r="BS6" s="682"/>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row>
    <row r="7" spans="1:98" ht="13.15" customHeight="1">
      <c r="B7" s="689"/>
      <c r="C7" s="690"/>
      <c r="D7" s="690"/>
      <c r="E7" s="690"/>
      <c r="F7" s="690"/>
      <c r="G7" s="690"/>
      <c r="H7" s="690"/>
      <c r="I7" s="690"/>
      <c r="J7" s="690"/>
      <c r="K7" s="690"/>
      <c r="L7" s="690"/>
      <c r="M7" s="690"/>
      <c r="N7" s="690"/>
      <c r="O7" s="690"/>
      <c r="P7" s="690"/>
      <c r="Q7" s="690"/>
      <c r="R7" s="690"/>
      <c r="S7" s="690"/>
      <c r="T7" s="1712" t="str">
        <f xml:space="preserve"> IF(T25=100%,'Sources and Basis Breakdown'!G2,'Sources and Basis Breakdown'!F2)</f>
        <v>30% PVC for New Const/
Rehabilitation
DDA/QCT
SITES</v>
      </c>
      <c r="U7" s="1712"/>
      <c r="V7" s="1712"/>
      <c r="W7" s="1712"/>
      <c r="X7" s="1712"/>
      <c r="Y7" s="1712" t="str">
        <f>IF(T25=100%," ",'Sources and Basis Breakdown'!G2)</f>
        <v>30% PVC for New Const/
Rehabilitation
NON-DDA/
NON-QCT SITES</v>
      </c>
      <c r="Z7" s="1712"/>
      <c r="AA7" s="1712"/>
      <c r="AB7" s="1712"/>
      <c r="AC7" s="1712"/>
      <c r="AD7" s="1712" t="str">
        <f xml:space="preserve"> IF(T25=100%, 'Sources and Basis Breakdown'!J2,'Sources and Basis Breakdown'!I2)</f>
        <v>30% PVC for Acquisition
DDA/QCT
SITES</v>
      </c>
      <c r="AE7" s="1712"/>
      <c r="AF7" s="1712"/>
      <c r="AG7" s="1712"/>
      <c r="AH7" s="1712"/>
      <c r="AI7" s="1712" t="str">
        <f>IF(T25=100%," ",'Sources and Basis Breakdown'!J2)</f>
        <v>30% PVC for Acquisition
NON-DDA/
NON-QCT SITES</v>
      </c>
      <c r="AJ7" s="1712"/>
      <c r="AK7" s="1712"/>
      <c r="AL7" s="1712"/>
      <c r="AM7" s="1712"/>
      <c r="AO7" s="682"/>
      <c r="AP7" s="682"/>
      <c r="AQ7" s="682"/>
      <c r="AR7" s="682"/>
      <c r="AS7" s="682"/>
      <c r="AT7" s="682"/>
      <c r="AU7" s="682"/>
      <c r="AV7" s="682"/>
      <c r="AW7" s="682"/>
      <c r="AX7" s="682"/>
      <c r="AY7" s="682"/>
      <c r="AZ7" s="682"/>
      <c r="BA7" s="682"/>
      <c r="BB7" s="682"/>
      <c r="BC7" s="682"/>
      <c r="BD7" s="682"/>
      <c r="BE7" s="682"/>
      <c r="BF7" s="682"/>
      <c r="BG7" s="682"/>
      <c r="BH7" s="682"/>
      <c r="BI7" s="682"/>
      <c r="BJ7" s="682"/>
      <c r="BK7" s="682"/>
      <c r="BL7" s="682"/>
      <c r="BM7" s="682"/>
      <c r="BN7" s="682"/>
      <c r="BO7" s="682"/>
      <c r="BP7" s="682"/>
      <c r="BQ7" s="682"/>
      <c r="BR7" s="682"/>
      <c r="BS7" s="682"/>
      <c r="BT7" s="682"/>
      <c r="BU7" s="682"/>
      <c r="BV7" s="682"/>
      <c r="BW7" s="682"/>
      <c r="BX7" s="682"/>
      <c r="BY7" s="682"/>
      <c r="BZ7" s="682"/>
      <c r="CA7" s="682"/>
      <c r="CB7" s="682"/>
      <c r="CC7" s="682"/>
      <c r="CD7" s="682"/>
      <c r="CE7" s="682"/>
      <c r="CF7" s="682"/>
      <c r="CG7" s="682"/>
      <c r="CH7" s="682"/>
      <c r="CI7" s="682"/>
      <c r="CJ7" s="682"/>
      <c r="CK7" s="682"/>
      <c r="CL7" s="682"/>
      <c r="CM7" s="682"/>
      <c r="CN7" s="682"/>
      <c r="CO7" s="682"/>
      <c r="CP7" s="682"/>
      <c r="CQ7" s="682"/>
      <c r="CR7" s="682"/>
      <c r="CS7" s="682"/>
      <c r="CT7" s="682"/>
    </row>
    <row r="8" spans="1:98" ht="12.75" customHeight="1">
      <c r="B8" s="691"/>
      <c r="C8" s="692"/>
      <c r="D8" s="692"/>
      <c r="E8" s="692"/>
      <c r="F8" s="692"/>
      <c r="G8" s="692"/>
      <c r="H8" s="692"/>
      <c r="I8" s="692"/>
      <c r="J8" s="692"/>
      <c r="K8" s="692"/>
      <c r="L8" s="692"/>
      <c r="M8" s="692"/>
      <c r="N8" s="692"/>
      <c r="O8" s="692"/>
      <c r="P8" s="692"/>
      <c r="Q8" s="692"/>
      <c r="R8" s="692"/>
      <c r="S8" s="692"/>
      <c r="T8" s="1712"/>
      <c r="U8" s="1712"/>
      <c r="V8" s="1712"/>
      <c r="W8" s="1712"/>
      <c r="X8" s="1712"/>
      <c r="Y8" s="1712"/>
      <c r="Z8" s="1712"/>
      <c r="AA8" s="1712"/>
      <c r="AB8" s="1712"/>
      <c r="AC8" s="1712"/>
      <c r="AD8" s="1712"/>
      <c r="AE8" s="1712"/>
      <c r="AF8" s="1712"/>
      <c r="AG8" s="1712"/>
      <c r="AH8" s="1712"/>
      <c r="AI8" s="1712"/>
      <c r="AJ8" s="1712"/>
      <c r="AK8" s="1712"/>
      <c r="AL8" s="1712"/>
      <c r="AM8" s="1712"/>
      <c r="AO8" s="682"/>
      <c r="AP8" s="682"/>
      <c r="AQ8" s="682"/>
      <c r="AR8" s="682"/>
      <c r="AS8" s="682"/>
      <c r="AT8" s="682"/>
      <c r="AU8" s="682"/>
      <c r="AV8" s="682"/>
      <c r="AW8" s="682"/>
      <c r="AX8" s="682"/>
      <c r="AY8" s="682"/>
      <c r="AZ8" s="682"/>
      <c r="BA8" s="682"/>
      <c r="BB8" s="682"/>
      <c r="BC8" s="682"/>
      <c r="BD8" s="682"/>
      <c r="BE8" s="682"/>
      <c r="BF8" s="682"/>
      <c r="BG8" s="682"/>
      <c r="BH8" s="682"/>
      <c r="BI8" s="682"/>
      <c r="BJ8" s="682"/>
      <c r="BK8" s="682"/>
      <c r="BL8" s="682"/>
      <c r="BM8" s="682"/>
      <c r="BN8" s="682"/>
      <c r="BO8" s="682"/>
      <c r="BP8" s="682"/>
      <c r="BQ8" s="682"/>
      <c r="BR8" s="682"/>
      <c r="BS8" s="682"/>
      <c r="BT8" s="682"/>
      <c r="BU8" s="682"/>
      <c r="BV8" s="682"/>
      <c r="BW8" s="682"/>
      <c r="BX8" s="682"/>
      <c r="BY8" s="682"/>
      <c r="BZ8" s="682"/>
      <c r="CA8" s="682"/>
      <c r="CB8" s="682"/>
      <c r="CC8" s="682"/>
      <c r="CD8" s="682"/>
      <c r="CE8" s="682"/>
      <c r="CF8" s="682"/>
      <c r="CG8" s="682"/>
      <c r="CH8" s="682"/>
      <c r="CI8" s="682"/>
      <c r="CJ8" s="682"/>
      <c r="CK8" s="682"/>
      <c r="CL8" s="682"/>
      <c r="CM8" s="682"/>
      <c r="CN8" s="682"/>
      <c r="CO8" s="682"/>
      <c r="CP8" s="682"/>
      <c r="CQ8" s="682"/>
      <c r="CR8" s="682"/>
      <c r="CS8" s="682"/>
      <c r="CT8" s="682"/>
    </row>
    <row r="9" spans="1:98" ht="12.75">
      <c r="B9" s="691"/>
      <c r="C9" s="692"/>
      <c r="D9" s="692"/>
      <c r="E9" s="692"/>
      <c r="F9" s="692"/>
      <c r="G9" s="692"/>
      <c r="H9" s="692"/>
      <c r="I9" s="692"/>
      <c r="J9" s="692"/>
      <c r="K9" s="692"/>
      <c r="L9" s="692"/>
      <c r="M9" s="692"/>
      <c r="N9" s="692"/>
      <c r="O9" s="692"/>
      <c r="P9" s="692"/>
      <c r="Q9" s="692"/>
      <c r="R9" s="692"/>
      <c r="S9" s="692"/>
      <c r="T9" s="1712"/>
      <c r="U9" s="1712"/>
      <c r="V9" s="1712"/>
      <c r="W9" s="1712"/>
      <c r="X9" s="1712"/>
      <c r="Y9" s="1712"/>
      <c r="Z9" s="1712"/>
      <c r="AA9" s="1712"/>
      <c r="AB9" s="1712"/>
      <c r="AC9" s="1712"/>
      <c r="AD9" s="1712"/>
      <c r="AE9" s="1712"/>
      <c r="AF9" s="1712"/>
      <c r="AG9" s="1712"/>
      <c r="AH9" s="1712"/>
      <c r="AI9" s="1712"/>
      <c r="AJ9" s="1712"/>
      <c r="AK9" s="1712"/>
      <c r="AL9" s="1712"/>
      <c r="AM9" s="1712"/>
      <c r="AO9" s="682"/>
      <c r="AP9" s="682"/>
      <c r="AQ9" s="682"/>
      <c r="AR9" s="682"/>
      <c r="AS9" s="682"/>
      <c r="AT9" s="682"/>
      <c r="AU9" s="682"/>
      <c r="AV9" s="682"/>
      <c r="AW9" s="682"/>
      <c r="AX9" s="682"/>
      <c r="AY9" s="682"/>
      <c r="AZ9" s="682"/>
      <c r="BA9" s="682"/>
      <c r="BB9" s="682"/>
      <c r="BC9" s="682"/>
      <c r="BD9" s="682"/>
      <c r="BE9" s="682"/>
      <c r="BF9" s="682"/>
      <c r="BG9" s="682"/>
      <c r="BH9" s="682"/>
      <c r="BI9" s="682"/>
      <c r="BJ9" s="682"/>
      <c r="BK9" s="682"/>
      <c r="BL9" s="682"/>
      <c r="BM9" s="682"/>
      <c r="BN9" s="682"/>
      <c r="BO9" s="682"/>
      <c r="BP9" s="682"/>
      <c r="BQ9" s="682"/>
      <c r="BR9" s="682"/>
      <c r="BS9" s="682"/>
      <c r="BT9" s="682"/>
      <c r="BU9" s="682"/>
      <c r="BV9" s="682"/>
      <c r="BW9" s="682"/>
      <c r="BX9" s="682"/>
      <c r="BY9" s="682"/>
      <c r="BZ9" s="682"/>
      <c r="CA9" s="682"/>
      <c r="CB9" s="682"/>
      <c r="CC9" s="682"/>
      <c r="CD9" s="682"/>
      <c r="CE9" s="682"/>
      <c r="CF9" s="682"/>
      <c r="CG9" s="682"/>
      <c r="CH9" s="682"/>
      <c r="CI9" s="682"/>
      <c r="CJ9" s="682"/>
      <c r="CK9" s="682"/>
      <c r="CL9" s="682"/>
      <c r="CM9" s="682"/>
      <c r="CN9" s="682"/>
      <c r="CO9" s="682"/>
      <c r="CP9" s="682"/>
      <c r="CQ9" s="682"/>
      <c r="CR9" s="682"/>
      <c r="CS9" s="682"/>
      <c r="CT9" s="682"/>
    </row>
    <row r="10" spans="1:98" ht="41.45" customHeight="1">
      <c r="B10" s="693"/>
      <c r="C10" s="694"/>
      <c r="D10" s="694"/>
      <c r="E10" s="694"/>
      <c r="F10" s="694"/>
      <c r="G10" s="694"/>
      <c r="H10" s="694"/>
      <c r="I10" s="694"/>
      <c r="J10" s="694"/>
      <c r="K10" s="694"/>
      <c r="L10" s="694"/>
      <c r="M10" s="694"/>
      <c r="N10" s="694"/>
      <c r="O10" s="694"/>
      <c r="P10" s="694"/>
      <c r="Q10" s="694"/>
      <c r="R10" s="694"/>
      <c r="S10" s="694"/>
      <c r="T10" s="1712"/>
      <c r="U10" s="1712"/>
      <c r="V10" s="1712"/>
      <c r="W10" s="1712"/>
      <c r="X10" s="1712"/>
      <c r="Y10" s="1712"/>
      <c r="Z10" s="1712"/>
      <c r="AA10" s="1712"/>
      <c r="AB10" s="1712"/>
      <c r="AC10" s="1712"/>
      <c r="AD10" s="1712"/>
      <c r="AE10" s="1712"/>
      <c r="AF10" s="1712"/>
      <c r="AG10" s="1712"/>
      <c r="AH10" s="1712"/>
      <c r="AI10" s="1712"/>
      <c r="AJ10" s="1712"/>
      <c r="AK10" s="1712"/>
      <c r="AL10" s="1712"/>
      <c r="AM10" s="1712"/>
      <c r="AO10" s="682"/>
      <c r="AP10" s="682"/>
      <c r="AQ10" s="682"/>
      <c r="AR10" s="682"/>
      <c r="AS10" s="682"/>
      <c r="AT10" s="682"/>
      <c r="AU10" s="682"/>
      <c r="AV10" s="682"/>
      <c r="AW10" s="682"/>
      <c r="AX10" s="682"/>
      <c r="AY10" s="682"/>
      <c r="AZ10" s="682"/>
      <c r="BA10" s="682"/>
      <c r="BB10" s="682"/>
      <c r="BC10" s="682"/>
      <c r="BD10" s="682"/>
      <c r="BE10" s="682"/>
      <c r="BF10" s="682"/>
      <c r="BG10" s="682"/>
      <c r="BH10" s="682"/>
      <c r="BI10" s="682"/>
      <c r="BJ10" s="682"/>
      <c r="BK10" s="682"/>
      <c r="BL10" s="682"/>
      <c r="BM10" s="682"/>
      <c r="BN10" s="682"/>
      <c r="BO10" s="682"/>
      <c r="BP10" s="682"/>
      <c r="BQ10" s="682"/>
      <c r="BR10" s="682"/>
      <c r="BS10" s="682"/>
      <c r="BT10" s="682"/>
      <c r="BU10" s="682"/>
      <c r="BV10" s="682"/>
      <c r="BW10" s="682"/>
      <c r="BX10" s="682"/>
      <c r="BY10" s="682"/>
      <c r="BZ10" s="682"/>
      <c r="CA10" s="682"/>
      <c r="CB10" s="682"/>
      <c r="CC10" s="682"/>
      <c r="CD10" s="682"/>
      <c r="CE10" s="682"/>
      <c r="CF10" s="682"/>
      <c r="CG10" s="682"/>
      <c r="CH10" s="682"/>
      <c r="CI10" s="682"/>
      <c r="CJ10" s="682"/>
      <c r="CK10" s="682"/>
      <c r="CL10" s="682"/>
      <c r="CM10" s="682"/>
      <c r="CN10" s="682"/>
      <c r="CO10" s="682"/>
      <c r="CP10" s="682"/>
      <c r="CQ10" s="682"/>
      <c r="CR10" s="682"/>
      <c r="CS10" s="682"/>
      <c r="CT10" s="682"/>
    </row>
    <row r="11" spans="1:98" ht="12.75">
      <c r="B11" s="1632" t="s">
        <v>420</v>
      </c>
      <c r="C11" s="1633"/>
      <c r="D11" s="1633"/>
      <c r="E11" s="1633"/>
      <c r="F11" s="1633"/>
      <c r="G11" s="1633"/>
      <c r="H11" s="1633"/>
      <c r="I11" s="1633"/>
      <c r="J11" s="1633"/>
      <c r="K11" s="1633"/>
      <c r="L11" s="1633"/>
      <c r="M11" s="1633"/>
      <c r="N11" s="1633"/>
      <c r="O11" s="1633"/>
      <c r="P11" s="1633"/>
      <c r="Q11" s="1633"/>
      <c r="R11" s="1633"/>
      <c r="S11" s="1634"/>
      <c r="T11" s="1733">
        <f>IF(AND('Sources and Basis Breakdown'!E107&gt;0,Application!R183="No"),0,IF(AND('Sources and Basis Breakdown'!F107=0,Application!R183="Yes"),'Sources and Basis Breakdown'!E107,'Sources and Basis Breakdown'!F107))</f>
        <v>0</v>
      </c>
      <c r="U11" s="1734"/>
      <c r="V11" s="1734"/>
      <c r="W11" s="1734"/>
      <c r="X11" s="1734"/>
      <c r="Y11" s="1733">
        <f>IF(AND('Sources and Basis Breakdown'!E107&gt;0,Application!R183="No"),0,IF(AND('Sources and Basis Breakdown'!G107=0,Application!R183="Yes"),0,'Sources and Basis Breakdown'!G107))</f>
        <v>0</v>
      </c>
      <c r="Z11" s="1734"/>
      <c r="AA11" s="1734"/>
      <c r="AB11" s="1734"/>
      <c r="AC11" s="1734"/>
      <c r="AD11" s="1734">
        <f>IF(AND('Sources and Basis Breakdown'!E107&gt;0,Application!R183="No"),0,IF(AND('Sources and Basis Breakdown'!I107=0,Application!R183="Yes"),'Sources and Basis Breakdown'!H107,'Sources and Basis Breakdown'!I107))</f>
        <v>0</v>
      </c>
      <c r="AE11" s="1734"/>
      <c r="AF11" s="1734"/>
      <c r="AG11" s="1734"/>
      <c r="AH11" s="1734"/>
      <c r="AI11" s="1734">
        <f>IF(AND('Sources and Basis Breakdown'!E107&gt;0,Application!R183="No"),0,IF(AND('Sources and Basis Breakdown'!J107=0,Application!R183="Yes"),0,'Sources and Basis Breakdown'!J107))</f>
        <v>0</v>
      </c>
      <c r="AJ11" s="1734"/>
      <c r="AK11" s="1734"/>
      <c r="AL11" s="1734"/>
      <c r="AM11" s="1734"/>
      <c r="AO11" s="682"/>
      <c r="AP11" s="682"/>
      <c r="AQ11" s="682"/>
      <c r="AR11" s="682"/>
      <c r="AS11" s="682"/>
      <c r="AT11" s="682"/>
      <c r="AU11" s="682"/>
      <c r="AV11" s="682"/>
      <c r="AW11" s="682"/>
      <c r="AX11" s="682"/>
      <c r="AY11" s="682"/>
      <c r="AZ11" s="682"/>
      <c r="BA11" s="682"/>
      <c r="BB11" s="682"/>
      <c r="BC11" s="682"/>
      <c r="BD11" s="682"/>
      <c r="BE11" s="682"/>
      <c r="BF11" s="682"/>
      <c r="BG11" s="682"/>
      <c r="BH11" s="682"/>
      <c r="BI11" s="682"/>
      <c r="BJ11" s="682"/>
      <c r="BK11" s="682"/>
      <c r="BL11" s="682"/>
      <c r="BM11" s="682"/>
      <c r="BN11" s="682"/>
      <c r="BO11" s="682"/>
      <c r="BP11" s="682"/>
      <c r="BQ11" s="682"/>
      <c r="BR11" s="682"/>
      <c r="BS11" s="682"/>
      <c r="BT11" s="682"/>
      <c r="BU11" s="682"/>
      <c r="BV11" s="682"/>
      <c r="BW11" s="682"/>
      <c r="BX11" s="682"/>
      <c r="BY11" s="682"/>
      <c r="BZ11" s="682"/>
      <c r="CA11" s="682"/>
      <c r="CB11" s="682"/>
      <c r="CC11" s="682"/>
      <c r="CD11" s="682"/>
      <c r="CE11" s="682"/>
      <c r="CF11" s="682"/>
      <c r="CG11" s="682"/>
      <c r="CH11" s="682"/>
      <c r="CI11" s="682"/>
      <c r="CJ11" s="682"/>
      <c r="CK11" s="682"/>
      <c r="CL11" s="682"/>
      <c r="CM11" s="682"/>
      <c r="CN11" s="682"/>
      <c r="CO11" s="682"/>
      <c r="CP11" s="682"/>
      <c r="CQ11" s="682"/>
      <c r="CR11" s="682"/>
      <c r="CS11" s="682"/>
      <c r="CT11" s="682"/>
    </row>
    <row r="12" spans="1:98" ht="12.75">
      <c r="B12" s="1667" t="s">
        <v>573</v>
      </c>
      <c r="C12" s="1668"/>
      <c r="D12" s="1668"/>
      <c r="E12" s="1668"/>
      <c r="F12" s="1668"/>
      <c r="G12" s="1668"/>
      <c r="H12" s="1668"/>
      <c r="I12" s="1668"/>
      <c r="J12" s="1668"/>
      <c r="K12" s="1668"/>
      <c r="L12" s="1668"/>
      <c r="M12" s="1668"/>
      <c r="N12" s="1668"/>
      <c r="O12" s="1668"/>
      <c r="P12" s="1668"/>
      <c r="Q12" s="1668"/>
      <c r="R12" s="1668"/>
      <c r="S12" s="1669"/>
      <c r="T12" s="1726"/>
      <c r="U12" s="1727"/>
      <c r="V12" s="1727"/>
      <c r="W12" s="1727"/>
      <c r="X12" s="1728"/>
      <c r="Y12" s="1726"/>
      <c r="Z12" s="1727"/>
      <c r="AA12" s="1727"/>
      <c r="AB12" s="1727"/>
      <c r="AC12" s="1728"/>
      <c r="AD12" s="1726"/>
      <c r="AE12" s="1727"/>
      <c r="AF12" s="1727"/>
      <c r="AG12" s="1727"/>
      <c r="AH12" s="1728"/>
      <c r="AI12" s="1726"/>
      <c r="AJ12" s="1727"/>
      <c r="AK12" s="1727"/>
      <c r="AL12" s="1727"/>
      <c r="AM12" s="1728"/>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O12" s="682"/>
      <c r="BP12" s="682"/>
      <c r="BQ12" s="682"/>
      <c r="BR12" s="682"/>
      <c r="BS12" s="682"/>
      <c r="BT12" s="682"/>
      <c r="BU12" s="682"/>
      <c r="BV12" s="682"/>
      <c r="BW12" s="682"/>
      <c r="BX12" s="682"/>
      <c r="BY12" s="682"/>
      <c r="BZ12" s="682"/>
      <c r="CA12" s="682"/>
      <c r="CB12" s="682"/>
      <c r="CC12" s="682"/>
      <c r="CD12" s="682"/>
      <c r="CE12" s="682"/>
      <c r="CF12" s="682"/>
      <c r="CG12" s="682"/>
      <c r="CH12" s="682"/>
      <c r="CI12" s="682"/>
      <c r="CJ12" s="682"/>
      <c r="CK12" s="682"/>
      <c r="CL12" s="682"/>
      <c r="CM12" s="682"/>
      <c r="CN12" s="682"/>
      <c r="CO12" s="682"/>
      <c r="CP12" s="682"/>
      <c r="CQ12" s="682"/>
      <c r="CR12" s="682"/>
      <c r="CS12" s="682"/>
      <c r="CT12" s="682"/>
    </row>
    <row r="13" spans="1:98" ht="12.75">
      <c r="B13" s="740"/>
      <c r="C13" s="1660" t="s">
        <v>574</v>
      </c>
      <c r="D13" s="1660"/>
      <c r="E13" s="1660"/>
      <c r="F13" s="1660"/>
      <c r="G13" s="1660"/>
      <c r="H13" s="1660"/>
      <c r="I13" s="1660"/>
      <c r="J13" s="1660"/>
      <c r="K13" s="1660"/>
      <c r="L13" s="1660"/>
      <c r="M13" s="1660"/>
      <c r="N13" s="1660"/>
      <c r="O13" s="1660"/>
      <c r="P13" s="1660"/>
      <c r="Q13" s="1660"/>
      <c r="R13" s="1660"/>
      <c r="S13" s="1661"/>
      <c r="T13" s="1729"/>
      <c r="U13" s="1730"/>
      <c r="V13" s="1730"/>
      <c r="W13" s="1730"/>
      <c r="X13" s="1730"/>
      <c r="Y13" s="1729"/>
      <c r="Z13" s="1730"/>
      <c r="AA13" s="1730"/>
      <c r="AB13" s="1730"/>
      <c r="AC13" s="1730"/>
      <c r="AD13" s="1730"/>
      <c r="AE13" s="1730"/>
      <c r="AF13" s="1730"/>
      <c r="AG13" s="1730"/>
      <c r="AH13" s="1730"/>
      <c r="AI13" s="1730"/>
      <c r="AJ13" s="1730"/>
      <c r="AK13" s="1730"/>
      <c r="AL13" s="1730"/>
      <c r="AM13" s="1730"/>
      <c r="AO13" s="682"/>
      <c r="AP13" s="682"/>
      <c r="AQ13" s="682"/>
      <c r="AR13" s="682"/>
      <c r="AS13" s="682"/>
      <c r="AT13" s="682"/>
      <c r="AU13" s="682"/>
      <c r="AV13" s="682"/>
      <c r="AW13" s="682"/>
      <c r="AX13" s="682"/>
      <c r="AY13" s="682"/>
      <c r="AZ13" s="682"/>
      <c r="BA13" s="682"/>
      <c r="BB13" s="682"/>
      <c r="BC13" s="682"/>
      <c r="BD13" s="682"/>
      <c r="BE13" s="682"/>
      <c r="BF13" s="682"/>
      <c r="BG13" s="682"/>
      <c r="BH13" s="682"/>
      <c r="BI13" s="682"/>
      <c r="BJ13" s="682"/>
      <c r="BK13" s="682"/>
      <c r="BL13" s="682"/>
      <c r="BM13" s="682"/>
      <c r="BN13" s="682"/>
      <c r="BO13" s="682"/>
      <c r="BP13" s="682"/>
      <c r="BQ13" s="682"/>
      <c r="BR13" s="682"/>
      <c r="BS13" s="682"/>
      <c r="BT13" s="682"/>
      <c r="BU13" s="682"/>
      <c r="BV13" s="682"/>
      <c r="BW13" s="682"/>
      <c r="BX13" s="682"/>
      <c r="BY13" s="682"/>
      <c r="BZ13" s="682"/>
      <c r="CA13" s="682"/>
      <c r="CB13" s="682"/>
      <c r="CC13" s="682"/>
      <c r="CD13" s="682"/>
      <c r="CE13" s="682"/>
      <c r="CF13" s="682"/>
      <c r="CG13" s="682"/>
      <c r="CH13" s="682"/>
      <c r="CI13" s="682"/>
      <c r="CJ13" s="682"/>
      <c r="CK13" s="682"/>
      <c r="CL13" s="682"/>
      <c r="CM13" s="682"/>
      <c r="CN13" s="682"/>
      <c r="CO13" s="682"/>
      <c r="CP13" s="682"/>
      <c r="CQ13" s="682"/>
      <c r="CR13" s="682"/>
      <c r="CS13" s="682"/>
      <c r="CT13" s="682"/>
    </row>
    <row r="14" spans="1:98" ht="12.75">
      <c r="B14" s="740"/>
      <c r="C14" s="1660" t="s">
        <v>575</v>
      </c>
      <c r="D14" s="1660"/>
      <c r="E14" s="1660"/>
      <c r="F14" s="1660"/>
      <c r="G14" s="1660"/>
      <c r="H14" s="1660"/>
      <c r="I14" s="1660"/>
      <c r="J14" s="1660"/>
      <c r="K14" s="1660"/>
      <c r="L14" s="1660"/>
      <c r="M14" s="1660"/>
      <c r="N14" s="1660"/>
      <c r="O14" s="1660"/>
      <c r="P14" s="1660"/>
      <c r="Q14" s="1660"/>
      <c r="R14" s="1660"/>
      <c r="S14" s="1661"/>
      <c r="T14" s="1722"/>
      <c r="U14" s="1723"/>
      <c r="V14" s="1723"/>
      <c r="W14" s="1723"/>
      <c r="X14" s="1723"/>
      <c r="Y14" s="1722"/>
      <c r="Z14" s="1723"/>
      <c r="AA14" s="1723"/>
      <c r="AB14" s="1723"/>
      <c r="AC14" s="1723"/>
      <c r="AD14" s="1723"/>
      <c r="AE14" s="1723"/>
      <c r="AF14" s="1723"/>
      <c r="AG14" s="1723"/>
      <c r="AH14" s="1723"/>
      <c r="AI14" s="1723"/>
      <c r="AJ14" s="1723"/>
      <c r="AK14" s="1723"/>
      <c r="AL14" s="1723"/>
      <c r="AM14" s="1723"/>
      <c r="AO14" s="682"/>
      <c r="AP14" s="682"/>
      <c r="AQ14" s="682"/>
      <c r="AR14" s="682"/>
      <c r="AS14" s="682"/>
      <c r="AT14" s="682"/>
      <c r="AU14" s="682"/>
      <c r="AV14" s="682"/>
      <c r="AW14" s="682"/>
      <c r="AX14" s="682"/>
      <c r="AY14" s="682"/>
      <c r="AZ14" s="682"/>
      <c r="BA14" s="682"/>
      <c r="BB14" s="682"/>
      <c r="BC14" s="682"/>
      <c r="BD14" s="682"/>
      <c r="BE14" s="682"/>
      <c r="BF14" s="682"/>
      <c r="BG14" s="682"/>
      <c r="BH14" s="682"/>
      <c r="BI14" s="682"/>
      <c r="BJ14" s="682"/>
      <c r="BK14" s="682"/>
      <c r="BL14" s="682"/>
      <c r="BM14" s="682"/>
      <c r="BN14" s="682"/>
      <c r="BO14" s="682"/>
      <c r="BP14" s="682"/>
      <c r="BQ14" s="682"/>
      <c r="BR14" s="682"/>
      <c r="BS14" s="682"/>
      <c r="BT14" s="682"/>
      <c r="BU14" s="682"/>
      <c r="BV14" s="682"/>
      <c r="BW14" s="682"/>
      <c r="BX14" s="682"/>
      <c r="BY14" s="682"/>
      <c r="BZ14" s="682"/>
      <c r="CA14" s="682"/>
      <c r="CB14" s="682"/>
      <c r="CC14" s="682"/>
      <c r="CD14" s="682"/>
      <c r="CE14" s="682"/>
      <c r="CF14" s="682"/>
      <c r="CG14" s="682"/>
      <c r="CH14" s="682"/>
      <c r="CI14" s="682"/>
      <c r="CJ14" s="682"/>
      <c r="CK14" s="682"/>
      <c r="CL14" s="682"/>
      <c r="CM14" s="682"/>
      <c r="CN14" s="682"/>
      <c r="CO14" s="682"/>
      <c r="CP14" s="682"/>
      <c r="CQ14" s="682"/>
      <c r="CR14" s="682"/>
      <c r="CS14" s="682"/>
      <c r="CT14" s="682"/>
    </row>
    <row r="15" spans="1:98" ht="12.75">
      <c r="B15" s="740"/>
      <c r="C15" s="1660" t="s">
        <v>576</v>
      </c>
      <c r="D15" s="1660"/>
      <c r="E15" s="1660"/>
      <c r="F15" s="1660"/>
      <c r="G15" s="1660"/>
      <c r="H15" s="1660"/>
      <c r="I15" s="1660"/>
      <c r="J15" s="1660"/>
      <c r="K15" s="1660"/>
      <c r="L15" s="1660"/>
      <c r="M15" s="1660"/>
      <c r="N15" s="1660"/>
      <c r="O15" s="1660"/>
      <c r="P15" s="1660"/>
      <c r="Q15" s="1660"/>
      <c r="R15" s="1660"/>
      <c r="S15" s="1661"/>
      <c r="T15" s="1722"/>
      <c r="U15" s="1723"/>
      <c r="V15" s="1723"/>
      <c r="W15" s="1723"/>
      <c r="X15" s="1723"/>
      <c r="Y15" s="1722"/>
      <c r="Z15" s="1723"/>
      <c r="AA15" s="1723"/>
      <c r="AB15" s="1723"/>
      <c r="AC15" s="1723"/>
      <c r="AD15" s="1723"/>
      <c r="AE15" s="1723"/>
      <c r="AF15" s="1723"/>
      <c r="AG15" s="1723"/>
      <c r="AH15" s="1723"/>
      <c r="AI15" s="1723"/>
      <c r="AJ15" s="1723"/>
      <c r="AK15" s="1723"/>
      <c r="AL15" s="1723"/>
      <c r="AM15" s="1723"/>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row>
    <row r="16" spans="1:98" ht="12.75">
      <c r="B16" s="740"/>
      <c r="C16" s="1660" t="s">
        <v>921</v>
      </c>
      <c r="D16" s="1660"/>
      <c r="E16" s="1660"/>
      <c r="F16" s="1660"/>
      <c r="G16" s="1660"/>
      <c r="H16" s="1660"/>
      <c r="I16" s="1660"/>
      <c r="J16" s="1660"/>
      <c r="K16" s="1660"/>
      <c r="L16" s="1660"/>
      <c r="M16" s="1660"/>
      <c r="N16" s="1660"/>
      <c r="O16" s="1660"/>
      <c r="P16" s="1660"/>
      <c r="Q16" s="1660"/>
      <c r="R16" s="1660"/>
      <c r="S16" s="1661"/>
      <c r="T16" s="1722"/>
      <c r="U16" s="1723"/>
      <c r="V16" s="1723"/>
      <c r="W16" s="1723"/>
      <c r="X16" s="1723"/>
      <c r="Y16" s="1722"/>
      <c r="Z16" s="1723"/>
      <c r="AA16" s="1723"/>
      <c r="AB16" s="1723"/>
      <c r="AC16" s="1723"/>
      <c r="AD16" s="1723"/>
      <c r="AE16" s="1723"/>
      <c r="AF16" s="1723"/>
      <c r="AG16" s="1723"/>
      <c r="AH16" s="1723"/>
      <c r="AI16" s="1723"/>
      <c r="AJ16" s="1723"/>
      <c r="AK16" s="1723"/>
      <c r="AL16" s="1723"/>
      <c r="AM16" s="1723"/>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row>
    <row r="17" spans="1:98" ht="12.75">
      <c r="B17" s="740"/>
      <c r="C17" s="1660" t="s">
        <v>577</v>
      </c>
      <c r="D17" s="1660"/>
      <c r="E17" s="1660"/>
      <c r="F17" s="1660"/>
      <c r="G17" s="1660"/>
      <c r="H17" s="1660"/>
      <c r="I17" s="1660"/>
      <c r="J17" s="1660"/>
      <c r="K17" s="1660"/>
      <c r="L17" s="1660"/>
      <c r="M17" s="1660"/>
      <c r="N17" s="1660"/>
      <c r="O17" s="1660"/>
      <c r="P17" s="1660"/>
      <c r="Q17" s="1660"/>
      <c r="R17" s="1660"/>
      <c r="S17" s="1661"/>
      <c r="T17" s="1722"/>
      <c r="U17" s="1723"/>
      <c r="V17" s="1723"/>
      <c r="W17" s="1723"/>
      <c r="X17" s="1723"/>
      <c r="Y17" s="1722"/>
      <c r="Z17" s="1723"/>
      <c r="AA17" s="1723"/>
      <c r="AB17" s="1723"/>
      <c r="AC17" s="1723"/>
      <c r="AD17" s="1723"/>
      <c r="AE17" s="1723"/>
      <c r="AF17" s="1723"/>
      <c r="AG17" s="1723"/>
      <c r="AH17" s="1723"/>
      <c r="AI17" s="1723"/>
      <c r="AJ17" s="1723"/>
      <c r="AK17" s="1723"/>
      <c r="AL17" s="1723"/>
      <c r="AM17" s="1723"/>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row>
    <row r="18" spans="1:98" ht="12.75">
      <c r="B18" s="742"/>
      <c r="C18" s="1660" t="s">
        <v>1251</v>
      </c>
      <c r="D18" s="1660"/>
      <c r="E18" s="1660"/>
      <c r="F18" s="1660"/>
      <c r="G18" s="1660"/>
      <c r="H18" s="1660"/>
      <c r="I18" s="1660"/>
      <c r="J18" s="1660"/>
      <c r="K18" s="1660"/>
      <c r="L18" s="1660"/>
      <c r="M18" s="1660"/>
      <c r="N18" s="1660"/>
      <c r="O18" s="1660"/>
      <c r="P18" s="1660"/>
      <c r="Q18" s="1660"/>
      <c r="R18" s="1660"/>
      <c r="S18" s="1661"/>
      <c r="T18" s="1722"/>
      <c r="U18" s="1723"/>
      <c r="V18" s="1723"/>
      <c r="W18" s="1723"/>
      <c r="X18" s="1723"/>
      <c r="Y18" s="1722"/>
      <c r="Z18" s="1723"/>
      <c r="AA18" s="1723"/>
      <c r="AB18" s="1723"/>
      <c r="AC18" s="1723"/>
      <c r="AD18" s="1723"/>
      <c r="AE18" s="1723"/>
      <c r="AF18" s="1723"/>
      <c r="AG18" s="1723"/>
      <c r="AH18" s="1723"/>
      <c r="AI18" s="1723"/>
      <c r="AJ18" s="1723"/>
      <c r="AK18" s="1723"/>
      <c r="AL18" s="1723"/>
      <c r="AM18" s="1723"/>
      <c r="AO18" s="682"/>
      <c r="AP18" s="682"/>
      <c r="AQ18" s="682"/>
      <c r="AR18" s="682"/>
      <c r="AS18" s="682"/>
      <c r="AT18" s="682"/>
      <c r="AU18" s="682"/>
      <c r="AV18" s="682"/>
      <c r="AW18" s="682"/>
      <c r="AX18" s="682"/>
      <c r="AY18" s="682"/>
      <c r="AZ18" s="682"/>
      <c r="BA18" s="682"/>
      <c r="BB18" s="682"/>
      <c r="BC18" s="682"/>
      <c r="BD18" s="682"/>
      <c r="BE18" s="682"/>
      <c r="BF18" s="682"/>
      <c r="BG18" s="682"/>
      <c r="BH18" s="682"/>
      <c r="BI18" s="682"/>
      <c r="BJ18" s="682"/>
      <c r="BK18" s="682"/>
      <c r="BL18" s="682"/>
      <c r="BM18" s="682"/>
      <c r="BN18" s="682"/>
      <c r="BO18" s="682"/>
      <c r="BP18" s="682"/>
      <c r="BQ18" s="682"/>
      <c r="BR18" s="682"/>
      <c r="BS18" s="682"/>
      <c r="BT18" s="682"/>
      <c r="BU18" s="682"/>
      <c r="BV18" s="682"/>
      <c r="BW18" s="682"/>
      <c r="BX18" s="682"/>
      <c r="BY18" s="682"/>
      <c r="BZ18" s="682"/>
      <c r="CA18" s="682"/>
      <c r="CB18" s="682"/>
      <c r="CC18" s="682"/>
      <c r="CD18" s="682"/>
      <c r="CE18" s="682"/>
      <c r="CF18" s="682"/>
      <c r="CG18" s="682"/>
      <c r="CH18" s="682"/>
      <c r="CI18" s="682"/>
      <c r="CJ18" s="682"/>
      <c r="CK18" s="682"/>
      <c r="CL18" s="682"/>
      <c r="CM18" s="682"/>
      <c r="CN18" s="682"/>
      <c r="CO18" s="682"/>
      <c r="CP18" s="682"/>
      <c r="CQ18" s="682"/>
      <c r="CR18" s="682"/>
      <c r="CS18" s="682"/>
      <c r="CT18" s="682"/>
    </row>
    <row r="19" spans="1:98" ht="12.75">
      <c r="B19" s="741"/>
      <c r="C19" s="1658" t="s">
        <v>1111</v>
      </c>
      <c r="D19" s="1658"/>
      <c r="E19" s="1658"/>
      <c r="F19" s="1658"/>
      <c r="G19" s="1658"/>
      <c r="H19" s="1658"/>
      <c r="I19" s="1658"/>
      <c r="J19" s="1658"/>
      <c r="K19" s="1658"/>
      <c r="L19" s="1658"/>
      <c r="M19" s="1658"/>
      <c r="N19" s="1658"/>
      <c r="O19" s="1658"/>
      <c r="P19" s="1658"/>
      <c r="Q19" s="1658"/>
      <c r="R19" s="1658"/>
      <c r="S19" s="1659"/>
      <c r="T19" s="1722"/>
      <c r="U19" s="1723"/>
      <c r="V19" s="1723"/>
      <c r="W19" s="1723"/>
      <c r="X19" s="1723"/>
      <c r="Y19" s="1722"/>
      <c r="Z19" s="1723"/>
      <c r="AA19" s="1723"/>
      <c r="AB19" s="1723"/>
      <c r="AC19" s="1723"/>
      <c r="AD19" s="1723"/>
      <c r="AE19" s="1723"/>
      <c r="AF19" s="1723"/>
      <c r="AG19" s="1723"/>
      <c r="AH19" s="1723"/>
      <c r="AI19" s="1723"/>
      <c r="AJ19" s="1723"/>
      <c r="AK19" s="1723"/>
      <c r="AL19" s="1723"/>
      <c r="AM19" s="1723"/>
      <c r="AO19" s="682"/>
      <c r="AP19" s="682"/>
      <c r="AQ19" s="682"/>
      <c r="AR19" s="682"/>
      <c r="AS19" s="682"/>
      <c r="AT19" s="682"/>
      <c r="AU19" s="682"/>
      <c r="AV19" s="682"/>
      <c r="AW19" s="682"/>
      <c r="AX19" s="682"/>
      <c r="AY19" s="682"/>
      <c r="AZ19" s="682"/>
      <c r="BA19" s="682"/>
      <c r="BB19" s="682"/>
      <c r="BC19" s="682"/>
      <c r="BD19" s="682"/>
      <c r="BE19" s="682"/>
      <c r="BF19" s="682"/>
      <c r="BG19" s="682"/>
      <c r="BH19" s="682"/>
      <c r="BI19" s="682"/>
      <c r="BJ19" s="682"/>
      <c r="BK19" s="682"/>
      <c r="BL19" s="682"/>
      <c r="BM19" s="682"/>
      <c r="BN19" s="682"/>
      <c r="BO19" s="682"/>
      <c r="BP19" s="682"/>
      <c r="BQ19" s="682"/>
      <c r="BR19" s="682"/>
      <c r="BS19" s="682"/>
      <c r="BT19" s="682"/>
      <c r="BU19" s="682"/>
      <c r="BV19" s="682"/>
      <c r="BW19" s="682"/>
      <c r="BX19" s="682"/>
      <c r="BY19" s="682"/>
      <c r="BZ19" s="682"/>
      <c r="CA19" s="682"/>
      <c r="CB19" s="682"/>
      <c r="CC19" s="682"/>
      <c r="CD19" s="682"/>
      <c r="CE19" s="682"/>
      <c r="CF19" s="682"/>
      <c r="CG19" s="682"/>
      <c r="CH19" s="682"/>
      <c r="CI19" s="682"/>
      <c r="CJ19" s="682"/>
      <c r="CK19" s="682"/>
      <c r="CL19" s="682"/>
      <c r="CM19" s="682"/>
      <c r="CN19" s="682"/>
      <c r="CO19" s="682"/>
      <c r="CP19" s="682"/>
      <c r="CQ19" s="682"/>
      <c r="CR19" s="682"/>
      <c r="CS19" s="682"/>
      <c r="CT19" s="682"/>
    </row>
    <row r="20" spans="1:98" ht="12.75">
      <c r="B20" s="1632" t="s">
        <v>578</v>
      </c>
      <c r="C20" s="1633"/>
      <c r="D20" s="1633"/>
      <c r="E20" s="1633"/>
      <c r="F20" s="1633"/>
      <c r="G20" s="1633"/>
      <c r="H20" s="1633"/>
      <c r="I20" s="1633"/>
      <c r="J20" s="1633"/>
      <c r="K20" s="1633"/>
      <c r="L20" s="1633"/>
      <c r="M20" s="1633"/>
      <c r="N20" s="1633"/>
      <c r="O20" s="1633"/>
      <c r="P20" s="1633"/>
      <c r="Q20" s="1633"/>
      <c r="R20" s="1633"/>
      <c r="S20" s="1634"/>
      <c r="T20" s="1706">
        <f>SUM(T13:X19)</f>
        <v>0</v>
      </c>
      <c r="U20" s="1705"/>
      <c r="V20" s="1705"/>
      <c r="W20" s="1705"/>
      <c r="X20" s="1705"/>
      <c r="Y20" s="1706">
        <f>SUM(Y13:AC19)</f>
        <v>0</v>
      </c>
      <c r="Z20" s="1705"/>
      <c r="AA20" s="1705"/>
      <c r="AB20" s="1705"/>
      <c r="AC20" s="1705"/>
      <c r="AD20" s="1705">
        <f>SUM(AD13:AH19)</f>
        <v>0</v>
      </c>
      <c r="AE20" s="1705"/>
      <c r="AF20" s="1705"/>
      <c r="AG20" s="1705"/>
      <c r="AH20" s="1705"/>
      <c r="AI20" s="1705">
        <f>SUM(AI13:AM19)</f>
        <v>0</v>
      </c>
      <c r="AJ20" s="1705"/>
      <c r="AK20" s="1705"/>
      <c r="AL20" s="1705"/>
      <c r="AM20" s="1705"/>
      <c r="AO20" s="682"/>
      <c r="AP20" s="682"/>
      <c r="AQ20" s="682"/>
      <c r="AR20" s="682"/>
      <c r="AS20" s="682"/>
      <c r="AT20" s="682"/>
      <c r="AU20" s="682"/>
      <c r="AV20" s="682"/>
      <c r="AW20" s="682"/>
      <c r="AX20" s="682"/>
      <c r="AY20" s="682"/>
      <c r="AZ20" s="682"/>
      <c r="BA20" s="682"/>
      <c r="BB20" s="682"/>
      <c r="BC20" s="682"/>
      <c r="BD20" s="682"/>
      <c r="BE20" s="682"/>
      <c r="BF20" s="682"/>
      <c r="BG20" s="682"/>
      <c r="BH20" s="682"/>
      <c r="BI20" s="682"/>
      <c r="BJ20" s="682"/>
      <c r="BK20" s="682"/>
      <c r="BL20" s="682"/>
      <c r="BM20" s="682"/>
      <c r="BN20" s="682"/>
      <c r="BO20" s="682"/>
      <c r="BP20" s="682"/>
      <c r="BQ20" s="682"/>
      <c r="BR20" s="682"/>
      <c r="BS20" s="682"/>
      <c r="BT20" s="682"/>
      <c r="BU20" s="682"/>
      <c r="BV20" s="682"/>
      <c r="BW20" s="682"/>
      <c r="BX20" s="682"/>
      <c r="BY20" s="682"/>
      <c r="BZ20" s="682"/>
      <c r="CA20" s="682"/>
      <c r="CB20" s="682"/>
      <c r="CC20" s="682"/>
      <c r="CD20" s="682"/>
      <c r="CE20" s="682"/>
      <c r="CF20" s="682"/>
      <c r="CG20" s="682"/>
      <c r="CH20" s="682"/>
      <c r="CI20" s="682"/>
      <c r="CJ20" s="682"/>
      <c r="CK20" s="682"/>
      <c r="CL20" s="682"/>
      <c r="CM20" s="682"/>
      <c r="CN20" s="682"/>
      <c r="CO20" s="682"/>
      <c r="CP20" s="682"/>
      <c r="CQ20" s="682"/>
      <c r="CR20" s="682"/>
      <c r="CS20" s="682"/>
      <c r="CT20" s="682"/>
    </row>
    <row r="21" spans="1:98" ht="12.75">
      <c r="B21" s="1632" t="s">
        <v>579</v>
      </c>
      <c r="C21" s="1633"/>
      <c r="D21" s="1633"/>
      <c r="E21" s="1633"/>
      <c r="F21" s="1633"/>
      <c r="G21" s="1633"/>
      <c r="H21" s="1633"/>
      <c r="I21" s="1633"/>
      <c r="J21" s="1633"/>
      <c r="K21" s="1633"/>
      <c r="L21" s="1633"/>
      <c r="M21" s="1633"/>
      <c r="N21" s="1633"/>
      <c r="O21" s="1633"/>
      <c r="P21" s="1633"/>
      <c r="Q21" s="1633"/>
      <c r="R21" s="1633"/>
      <c r="S21" s="1634"/>
      <c r="T21" s="1722"/>
      <c r="U21" s="1723"/>
      <c r="V21" s="1723"/>
      <c r="W21" s="1723"/>
      <c r="X21" s="1723"/>
      <c r="Y21" s="1722"/>
      <c r="Z21" s="1723"/>
      <c r="AA21" s="1723"/>
      <c r="AB21" s="1723"/>
      <c r="AC21" s="1723"/>
      <c r="AD21" s="1723"/>
      <c r="AE21" s="1723"/>
      <c r="AF21" s="1723"/>
      <c r="AG21" s="1723"/>
      <c r="AH21" s="1723"/>
      <c r="AI21" s="1723"/>
      <c r="AJ21" s="1723"/>
      <c r="AK21" s="1723"/>
      <c r="AL21" s="1723"/>
      <c r="AM21" s="1723"/>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c r="CB21" s="682"/>
      <c r="CC21" s="682"/>
      <c r="CD21" s="682"/>
      <c r="CE21" s="682"/>
      <c r="CF21" s="682"/>
      <c r="CG21" s="682"/>
      <c r="CH21" s="682"/>
      <c r="CI21" s="682"/>
      <c r="CJ21" s="682"/>
      <c r="CK21" s="682"/>
      <c r="CL21" s="682"/>
      <c r="CM21" s="682"/>
      <c r="CN21" s="682"/>
      <c r="CO21" s="682"/>
      <c r="CP21" s="682"/>
      <c r="CQ21" s="682"/>
      <c r="CR21" s="682"/>
      <c r="CS21" s="682"/>
      <c r="CT21" s="682"/>
    </row>
    <row r="22" spans="1:98" ht="12.75">
      <c r="B22" s="1632" t="s">
        <v>580</v>
      </c>
      <c r="C22" s="1633"/>
      <c r="D22" s="1633"/>
      <c r="E22" s="1633"/>
      <c r="F22" s="1633"/>
      <c r="G22" s="1633"/>
      <c r="H22" s="1633"/>
      <c r="I22" s="1633"/>
      <c r="J22" s="1633"/>
      <c r="K22" s="1633"/>
      <c r="L22" s="1633"/>
      <c r="M22" s="1633"/>
      <c r="N22" s="1633"/>
      <c r="O22" s="1633"/>
      <c r="P22" s="1633"/>
      <c r="Q22" s="1633"/>
      <c r="R22" s="1633"/>
      <c r="S22" s="1634"/>
      <c r="T22" s="1740">
        <f>(T20+T21)*-1</f>
        <v>0</v>
      </c>
      <c r="U22" s="1741"/>
      <c r="V22" s="1741"/>
      <c r="W22" s="1741"/>
      <c r="X22" s="1741"/>
      <c r="Y22" s="1740">
        <f>(Y20+Y21)*-1</f>
        <v>0</v>
      </c>
      <c r="Z22" s="1741"/>
      <c r="AA22" s="1741"/>
      <c r="AB22" s="1741"/>
      <c r="AC22" s="1741"/>
      <c r="AD22" s="1740">
        <f>(AD20+AD21)*-1</f>
        <v>0</v>
      </c>
      <c r="AE22" s="1741"/>
      <c r="AF22" s="1741"/>
      <c r="AG22" s="1741"/>
      <c r="AH22" s="1741"/>
      <c r="AI22" s="1740">
        <f>(AI20+AI21)*-1</f>
        <v>0</v>
      </c>
      <c r="AJ22" s="1741"/>
      <c r="AK22" s="1741"/>
      <c r="AL22" s="1741"/>
      <c r="AM22" s="1741"/>
      <c r="AO22" s="682"/>
      <c r="AP22" s="682"/>
      <c r="AQ22" s="682"/>
      <c r="AR22" s="682"/>
      <c r="AS22" s="682"/>
      <c r="AT22" s="682"/>
      <c r="AU22" s="682"/>
      <c r="AV22" s="682"/>
      <c r="AW22" s="682"/>
      <c r="AX22" s="682"/>
      <c r="AY22" s="682"/>
      <c r="AZ22" s="682"/>
      <c r="BA22" s="682"/>
      <c r="BB22" s="682"/>
      <c r="BC22" s="682"/>
      <c r="BD22" s="682"/>
      <c r="BE22" s="682"/>
      <c r="BF22" s="682"/>
      <c r="BG22" s="682"/>
      <c r="BH22" s="682"/>
      <c r="BI22" s="682"/>
      <c r="BJ22" s="682"/>
      <c r="BK22" s="682"/>
      <c r="BL22" s="682"/>
      <c r="BM22" s="682"/>
      <c r="BN22" s="682"/>
      <c r="BO22" s="682"/>
      <c r="BP22" s="682"/>
      <c r="BQ22" s="682"/>
      <c r="BR22" s="682"/>
      <c r="BS22" s="682"/>
      <c r="BT22" s="682"/>
      <c r="BU22" s="682"/>
      <c r="BV22" s="682"/>
      <c r="BW22" s="682"/>
      <c r="BX22" s="682"/>
      <c r="BY22" s="682"/>
      <c r="BZ22" s="682"/>
      <c r="CA22" s="682"/>
      <c r="CB22" s="682"/>
      <c r="CC22" s="682"/>
      <c r="CD22" s="682"/>
      <c r="CE22" s="682"/>
      <c r="CF22" s="682"/>
      <c r="CG22" s="682"/>
      <c r="CH22" s="682"/>
      <c r="CI22" s="682"/>
      <c r="CJ22" s="682"/>
      <c r="CK22" s="682"/>
      <c r="CL22" s="682"/>
      <c r="CM22" s="682"/>
      <c r="CN22" s="682"/>
      <c r="CO22" s="682"/>
      <c r="CP22" s="682"/>
      <c r="CQ22" s="682"/>
      <c r="CR22" s="682"/>
      <c r="CS22" s="682"/>
      <c r="CT22" s="682"/>
    </row>
    <row r="23" spans="1:98" ht="12.75">
      <c r="A23" s="684"/>
      <c r="B23" s="1735" t="s">
        <v>581</v>
      </c>
      <c r="C23" s="1736"/>
      <c r="D23" s="1736"/>
      <c r="E23" s="1736"/>
      <c r="F23" s="1736"/>
      <c r="G23" s="1736"/>
      <c r="H23" s="1736"/>
      <c r="I23" s="1736"/>
      <c r="J23" s="1736"/>
      <c r="K23" s="1736"/>
      <c r="L23" s="1736"/>
      <c r="M23" s="1736"/>
      <c r="N23" s="1736"/>
      <c r="O23" s="1736"/>
      <c r="P23" s="1736"/>
      <c r="Q23" s="1736"/>
      <c r="R23" s="1736"/>
      <c r="S23" s="1737"/>
      <c r="T23" s="1706">
        <f>T11+T22</f>
        <v>0</v>
      </c>
      <c r="U23" s="1705"/>
      <c r="V23" s="1705"/>
      <c r="W23" s="1705"/>
      <c r="X23" s="1705"/>
      <c r="Y23" s="1706">
        <f>Y11+Y22</f>
        <v>0</v>
      </c>
      <c r="Z23" s="1705"/>
      <c r="AA23" s="1705"/>
      <c r="AB23" s="1705"/>
      <c r="AC23" s="1705"/>
      <c r="AD23" s="1706">
        <f>AD11+AD22</f>
        <v>0</v>
      </c>
      <c r="AE23" s="1705"/>
      <c r="AF23" s="1705"/>
      <c r="AG23" s="1705"/>
      <c r="AH23" s="1705"/>
      <c r="AI23" s="1706">
        <f>AI11+AI22</f>
        <v>0</v>
      </c>
      <c r="AJ23" s="1705"/>
      <c r="AK23" s="1705"/>
      <c r="AL23" s="1705"/>
      <c r="AM23" s="1705"/>
      <c r="AO23" s="682"/>
      <c r="AP23" s="682"/>
      <c r="AQ23" s="682"/>
      <c r="AR23" s="682"/>
      <c r="AS23" s="682"/>
      <c r="AT23" s="682"/>
      <c r="AU23" s="682"/>
      <c r="AV23" s="682"/>
      <c r="AW23" s="682"/>
      <c r="AX23" s="682"/>
      <c r="AY23" s="682"/>
      <c r="AZ23" s="682"/>
      <c r="BA23" s="682"/>
      <c r="BB23" s="682"/>
      <c r="BC23" s="682"/>
      <c r="BD23" s="682"/>
      <c r="BE23" s="682"/>
      <c r="BF23" s="682"/>
      <c r="BG23" s="682"/>
      <c r="BH23" s="682"/>
      <c r="BI23" s="682"/>
      <c r="BJ23" s="682"/>
      <c r="BK23" s="682"/>
      <c r="BL23" s="682"/>
      <c r="BM23" s="682"/>
      <c r="BN23" s="682"/>
      <c r="BO23" s="682"/>
      <c r="BP23" s="682"/>
      <c r="BQ23" s="682"/>
      <c r="BR23" s="682"/>
      <c r="BS23" s="682"/>
      <c r="BT23" s="682"/>
      <c r="BU23" s="682"/>
      <c r="BV23" s="682"/>
      <c r="BW23" s="682"/>
      <c r="BX23" s="682"/>
      <c r="BY23" s="682"/>
      <c r="BZ23" s="682"/>
      <c r="CA23" s="682"/>
      <c r="CB23" s="682"/>
      <c r="CC23" s="682"/>
      <c r="CD23" s="682"/>
      <c r="CE23" s="682"/>
      <c r="CF23" s="682"/>
      <c r="CG23" s="682"/>
      <c r="CH23" s="682"/>
      <c r="CI23" s="682"/>
      <c r="CJ23" s="682"/>
      <c r="CK23" s="682"/>
      <c r="CL23" s="682"/>
      <c r="CM23" s="682"/>
      <c r="CN23" s="682"/>
      <c r="CO23" s="682"/>
      <c r="CP23" s="682"/>
      <c r="CQ23" s="682"/>
      <c r="CR23" s="682"/>
      <c r="CS23" s="682"/>
      <c r="CT23" s="682"/>
    </row>
    <row r="24" spans="1:98" ht="12.75">
      <c r="B24" s="1632" t="s">
        <v>1112</v>
      </c>
      <c r="C24" s="1633"/>
      <c r="D24" s="1633"/>
      <c r="E24" s="1633"/>
      <c r="F24" s="1633"/>
      <c r="G24" s="1633"/>
      <c r="H24" s="1633"/>
      <c r="I24" s="1633"/>
      <c r="J24" s="1633"/>
      <c r="K24" s="1633"/>
      <c r="L24" s="1633"/>
      <c r="M24" s="1633"/>
      <c r="N24" s="1633"/>
      <c r="O24" s="1633"/>
      <c r="P24" s="1633"/>
      <c r="Q24" s="1633"/>
      <c r="R24" s="1633"/>
      <c r="S24" s="1634"/>
      <c r="T24" s="1710">
        <f>Application!AD994</f>
        <v>95009328</v>
      </c>
      <c r="U24" s="1711"/>
      <c r="V24" s="1711"/>
      <c r="W24" s="1711"/>
      <c r="X24" s="1711"/>
      <c r="Y24" s="1711"/>
      <c r="Z24" s="1711"/>
      <c r="AA24" s="1711"/>
      <c r="AB24" s="1711"/>
      <c r="AC24" s="1711"/>
      <c r="AD24" s="1711"/>
      <c r="AE24" s="1711"/>
      <c r="AF24" s="1711"/>
      <c r="AG24" s="1711"/>
      <c r="AH24" s="1711"/>
      <c r="AI24" s="1711"/>
      <c r="AJ24" s="1711"/>
      <c r="AK24" s="1711"/>
      <c r="AL24" s="1711"/>
      <c r="AM24" s="1706"/>
      <c r="AO24" s="682"/>
      <c r="AP24" s="682"/>
      <c r="AQ24" s="682"/>
      <c r="AR24" s="682"/>
      <c r="AS24" s="682"/>
      <c r="AT24" s="682"/>
      <c r="AU24" s="682"/>
      <c r="AV24" s="682"/>
      <c r="AW24" s="682"/>
      <c r="AX24" s="682"/>
      <c r="AY24" s="682"/>
      <c r="AZ24" s="682"/>
      <c r="BA24" s="682"/>
      <c r="BB24" s="682"/>
      <c r="BC24" s="682"/>
      <c r="BD24" s="682"/>
      <c r="BE24" s="682"/>
      <c r="BF24" s="682"/>
      <c r="BG24" s="682"/>
      <c r="BH24" s="682"/>
      <c r="BI24" s="682"/>
      <c r="BJ24" s="682"/>
      <c r="BK24" s="682"/>
      <c r="BL24" s="682"/>
      <c r="BM24" s="682"/>
      <c r="BN24" s="682"/>
      <c r="BO24" s="682"/>
      <c r="BP24" s="682"/>
      <c r="BQ24" s="682"/>
      <c r="BR24" s="682"/>
      <c r="BS24" s="682"/>
      <c r="BT24" s="682"/>
      <c r="BU24" s="682"/>
      <c r="BV24" s="682"/>
      <c r="BW24" s="682"/>
      <c r="BX24" s="682"/>
      <c r="BY24" s="682"/>
      <c r="BZ24" s="682"/>
      <c r="CA24" s="682"/>
      <c r="CB24" s="682"/>
      <c r="CC24" s="682"/>
      <c r="CD24" s="682"/>
      <c r="CE24" s="682"/>
      <c r="CF24" s="682"/>
      <c r="CG24" s="682"/>
      <c r="CH24" s="682"/>
      <c r="CI24" s="682"/>
      <c r="CJ24" s="682"/>
      <c r="CK24" s="682"/>
      <c r="CL24" s="682"/>
      <c r="CM24" s="682"/>
      <c r="CN24" s="682"/>
      <c r="CO24" s="682"/>
      <c r="CP24" s="682"/>
      <c r="CQ24" s="682"/>
      <c r="CR24" s="682"/>
      <c r="CS24" s="682"/>
      <c r="CT24" s="682"/>
    </row>
    <row r="25" spans="1:98" ht="12.75">
      <c r="B25" s="1635" t="s">
        <v>1563</v>
      </c>
      <c r="C25" s="1636"/>
      <c r="D25" s="1636"/>
      <c r="E25" s="1636"/>
      <c r="F25" s="1636"/>
      <c r="G25" s="1636"/>
      <c r="H25" s="1636"/>
      <c r="I25" s="1636"/>
      <c r="J25" s="1636"/>
      <c r="K25" s="1636"/>
      <c r="L25" s="1636"/>
      <c r="M25" s="1636"/>
      <c r="N25" s="1636"/>
      <c r="O25" s="1636"/>
      <c r="P25" s="1636"/>
      <c r="Q25" s="1636"/>
      <c r="R25" s="1636"/>
      <c r="S25" s="1637"/>
      <c r="T25" s="1717">
        <f>IF(OR(Application!T196="yes",Application!T195="yes"),1.3,1)</f>
        <v>1.3</v>
      </c>
      <c r="U25" s="1718"/>
      <c r="V25" s="1718"/>
      <c r="W25" s="1718"/>
      <c r="X25" s="1718"/>
      <c r="Y25" s="1717">
        <v>1</v>
      </c>
      <c r="Z25" s="1718"/>
      <c r="AA25" s="1718"/>
      <c r="AB25" s="1718"/>
      <c r="AC25" s="1718"/>
      <c r="AD25" s="1717">
        <v>1</v>
      </c>
      <c r="AE25" s="1718"/>
      <c r="AF25" s="1718"/>
      <c r="AG25" s="1718"/>
      <c r="AH25" s="1719"/>
      <c r="AI25" s="1717">
        <v>1</v>
      </c>
      <c r="AJ25" s="1718"/>
      <c r="AK25" s="1718"/>
      <c r="AL25" s="1718"/>
      <c r="AM25" s="1719"/>
      <c r="AO25" s="682"/>
      <c r="AP25" s="682"/>
      <c r="AQ25" s="682"/>
      <c r="AR25" s="682"/>
      <c r="AS25" s="682"/>
      <c r="AT25" s="682"/>
      <c r="AU25" s="682"/>
      <c r="AV25" s="682"/>
      <c r="AW25" s="682"/>
      <c r="AX25" s="682"/>
      <c r="AY25" s="682"/>
      <c r="AZ25" s="682"/>
      <c r="BA25" s="682"/>
      <c r="BB25" s="682"/>
      <c r="BC25" s="682"/>
      <c r="BD25" s="682"/>
      <c r="BE25" s="682"/>
      <c r="BF25" s="682"/>
      <c r="BG25" s="682"/>
      <c r="BH25" s="682"/>
      <c r="BI25" s="682"/>
      <c r="BJ25" s="682"/>
      <c r="BK25" s="682"/>
      <c r="BL25" s="682"/>
      <c r="BM25" s="682"/>
      <c r="BN25" s="682"/>
      <c r="BO25" s="682"/>
      <c r="BP25" s="682"/>
      <c r="BQ25" s="682"/>
      <c r="BR25" s="682"/>
      <c r="BS25" s="682"/>
      <c r="BT25" s="682"/>
      <c r="BU25" s="682"/>
      <c r="BV25" s="682"/>
      <c r="BW25" s="682"/>
      <c r="BX25" s="682"/>
      <c r="BY25" s="682"/>
      <c r="BZ25" s="682"/>
      <c r="CA25" s="682"/>
      <c r="CB25" s="682"/>
      <c r="CC25" s="682"/>
      <c r="CD25" s="682"/>
      <c r="CE25" s="682"/>
      <c r="CF25" s="682"/>
      <c r="CG25" s="682"/>
      <c r="CH25" s="682"/>
      <c r="CI25" s="682"/>
      <c r="CJ25" s="682"/>
      <c r="CK25" s="682"/>
      <c r="CL25" s="682"/>
      <c r="CM25" s="682"/>
      <c r="CN25" s="682"/>
      <c r="CO25" s="682"/>
      <c r="CP25" s="682"/>
      <c r="CQ25" s="682"/>
      <c r="CR25" s="682"/>
      <c r="CS25" s="682"/>
      <c r="CT25" s="682"/>
    </row>
    <row r="26" spans="1:98" ht="12.75">
      <c r="B26" s="1632" t="s">
        <v>582</v>
      </c>
      <c r="C26" s="1633"/>
      <c r="D26" s="1633"/>
      <c r="E26" s="1633"/>
      <c r="F26" s="1633"/>
      <c r="G26" s="1633"/>
      <c r="H26" s="1633"/>
      <c r="I26" s="1633"/>
      <c r="J26" s="1633"/>
      <c r="K26" s="1633"/>
      <c r="L26" s="1633"/>
      <c r="M26" s="1633"/>
      <c r="N26" s="1633"/>
      <c r="O26" s="1633"/>
      <c r="P26" s="1633"/>
      <c r="Q26" s="1633"/>
      <c r="R26" s="1633"/>
      <c r="S26" s="1634"/>
      <c r="T26" s="1720">
        <f>T23*T25</f>
        <v>0</v>
      </c>
      <c r="U26" s="1721"/>
      <c r="V26" s="1721"/>
      <c r="W26" s="1721"/>
      <c r="X26" s="1721"/>
      <c r="Y26" s="1720">
        <f>Y23*Y25</f>
        <v>0</v>
      </c>
      <c r="Z26" s="1721"/>
      <c r="AA26" s="1721"/>
      <c r="AB26" s="1721"/>
      <c r="AC26" s="1721"/>
      <c r="AD26" s="1720">
        <f>AD23*AD25</f>
        <v>0</v>
      </c>
      <c r="AE26" s="1721"/>
      <c r="AF26" s="1721"/>
      <c r="AG26" s="1721"/>
      <c r="AH26" s="1721"/>
      <c r="AI26" s="1720">
        <f>AI23*AI25</f>
        <v>0</v>
      </c>
      <c r="AJ26" s="1721"/>
      <c r="AK26" s="1721"/>
      <c r="AL26" s="1721"/>
      <c r="AM26" s="1721"/>
      <c r="AO26" s="682"/>
      <c r="AP26" s="682"/>
      <c r="AQ26" s="682"/>
      <c r="AR26" s="682"/>
      <c r="AS26" s="682"/>
      <c r="AT26" s="682"/>
      <c r="AU26" s="682"/>
      <c r="AV26" s="682"/>
      <c r="AW26" s="682"/>
      <c r="AX26" s="682"/>
      <c r="AY26" s="682"/>
      <c r="AZ26" s="682"/>
      <c r="BA26" s="682"/>
      <c r="BB26" s="682"/>
      <c r="BC26" s="682"/>
      <c r="BD26" s="682"/>
      <c r="BE26" s="682"/>
      <c r="BF26" s="682"/>
      <c r="BG26" s="682"/>
      <c r="BH26" s="682"/>
      <c r="BI26" s="682"/>
      <c r="BJ26" s="682"/>
      <c r="BK26" s="682"/>
      <c r="BL26" s="682"/>
      <c r="BM26" s="682"/>
      <c r="BN26" s="682"/>
      <c r="BO26" s="682"/>
      <c r="BP26" s="682"/>
      <c r="BQ26" s="682"/>
      <c r="BR26" s="682"/>
      <c r="BS26" s="682"/>
      <c r="BT26" s="682"/>
      <c r="BU26" s="682"/>
      <c r="BV26" s="682"/>
      <c r="BW26" s="682"/>
      <c r="BX26" s="682"/>
      <c r="BY26" s="682"/>
      <c r="BZ26" s="682"/>
      <c r="CA26" s="682"/>
      <c r="CB26" s="682"/>
      <c r="CC26" s="682"/>
      <c r="CD26" s="682"/>
      <c r="CE26" s="682"/>
      <c r="CF26" s="682"/>
      <c r="CG26" s="682"/>
      <c r="CH26" s="682"/>
      <c r="CI26" s="682"/>
      <c r="CJ26" s="682"/>
      <c r="CK26" s="682"/>
      <c r="CL26" s="682"/>
      <c r="CM26" s="682"/>
      <c r="CN26" s="682"/>
      <c r="CO26" s="682"/>
      <c r="CP26" s="682"/>
      <c r="CQ26" s="682"/>
      <c r="CR26" s="682"/>
      <c r="CS26" s="682"/>
      <c r="CT26" s="682"/>
    </row>
    <row r="27" spans="1:98" ht="12.75">
      <c r="A27" s="695"/>
      <c r="B27" s="1635" t="s">
        <v>475</v>
      </c>
      <c r="C27" s="1636"/>
      <c r="D27" s="1636"/>
      <c r="E27" s="1636"/>
      <c r="F27" s="1636"/>
      <c r="G27" s="1636"/>
      <c r="H27" s="1636"/>
      <c r="I27" s="1636"/>
      <c r="J27" s="1636"/>
      <c r="K27" s="1636"/>
      <c r="L27" s="1636"/>
      <c r="M27" s="1636"/>
      <c r="N27" s="1636"/>
      <c r="O27" s="1636"/>
      <c r="P27" s="1636"/>
      <c r="Q27" s="1636"/>
      <c r="R27" s="1636"/>
      <c r="S27" s="1637"/>
      <c r="T27" s="1724">
        <f>Application!$AG$432</f>
        <v>1</v>
      </c>
      <c r="U27" s="1725"/>
      <c r="V27" s="1725"/>
      <c r="W27" s="1725"/>
      <c r="X27" s="1725"/>
      <c r="Y27" s="1724">
        <f>Application!$AG$432</f>
        <v>1</v>
      </c>
      <c r="Z27" s="1725"/>
      <c r="AA27" s="1725"/>
      <c r="AB27" s="1725"/>
      <c r="AC27" s="1725"/>
      <c r="AD27" s="1724">
        <f>Application!$AG$432</f>
        <v>1</v>
      </c>
      <c r="AE27" s="1725"/>
      <c r="AF27" s="1725"/>
      <c r="AG27" s="1725"/>
      <c r="AH27" s="1725"/>
      <c r="AI27" s="1724">
        <f>Application!$AG$432</f>
        <v>1</v>
      </c>
      <c r="AJ27" s="1725"/>
      <c r="AK27" s="1725"/>
      <c r="AL27" s="1725"/>
      <c r="AM27" s="1725"/>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682"/>
      <c r="CO27" s="682"/>
      <c r="CP27" s="682"/>
      <c r="CQ27" s="682"/>
      <c r="CR27" s="682"/>
      <c r="CS27" s="682"/>
      <c r="CT27" s="682"/>
    </row>
    <row r="28" spans="1:98" ht="12.75" customHeight="1">
      <c r="A28" s="688"/>
      <c r="B28" s="1632" t="s">
        <v>583</v>
      </c>
      <c r="C28" s="1633"/>
      <c r="D28" s="1633"/>
      <c r="E28" s="1633"/>
      <c r="F28" s="1633"/>
      <c r="G28" s="1633"/>
      <c r="H28" s="1633"/>
      <c r="I28" s="1633"/>
      <c r="J28" s="1633"/>
      <c r="K28" s="1633"/>
      <c r="L28" s="1633"/>
      <c r="M28" s="1633"/>
      <c r="N28" s="1633"/>
      <c r="O28" s="1633"/>
      <c r="P28" s="1633"/>
      <c r="Q28" s="1633"/>
      <c r="R28" s="1633"/>
      <c r="S28" s="1634"/>
      <c r="T28" s="1715">
        <f>IF(ISERROR((T26*T27)),0,(T26*T27))</f>
        <v>0</v>
      </c>
      <c r="U28" s="1716"/>
      <c r="V28" s="1716"/>
      <c r="W28" s="1716"/>
      <c r="X28" s="1716"/>
      <c r="Y28" s="1715">
        <f>IF(ISERROR((Y26*Y27)),0,(Y26*Y27))</f>
        <v>0</v>
      </c>
      <c r="Z28" s="1716"/>
      <c r="AA28" s="1716"/>
      <c r="AB28" s="1716"/>
      <c r="AC28" s="1716"/>
      <c r="AD28" s="1715">
        <f>IF(ISERROR((AD26*AD27)),0,(AD26*AD27))</f>
        <v>0</v>
      </c>
      <c r="AE28" s="1716"/>
      <c r="AF28" s="1716"/>
      <c r="AG28" s="1716"/>
      <c r="AH28" s="1716"/>
      <c r="AI28" s="1715">
        <f>IF(ISERROR((AI26*AI27)),0,(AI26*AI27))</f>
        <v>0</v>
      </c>
      <c r="AJ28" s="1716"/>
      <c r="AK28" s="1716"/>
      <c r="AL28" s="1716"/>
      <c r="AM28" s="1716"/>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row>
    <row r="29" spans="1:98" ht="12.75">
      <c r="B29" s="1632" t="s">
        <v>600</v>
      </c>
      <c r="C29" s="1633"/>
      <c r="D29" s="1633"/>
      <c r="E29" s="1633"/>
      <c r="F29" s="1633"/>
      <c r="G29" s="1633"/>
      <c r="H29" s="1633"/>
      <c r="I29" s="1633"/>
      <c r="J29" s="1633"/>
      <c r="K29" s="1633"/>
      <c r="L29" s="1633"/>
      <c r="M29" s="1633"/>
      <c r="N29" s="1633"/>
      <c r="O29" s="1633"/>
      <c r="P29" s="1633"/>
      <c r="Q29" s="1633"/>
      <c r="R29" s="1633"/>
      <c r="S29" s="1634"/>
      <c r="T29" s="1710">
        <f>T28+Y28+AD28+AI28</f>
        <v>0</v>
      </c>
      <c r="U29" s="1711"/>
      <c r="V29" s="1711"/>
      <c r="W29" s="1711"/>
      <c r="X29" s="1711"/>
      <c r="Y29" s="1711"/>
      <c r="Z29" s="1711"/>
      <c r="AA29" s="1711"/>
      <c r="AB29" s="1711"/>
      <c r="AC29" s="1711"/>
      <c r="AD29" s="1711"/>
      <c r="AE29" s="1711"/>
      <c r="AF29" s="1711"/>
      <c r="AG29" s="1711"/>
      <c r="AH29" s="1711"/>
      <c r="AI29" s="1711"/>
      <c r="AJ29" s="1711"/>
      <c r="AK29" s="1711"/>
      <c r="AL29" s="1711"/>
      <c r="AM29" s="1706"/>
      <c r="AO29" s="682"/>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c r="CB29" s="682"/>
      <c r="CC29" s="682"/>
      <c r="CD29" s="682"/>
      <c r="CE29" s="682"/>
      <c r="CF29" s="682"/>
      <c r="CG29" s="682"/>
      <c r="CH29" s="682"/>
      <c r="CI29" s="682"/>
      <c r="CJ29" s="682"/>
      <c r="CK29" s="682"/>
      <c r="CL29" s="682"/>
      <c r="CM29" s="682"/>
      <c r="CN29" s="682"/>
      <c r="CO29" s="682"/>
      <c r="CP29" s="682"/>
      <c r="CQ29" s="682"/>
      <c r="CR29" s="682"/>
      <c r="CS29" s="682"/>
      <c r="CT29" s="682"/>
    </row>
    <row r="30" spans="1:98" ht="12.75" customHeight="1">
      <c r="B30" s="683" t="s">
        <v>1565</v>
      </c>
      <c r="AO30" s="682"/>
      <c r="AP30" s="682"/>
      <c r="AQ30" s="682"/>
      <c r="AR30" s="682"/>
      <c r="AS30" s="682"/>
      <c r="AT30" s="682"/>
      <c r="AU30" s="682"/>
      <c r="AV30" s="682"/>
      <c r="AW30" s="682"/>
      <c r="AX30" s="682"/>
      <c r="AY30" s="682"/>
      <c r="AZ30" s="682"/>
      <c r="BA30" s="682"/>
      <c r="BB30" s="682"/>
      <c r="BC30" s="682"/>
      <c r="BD30" s="682"/>
      <c r="BE30" s="682"/>
      <c r="BF30" s="682"/>
      <c r="BG30" s="682"/>
      <c r="BH30" s="682"/>
      <c r="BI30" s="682"/>
      <c r="BJ30" s="682"/>
      <c r="BK30" s="682"/>
      <c r="BL30" s="682"/>
      <c r="BM30" s="682"/>
      <c r="BN30" s="682"/>
      <c r="BO30" s="682"/>
      <c r="BP30" s="682"/>
      <c r="BQ30" s="682"/>
      <c r="BR30" s="682"/>
      <c r="BS30" s="682"/>
      <c r="BT30" s="682"/>
      <c r="BU30" s="682"/>
      <c r="BV30" s="682"/>
      <c r="BW30" s="682"/>
      <c r="BX30" s="682"/>
      <c r="BY30" s="682"/>
      <c r="BZ30" s="682"/>
      <c r="CA30" s="682"/>
      <c r="CB30" s="682"/>
      <c r="CC30" s="682"/>
      <c r="CD30" s="682"/>
      <c r="CE30" s="682"/>
      <c r="CF30" s="682"/>
      <c r="CG30" s="682"/>
      <c r="CH30" s="682"/>
      <c r="CI30" s="682"/>
      <c r="CJ30" s="682"/>
      <c r="CK30" s="682"/>
      <c r="CL30" s="682"/>
      <c r="CM30" s="682"/>
      <c r="CN30" s="682"/>
      <c r="CO30" s="682"/>
      <c r="CP30" s="682"/>
      <c r="CQ30" s="682"/>
      <c r="CR30" s="682"/>
      <c r="CS30" s="682"/>
      <c r="CT30" s="682"/>
    </row>
    <row r="31" spans="1:98" s="743" customFormat="1" ht="12.75" customHeight="1">
      <c r="A31" s="692"/>
      <c r="B31" s="1738" t="s">
        <v>1564</v>
      </c>
      <c r="C31" s="1738"/>
      <c r="D31" s="1738"/>
      <c r="E31" s="1738"/>
      <c r="F31" s="1738"/>
      <c r="G31" s="1738"/>
      <c r="H31" s="1738"/>
      <c r="I31" s="1738"/>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738"/>
      <c r="AM31" s="1738"/>
      <c r="AO31" s="744"/>
      <c r="AP31" s="744"/>
      <c r="AQ31" s="744"/>
      <c r="AR31" s="744"/>
      <c r="AS31" s="744"/>
      <c r="AT31" s="744"/>
      <c r="AU31" s="744"/>
      <c r="AV31" s="744"/>
      <c r="AW31" s="744"/>
      <c r="AX31" s="744"/>
      <c r="AY31" s="744"/>
      <c r="AZ31" s="744"/>
      <c r="BA31" s="744"/>
      <c r="BB31" s="744"/>
      <c r="BC31" s="744"/>
      <c r="BD31" s="744"/>
      <c r="BE31" s="744"/>
      <c r="BF31" s="744"/>
      <c r="BG31" s="744"/>
      <c r="BH31" s="744"/>
      <c r="BI31" s="744"/>
      <c r="BJ31" s="744"/>
      <c r="BK31" s="744"/>
      <c r="BL31" s="744"/>
      <c r="BM31" s="744"/>
      <c r="BN31" s="744"/>
      <c r="BO31" s="744"/>
      <c r="BP31" s="744"/>
      <c r="BQ31" s="744"/>
      <c r="BR31" s="744"/>
      <c r="BS31" s="744"/>
      <c r="BT31" s="744"/>
      <c r="BU31" s="744"/>
      <c r="BV31" s="744"/>
      <c r="BW31" s="744"/>
      <c r="BX31" s="744"/>
      <c r="BY31" s="744"/>
      <c r="BZ31" s="744"/>
      <c r="CA31" s="744"/>
      <c r="CB31" s="744"/>
      <c r="CC31" s="744"/>
      <c r="CD31" s="744"/>
      <c r="CE31" s="744"/>
      <c r="CF31" s="744"/>
      <c r="CG31" s="744"/>
      <c r="CH31" s="744"/>
      <c r="CI31" s="744"/>
      <c r="CJ31" s="744"/>
      <c r="CK31" s="744"/>
      <c r="CL31" s="744"/>
      <c r="CM31" s="744"/>
      <c r="CN31" s="744"/>
      <c r="CO31" s="744"/>
      <c r="CP31" s="744"/>
      <c r="CQ31" s="744"/>
      <c r="CR31" s="744"/>
      <c r="CS31" s="744"/>
      <c r="CT31" s="744"/>
    </row>
    <row r="32" spans="1:98" ht="12.75">
      <c r="B32" s="736"/>
      <c r="C32" s="948" t="s">
        <v>432</v>
      </c>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O32" s="682"/>
      <c r="AP32" s="682"/>
      <c r="AQ32" s="682"/>
      <c r="AR32" s="682"/>
      <c r="AS32" s="682"/>
      <c r="AT32" s="682"/>
      <c r="AU32" s="682"/>
      <c r="AV32" s="682"/>
      <c r="AW32" s="682"/>
      <c r="AX32" s="682"/>
      <c r="AY32" s="682"/>
      <c r="AZ32" s="682"/>
      <c r="BA32" s="682"/>
      <c r="BB32" s="682"/>
      <c r="BC32" s="682"/>
      <c r="BD32" s="682"/>
      <c r="BE32" s="682"/>
      <c r="BF32" s="682"/>
      <c r="BG32" s="682"/>
      <c r="BH32" s="682"/>
      <c r="BI32" s="682"/>
      <c r="BJ32" s="682"/>
      <c r="BK32" s="682"/>
      <c r="BL32" s="682"/>
      <c r="BM32" s="682"/>
      <c r="BN32" s="682"/>
      <c r="BO32" s="682"/>
      <c r="BP32" s="682"/>
      <c r="BQ32" s="682"/>
      <c r="BR32" s="682"/>
      <c r="BS32" s="682"/>
      <c r="BT32" s="682"/>
      <c r="BU32" s="682"/>
      <c r="BV32" s="682"/>
      <c r="BW32" s="682"/>
      <c r="BX32" s="682"/>
      <c r="BY32" s="682"/>
      <c r="BZ32" s="682"/>
      <c r="CA32" s="682"/>
      <c r="CB32" s="682"/>
      <c r="CC32" s="682"/>
      <c r="CD32" s="682"/>
      <c r="CE32" s="682"/>
      <c r="CF32" s="682"/>
      <c r="CG32" s="682"/>
      <c r="CH32" s="682"/>
      <c r="CI32" s="682"/>
      <c r="CJ32" s="682"/>
      <c r="CK32" s="682"/>
      <c r="CL32" s="682"/>
      <c r="CM32" s="682"/>
      <c r="CN32" s="682"/>
      <c r="CO32" s="682"/>
      <c r="CP32" s="682"/>
      <c r="CQ32" s="682"/>
      <c r="CR32" s="682"/>
      <c r="CS32" s="682"/>
      <c r="CT32" s="682"/>
    </row>
    <row r="33" spans="1:98" ht="12.75">
      <c r="AO33" s="682"/>
      <c r="AP33" s="682"/>
      <c r="AQ33" s="682"/>
      <c r="AR33" s="682"/>
      <c r="AS33" s="682"/>
      <c r="AT33" s="682"/>
      <c r="AU33" s="682"/>
      <c r="AV33" s="682"/>
      <c r="AW33" s="682"/>
      <c r="AX33" s="682"/>
      <c r="AY33" s="682"/>
      <c r="AZ33" s="682"/>
      <c r="BA33" s="682"/>
      <c r="BB33" s="682"/>
      <c r="BC33" s="682"/>
      <c r="BD33" s="682"/>
      <c r="BE33" s="682"/>
      <c r="BF33" s="682"/>
      <c r="BG33" s="682"/>
      <c r="BH33" s="682"/>
      <c r="BI33" s="682"/>
      <c r="BJ33" s="682"/>
      <c r="BK33" s="682"/>
      <c r="BL33" s="682"/>
      <c r="BM33" s="682"/>
      <c r="BN33" s="682"/>
      <c r="BO33" s="682"/>
      <c r="BP33" s="682"/>
      <c r="BQ33" s="682"/>
      <c r="BR33" s="682"/>
      <c r="BS33" s="682"/>
      <c r="BT33" s="682"/>
      <c r="BU33" s="682"/>
      <c r="BV33" s="682"/>
      <c r="BW33" s="682"/>
      <c r="BX33" s="682"/>
      <c r="BY33" s="682"/>
      <c r="BZ33" s="682"/>
      <c r="CA33" s="682"/>
      <c r="CB33" s="682"/>
      <c r="CC33" s="682"/>
      <c r="CD33" s="682"/>
      <c r="CE33" s="682"/>
      <c r="CF33" s="682"/>
      <c r="CG33" s="682"/>
      <c r="CH33" s="682"/>
      <c r="CI33" s="682"/>
      <c r="CJ33" s="682"/>
      <c r="CK33" s="682"/>
      <c r="CL33" s="682"/>
      <c r="CM33" s="682"/>
      <c r="CN33" s="682"/>
      <c r="CO33" s="682"/>
      <c r="CP33" s="682"/>
      <c r="CQ33" s="682"/>
      <c r="CR33" s="682"/>
      <c r="CS33" s="682"/>
      <c r="CT33" s="682"/>
    </row>
    <row r="34" spans="1:98" ht="12.75">
      <c r="A34" s="688" t="s">
        <v>657</v>
      </c>
      <c r="C34" s="688" t="s">
        <v>647</v>
      </c>
      <c r="AO34" s="682"/>
      <c r="AP34" s="682"/>
      <c r="AQ34" s="682"/>
      <c r="AR34" s="682"/>
      <c r="AS34" s="682"/>
      <c r="AT34" s="682"/>
      <c r="AU34" s="682"/>
      <c r="AV34" s="682"/>
      <c r="AW34" s="682"/>
      <c r="AX34" s="682"/>
      <c r="AY34" s="682"/>
      <c r="AZ34" s="682"/>
      <c r="BA34" s="682"/>
      <c r="BB34" s="682"/>
      <c r="BC34" s="682"/>
      <c r="BD34" s="682"/>
      <c r="BE34" s="682"/>
      <c r="BF34" s="682"/>
      <c r="BG34" s="682"/>
      <c r="BH34" s="682"/>
      <c r="BI34" s="682"/>
      <c r="BJ34" s="682"/>
      <c r="BK34" s="682"/>
      <c r="BL34" s="682"/>
      <c r="BM34" s="682"/>
      <c r="BN34" s="682"/>
      <c r="BO34" s="682"/>
      <c r="BP34" s="682"/>
      <c r="BQ34" s="682"/>
      <c r="BR34" s="682"/>
      <c r="BS34" s="682"/>
      <c r="BT34" s="682"/>
      <c r="BU34" s="682"/>
      <c r="BV34" s="682"/>
      <c r="BW34" s="682"/>
      <c r="BX34" s="682"/>
      <c r="BY34" s="682"/>
      <c r="BZ34" s="682"/>
      <c r="CA34" s="682"/>
      <c r="CB34" s="682"/>
      <c r="CC34" s="682"/>
      <c r="CD34" s="682"/>
      <c r="CE34" s="682"/>
      <c r="CF34" s="682"/>
      <c r="CG34" s="682"/>
      <c r="CH34" s="682"/>
      <c r="CI34" s="682"/>
      <c r="CJ34" s="682"/>
      <c r="CK34" s="682"/>
      <c r="CL34" s="682"/>
      <c r="CM34" s="682"/>
      <c r="CN34" s="682"/>
      <c r="CO34" s="682"/>
      <c r="CP34" s="682"/>
      <c r="CQ34" s="682"/>
      <c r="CR34" s="682"/>
      <c r="CS34" s="682"/>
      <c r="CT34" s="682"/>
    </row>
    <row r="35" spans="1:98" ht="12.75">
      <c r="B35" s="689"/>
      <c r="C35" s="690"/>
      <c r="D35" s="690"/>
      <c r="E35" s="690"/>
      <c r="F35" s="690"/>
      <c r="G35" s="690"/>
      <c r="H35" s="690"/>
      <c r="I35" s="690"/>
      <c r="J35" s="690"/>
      <c r="K35" s="690"/>
      <c r="L35" s="690"/>
      <c r="M35" s="690"/>
      <c r="N35" s="690"/>
      <c r="O35" s="690"/>
      <c r="P35" s="690"/>
      <c r="Q35" s="690"/>
      <c r="R35" s="690"/>
      <c r="S35" s="690"/>
      <c r="T35" s="690"/>
      <c r="U35" s="690"/>
      <c r="V35" s="690"/>
      <c r="W35" s="690"/>
      <c r="X35" s="696"/>
      <c r="Y35" s="1712" t="s">
        <v>1459</v>
      </c>
      <c r="Z35" s="1712"/>
      <c r="AA35" s="1712"/>
      <c r="AB35" s="1712"/>
      <c r="AC35" s="1712"/>
      <c r="AD35" s="1713" t="s">
        <v>407</v>
      </c>
      <c r="AE35" s="1713"/>
      <c r="AF35" s="1713"/>
      <c r="AG35" s="1713"/>
      <c r="AH35" s="1713"/>
      <c r="AO35" s="682"/>
      <c r="AP35" s="682"/>
      <c r="AQ35" s="682"/>
      <c r="AR35" s="682"/>
      <c r="AS35" s="682"/>
      <c r="AT35" s="682"/>
      <c r="AU35" s="682"/>
      <c r="AV35" s="682"/>
      <c r="AW35" s="682"/>
      <c r="AX35" s="682"/>
      <c r="AY35" s="682"/>
      <c r="AZ35" s="682"/>
      <c r="BA35" s="682"/>
      <c r="BB35" s="682"/>
      <c r="BC35" s="682"/>
      <c r="BD35" s="682"/>
      <c r="BE35" s="682"/>
      <c r="BF35" s="682"/>
      <c r="BG35" s="682"/>
      <c r="BH35" s="682"/>
      <c r="BI35" s="682"/>
      <c r="BJ35" s="682"/>
      <c r="BK35" s="682"/>
      <c r="BL35" s="682"/>
      <c r="BM35" s="682"/>
      <c r="BN35" s="682"/>
      <c r="BO35" s="682"/>
      <c r="BP35" s="682"/>
      <c r="BQ35" s="682"/>
      <c r="BR35" s="682"/>
      <c r="BS35" s="682"/>
      <c r="BT35" s="682"/>
      <c r="BU35" s="682"/>
      <c r="BV35" s="682"/>
      <c r="BW35" s="682"/>
      <c r="BX35" s="682"/>
      <c r="BY35" s="682"/>
      <c r="BZ35" s="682"/>
      <c r="CA35" s="682"/>
      <c r="CB35" s="682"/>
      <c r="CC35" s="682"/>
      <c r="CD35" s="682"/>
      <c r="CE35" s="682"/>
      <c r="CF35" s="682"/>
      <c r="CG35" s="682"/>
      <c r="CH35" s="682"/>
      <c r="CI35" s="682"/>
      <c r="CJ35" s="682"/>
      <c r="CK35" s="682"/>
      <c r="CL35" s="682"/>
      <c r="CM35" s="682"/>
      <c r="CN35" s="682"/>
      <c r="CO35" s="682"/>
      <c r="CP35" s="682"/>
      <c r="CQ35" s="682"/>
      <c r="CR35" s="682"/>
      <c r="CS35" s="682"/>
      <c r="CT35" s="682"/>
    </row>
    <row r="36" spans="1:98" ht="12.75" customHeight="1">
      <c r="B36" s="691"/>
      <c r="C36" s="692"/>
      <c r="D36" s="692"/>
      <c r="E36" s="692"/>
      <c r="F36" s="692"/>
      <c r="G36" s="692"/>
      <c r="H36" s="692"/>
      <c r="I36" s="692"/>
      <c r="J36" s="692"/>
      <c r="K36" s="692"/>
      <c r="L36" s="692"/>
      <c r="M36" s="692"/>
      <c r="N36" s="692"/>
      <c r="O36" s="692"/>
      <c r="P36" s="692"/>
      <c r="Q36" s="692"/>
      <c r="R36" s="692"/>
      <c r="S36" s="692"/>
      <c r="T36" s="692"/>
      <c r="U36" s="692"/>
      <c r="V36" s="692"/>
      <c r="W36" s="692"/>
      <c r="X36" s="697"/>
      <c r="Y36" s="1712"/>
      <c r="Z36" s="1712"/>
      <c r="AA36" s="1712"/>
      <c r="AB36" s="1712"/>
      <c r="AC36" s="1712"/>
      <c r="AD36" s="1713"/>
      <c r="AE36" s="1713"/>
      <c r="AF36" s="1713"/>
      <c r="AG36" s="1713"/>
      <c r="AH36" s="1713"/>
      <c r="AO36" s="682"/>
      <c r="AP36" s="682"/>
      <c r="AQ36" s="682"/>
      <c r="AR36" s="682"/>
      <c r="AS36" s="682"/>
      <c r="AT36" s="682"/>
      <c r="AU36" s="682"/>
      <c r="AV36" s="682"/>
      <c r="AW36" s="682"/>
      <c r="AX36" s="682"/>
      <c r="AY36" s="682"/>
      <c r="AZ36" s="682"/>
      <c r="BA36" s="682"/>
      <c r="BB36" s="682"/>
      <c r="BC36" s="682"/>
      <c r="BD36" s="682"/>
      <c r="BE36" s="682"/>
      <c r="BF36" s="682"/>
      <c r="BG36" s="682"/>
      <c r="BH36" s="682"/>
      <c r="BI36" s="682"/>
      <c r="BJ36" s="682"/>
      <c r="BK36" s="682"/>
      <c r="BL36" s="682"/>
      <c r="BM36" s="682"/>
      <c r="BN36" s="682"/>
      <c r="BO36" s="682"/>
      <c r="BP36" s="682"/>
      <c r="BQ36" s="682"/>
      <c r="BR36" s="682"/>
      <c r="BS36" s="682"/>
      <c r="BT36" s="682"/>
      <c r="BU36" s="682"/>
      <c r="BV36" s="682"/>
      <c r="BW36" s="682"/>
      <c r="BX36" s="682"/>
      <c r="BY36" s="682"/>
      <c r="BZ36" s="682"/>
      <c r="CA36" s="682"/>
      <c r="CB36" s="682"/>
      <c r="CC36" s="682"/>
      <c r="CD36" s="682"/>
      <c r="CE36" s="682"/>
      <c r="CF36" s="682"/>
      <c r="CG36" s="682"/>
      <c r="CH36" s="682"/>
      <c r="CI36" s="682"/>
      <c r="CJ36" s="682"/>
      <c r="CK36" s="682"/>
      <c r="CL36" s="682"/>
      <c r="CM36" s="682"/>
      <c r="CN36" s="682"/>
      <c r="CO36" s="682"/>
      <c r="CP36" s="682"/>
      <c r="CQ36" s="682"/>
      <c r="CR36" s="682"/>
      <c r="CS36" s="682"/>
      <c r="CT36" s="682"/>
    </row>
    <row r="37" spans="1:98" ht="12.75">
      <c r="B37" s="693"/>
      <c r="C37" s="694"/>
      <c r="D37" s="694"/>
      <c r="E37" s="694"/>
      <c r="F37" s="694"/>
      <c r="G37" s="694"/>
      <c r="H37" s="694"/>
      <c r="I37" s="694"/>
      <c r="J37" s="694"/>
      <c r="K37" s="694"/>
      <c r="L37" s="694"/>
      <c r="M37" s="694"/>
      <c r="N37" s="694"/>
      <c r="O37" s="694"/>
      <c r="P37" s="694"/>
      <c r="Q37" s="694"/>
      <c r="R37" s="694"/>
      <c r="S37" s="694"/>
      <c r="T37" s="694"/>
      <c r="U37" s="694"/>
      <c r="V37" s="694"/>
      <c r="W37" s="694"/>
      <c r="X37" s="698"/>
      <c r="Y37" s="1712"/>
      <c r="Z37" s="1712"/>
      <c r="AA37" s="1712"/>
      <c r="AB37" s="1712"/>
      <c r="AC37" s="1712"/>
      <c r="AD37" s="1713"/>
      <c r="AE37" s="1713"/>
      <c r="AF37" s="1713"/>
      <c r="AG37" s="1713"/>
      <c r="AH37" s="1713"/>
      <c r="AO37" s="682"/>
      <c r="AP37" s="682"/>
      <c r="AQ37" s="682"/>
      <c r="AR37" s="682"/>
      <c r="AS37" s="682"/>
      <c r="AT37" s="682"/>
      <c r="AU37" s="682"/>
      <c r="AV37" s="682"/>
      <c r="AW37" s="682"/>
      <c r="AX37" s="682"/>
      <c r="AY37" s="682"/>
      <c r="AZ37" s="682"/>
      <c r="BA37" s="682"/>
      <c r="BB37" s="682"/>
      <c r="BC37" s="682"/>
      <c r="BD37" s="682"/>
      <c r="BE37" s="682"/>
      <c r="BF37" s="682"/>
      <c r="BG37" s="682"/>
      <c r="BH37" s="682"/>
      <c r="BI37" s="682"/>
      <c r="BJ37" s="682"/>
      <c r="BK37" s="682"/>
      <c r="BL37" s="682"/>
      <c r="BM37" s="682"/>
      <c r="BN37" s="682"/>
      <c r="BO37" s="682"/>
      <c r="BP37" s="682"/>
      <c r="BQ37" s="682"/>
      <c r="BR37" s="682"/>
      <c r="BS37" s="682"/>
      <c r="BT37" s="682"/>
      <c r="BU37" s="682"/>
      <c r="BV37" s="682"/>
      <c r="BW37" s="682"/>
      <c r="BX37" s="682"/>
      <c r="BY37" s="682"/>
      <c r="BZ37" s="682"/>
      <c r="CA37" s="682"/>
      <c r="CB37" s="682"/>
      <c r="CC37" s="682"/>
      <c r="CD37" s="682"/>
      <c r="CE37" s="682"/>
      <c r="CF37" s="682"/>
      <c r="CG37" s="682"/>
      <c r="CH37" s="682"/>
      <c r="CI37" s="682"/>
      <c r="CJ37" s="682"/>
      <c r="CK37" s="682"/>
      <c r="CL37" s="682"/>
      <c r="CM37" s="682"/>
      <c r="CN37" s="682"/>
      <c r="CO37" s="682"/>
      <c r="CP37" s="682"/>
      <c r="CQ37" s="682"/>
      <c r="CR37" s="682"/>
      <c r="CS37" s="682"/>
      <c r="CT37" s="682"/>
    </row>
    <row r="38" spans="1:98" ht="12.75" customHeight="1">
      <c r="A38" s="688"/>
      <c r="B38" s="1632" t="s">
        <v>583</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705">
        <f>IF(T24&gt;=(T23+Y23+AD23+AI23),T28+Y28,0)</f>
        <v>0</v>
      </c>
      <c r="Z38" s="1705"/>
      <c r="AA38" s="1705"/>
      <c r="AB38" s="1705"/>
      <c r="AC38" s="1705"/>
      <c r="AD38" s="1705">
        <f>IF(T24&gt;=(T23+Y23+AD23+AI23),AD28+AI28,0)</f>
        <v>0</v>
      </c>
      <c r="AE38" s="1705"/>
      <c r="AF38" s="1705"/>
      <c r="AG38" s="1705"/>
      <c r="AH38" s="1705"/>
      <c r="AO38" s="682"/>
      <c r="AP38" s="682"/>
      <c r="AQ38" s="682"/>
      <c r="AR38" s="682"/>
      <c r="AS38" s="682"/>
      <c r="AT38" s="682"/>
      <c r="AU38" s="682"/>
      <c r="AV38" s="682"/>
      <c r="AW38" s="682"/>
      <c r="AX38" s="682"/>
      <c r="AY38" s="682"/>
      <c r="AZ38" s="682"/>
      <c r="BA38" s="682"/>
      <c r="BB38" s="682"/>
      <c r="BC38" s="682"/>
      <c r="BD38" s="682"/>
      <c r="BE38" s="682"/>
      <c r="BF38" s="682"/>
      <c r="BG38" s="682"/>
      <c r="BH38" s="682"/>
      <c r="BI38" s="682"/>
      <c r="BJ38" s="682"/>
      <c r="BK38" s="682"/>
      <c r="BL38" s="682"/>
      <c r="BM38" s="682"/>
      <c r="BN38" s="682"/>
      <c r="BO38" s="682"/>
      <c r="BP38" s="682"/>
      <c r="BQ38" s="682"/>
      <c r="BR38" s="682"/>
      <c r="BS38" s="682"/>
      <c r="BT38" s="682"/>
      <c r="BU38" s="682"/>
      <c r="BV38" s="682"/>
      <c r="BW38" s="682"/>
      <c r="BX38" s="682"/>
      <c r="BY38" s="682"/>
      <c r="BZ38" s="682"/>
      <c r="CA38" s="682"/>
      <c r="CB38" s="682"/>
      <c r="CC38" s="682"/>
      <c r="CD38" s="682"/>
      <c r="CE38" s="682"/>
      <c r="CF38" s="682"/>
      <c r="CG38" s="682"/>
      <c r="CH38" s="682"/>
      <c r="CI38" s="682"/>
      <c r="CJ38" s="682"/>
      <c r="CK38" s="682"/>
      <c r="CL38" s="682"/>
      <c r="CM38" s="682"/>
      <c r="CN38" s="682"/>
      <c r="CO38" s="682"/>
      <c r="CP38" s="682"/>
      <c r="CQ38" s="682"/>
      <c r="CR38" s="682"/>
      <c r="CS38" s="682"/>
      <c r="CT38" s="682"/>
    </row>
    <row r="39" spans="1:98" ht="12.75">
      <c r="B39" s="1632" t="s">
        <v>1606</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714">
        <v>3.3000000000000002E-2</v>
      </c>
      <c r="Z39" s="1714"/>
      <c r="AA39" s="1714"/>
      <c r="AB39" s="1714"/>
      <c r="AC39" s="1714"/>
      <c r="AD39" s="1714">
        <v>3.3000000000000002E-2</v>
      </c>
      <c r="AE39" s="1714"/>
      <c r="AF39" s="1714"/>
      <c r="AG39" s="1714"/>
      <c r="AH39" s="1714"/>
      <c r="AO39" s="682"/>
      <c r="AP39" s="682"/>
      <c r="AQ39" s="682"/>
      <c r="AR39" s="682"/>
      <c r="AS39" s="682"/>
      <c r="AT39" s="682"/>
      <c r="AU39" s="682"/>
      <c r="AV39" s="682"/>
      <c r="AW39" s="682"/>
      <c r="AX39" s="682"/>
      <c r="AY39" s="682"/>
      <c r="AZ39" s="682"/>
      <c r="BA39" s="682"/>
      <c r="BB39" s="682"/>
      <c r="BC39" s="682"/>
      <c r="BD39" s="682"/>
      <c r="BE39" s="682"/>
      <c r="BF39" s="682"/>
      <c r="BG39" s="682"/>
      <c r="BH39" s="682"/>
      <c r="BI39" s="682"/>
      <c r="BJ39" s="682"/>
      <c r="BK39" s="682"/>
      <c r="BL39" s="682"/>
      <c r="BM39" s="682"/>
      <c r="BN39" s="682"/>
      <c r="BO39" s="682"/>
      <c r="BP39" s="682"/>
      <c r="BQ39" s="682"/>
      <c r="BR39" s="682"/>
      <c r="BS39" s="682"/>
      <c r="BT39" s="682"/>
      <c r="BU39" s="682"/>
      <c r="BV39" s="682"/>
      <c r="BW39" s="682"/>
      <c r="BX39" s="682"/>
      <c r="BY39" s="682"/>
      <c r="BZ39" s="682"/>
      <c r="CA39" s="682"/>
      <c r="CB39" s="682"/>
      <c r="CC39" s="682"/>
      <c r="CD39" s="682"/>
      <c r="CE39" s="682"/>
      <c r="CF39" s="682"/>
      <c r="CG39" s="682"/>
      <c r="CH39" s="682"/>
      <c r="CI39" s="682"/>
      <c r="CJ39" s="682"/>
      <c r="CK39" s="682"/>
      <c r="CL39" s="682"/>
      <c r="CM39" s="682"/>
      <c r="CN39" s="682"/>
      <c r="CO39" s="682"/>
      <c r="CP39" s="682"/>
      <c r="CQ39" s="682"/>
      <c r="CR39" s="682"/>
      <c r="CS39" s="682"/>
      <c r="CT39" s="682"/>
    </row>
    <row r="40" spans="1:98" ht="12.75" customHeight="1">
      <c r="A40" s="688"/>
      <c r="B40" s="1632" t="s">
        <v>725</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705">
        <f>ROUND(Y38*Y39,0)</f>
        <v>0</v>
      </c>
      <c r="Z40" s="1705"/>
      <c r="AA40" s="1705"/>
      <c r="AB40" s="1705"/>
      <c r="AC40" s="1705"/>
      <c r="AD40" s="1706">
        <f>ROUND(AD38*AD39,0)</f>
        <v>0</v>
      </c>
      <c r="AE40" s="1705"/>
      <c r="AF40" s="1705"/>
      <c r="AG40" s="1705"/>
      <c r="AH40" s="1705"/>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row>
    <row r="41" spans="1:98" ht="12.75">
      <c r="B41" s="1632" t="s">
        <v>726</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707">
        <f>Y40+AD40</f>
        <v>0</v>
      </c>
      <c r="Z41" s="1708"/>
      <c r="AA41" s="1708"/>
      <c r="AB41" s="1708"/>
      <c r="AC41" s="1708"/>
      <c r="AD41" s="1708"/>
      <c r="AE41" s="1708"/>
      <c r="AF41" s="1708"/>
      <c r="AG41" s="1708"/>
      <c r="AH41" s="1709"/>
      <c r="AO41" s="682"/>
      <c r="AP41" s="682"/>
      <c r="AQ41" s="682"/>
      <c r="AR41" s="682"/>
      <c r="AS41" s="682"/>
      <c r="AT41" s="682"/>
      <c r="AU41" s="682"/>
      <c r="AV41" s="682"/>
      <c r="AW41" s="682"/>
      <c r="AX41" s="682"/>
      <c r="AY41" s="682"/>
      <c r="AZ41" s="682"/>
      <c r="BA41" s="682"/>
      <c r="BB41" s="682"/>
      <c r="BC41" s="682"/>
      <c r="BD41" s="682"/>
      <c r="BE41" s="682"/>
      <c r="BF41" s="682"/>
      <c r="BG41" s="682"/>
      <c r="BH41" s="682"/>
      <c r="BI41" s="682"/>
      <c r="BJ41" s="682"/>
      <c r="BK41" s="682"/>
      <c r="BL41" s="682"/>
      <c r="BM41" s="682"/>
      <c r="BN41" s="682"/>
      <c r="BO41" s="682"/>
      <c r="BP41" s="682"/>
      <c r="BQ41" s="682"/>
      <c r="BR41" s="682"/>
      <c r="BS41" s="682"/>
      <c r="BT41" s="682"/>
      <c r="BU41" s="682"/>
      <c r="BV41" s="682"/>
      <c r="BW41" s="682"/>
      <c r="BX41" s="682"/>
      <c r="BY41" s="682"/>
      <c r="BZ41" s="682"/>
      <c r="CA41" s="682"/>
      <c r="CB41" s="682"/>
      <c r="CC41" s="682"/>
      <c r="CD41" s="682"/>
      <c r="CE41" s="682"/>
      <c r="CF41" s="682"/>
      <c r="CG41" s="682"/>
      <c r="CH41" s="682"/>
      <c r="CI41" s="682"/>
      <c r="CJ41" s="682"/>
      <c r="CK41" s="682"/>
      <c r="CL41" s="682"/>
      <c r="CM41" s="682"/>
      <c r="CN41" s="682"/>
      <c r="CO41" s="682"/>
      <c r="CP41" s="682"/>
      <c r="CQ41" s="682"/>
      <c r="CR41" s="682"/>
      <c r="CS41" s="682"/>
      <c r="CT41" s="682"/>
    </row>
    <row r="42" spans="1:98" ht="12.75" customHeight="1">
      <c r="A42" s="688"/>
      <c r="B42" s="1739" t="s">
        <v>1605</v>
      </c>
      <c r="C42" s="1739"/>
      <c r="D42" s="1739"/>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c r="AE42" s="1739"/>
      <c r="AF42" s="1739"/>
      <c r="AG42" s="1739"/>
      <c r="AH42" s="1739"/>
      <c r="AO42" s="682"/>
      <c r="AP42" s="682"/>
      <c r="AQ42" s="682"/>
      <c r="AR42" s="682"/>
      <c r="AS42" s="682"/>
      <c r="AT42" s="682"/>
      <c r="AU42" s="682"/>
      <c r="AV42" s="682"/>
      <c r="AW42" s="682"/>
      <c r="AX42" s="682"/>
      <c r="AY42" s="682"/>
      <c r="AZ42" s="682"/>
      <c r="BA42" s="682"/>
      <c r="BB42" s="682"/>
      <c r="BC42" s="682"/>
      <c r="BD42" s="682"/>
      <c r="BE42" s="682"/>
      <c r="BF42" s="682"/>
      <c r="BG42" s="682"/>
      <c r="BH42" s="682"/>
      <c r="BI42" s="682"/>
      <c r="BJ42" s="682"/>
      <c r="BK42" s="682"/>
      <c r="BL42" s="682"/>
      <c r="BM42" s="682"/>
      <c r="BN42" s="682"/>
      <c r="BO42" s="682"/>
      <c r="BP42" s="682"/>
      <c r="BQ42" s="682"/>
      <c r="BR42" s="682"/>
      <c r="BS42" s="682"/>
      <c r="BT42" s="682"/>
      <c r="BU42" s="682"/>
      <c r="BV42" s="682"/>
      <c r="BW42" s="682"/>
      <c r="BX42" s="682"/>
      <c r="BY42" s="682"/>
      <c r="BZ42" s="682"/>
      <c r="CA42" s="682"/>
      <c r="CB42" s="682"/>
      <c r="CC42" s="682"/>
      <c r="CD42" s="682"/>
      <c r="CE42" s="682"/>
      <c r="CF42" s="682"/>
      <c r="CG42" s="682"/>
      <c r="CH42" s="682"/>
      <c r="CI42" s="682"/>
      <c r="CJ42" s="682"/>
      <c r="CK42" s="682"/>
      <c r="CL42" s="682"/>
      <c r="CM42" s="682"/>
      <c r="CN42" s="682"/>
      <c r="CO42" s="682"/>
      <c r="CP42" s="682"/>
      <c r="CQ42" s="682"/>
      <c r="CR42" s="682"/>
      <c r="CS42" s="682"/>
      <c r="CT42" s="682"/>
    </row>
    <row r="43" spans="1:98" ht="12.75">
      <c r="B43" s="699"/>
      <c r="C43" s="699"/>
      <c r="D43" s="699"/>
      <c r="E43" s="699"/>
      <c r="F43" s="699"/>
      <c r="G43" s="699"/>
      <c r="H43" s="699"/>
      <c r="I43" s="699"/>
      <c r="J43" s="699"/>
      <c r="K43" s="699"/>
      <c r="L43" s="699"/>
      <c r="M43" s="699"/>
      <c r="N43" s="699"/>
      <c r="O43" s="699"/>
      <c r="P43" s="699"/>
      <c r="Q43" s="699"/>
      <c r="R43" s="699"/>
      <c r="S43" s="699"/>
      <c r="T43" s="699"/>
      <c r="U43" s="699"/>
      <c r="V43" s="699"/>
      <c r="W43" s="699"/>
      <c r="X43" s="699"/>
      <c r="Y43" s="699"/>
      <c r="Z43" s="699"/>
      <c r="AA43" s="699"/>
      <c r="AB43" s="699"/>
      <c r="AC43" s="699"/>
      <c r="AD43" s="699"/>
      <c r="AE43" s="699"/>
      <c r="AF43" s="699"/>
      <c r="AG43" s="699"/>
      <c r="AH43" s="699"/>
      <c r="AO43" s="682"/>
      <c r="AP43" s="682"/>
      <c r="AQ43" s="682"/>
      <c r="AR43" s="682"/>
      <c r="AS43" s="682"/>
      <c r="AT43" s="682"/>
      <c r="AU43" s="682"/>
      <c r="AV43" s="682"/>
      <c r="AW43" s="682"/>
      <c r="AX43" s="682"/>
      <c r="AY43" s="682"/>
      <c r="AZ43" s="682"/>
      <c r="BA43" s="682"/>
      <c r="BB43" s="682"/>
      <c r="BC43" s="682"/>
      <c r="BD43" s="682"/>
      <c r="BE43" s="682"/>
      <c r="BF43" s="682"/>
      <c r="BG43" s="682"/>
      <c r="BH43" s="682"/>
      <c r="BI43" s="682"/>
      <c r="BJ43" s="682"/>
      <c r="BK43" s="682"/>
      <c r="BL43" s="682"/>
      <c r="BM43" s="682"/>
      <c r="BN43" s="682"/>
      <c r="BO43" s="682"/>
      <c r="BP43" s="682"/>
      <c r="BQ43" s="682"/>
      <c r="BR43" s="682"/>
      <c r="BS43" s="682"/>
      <c r="BT43" s="682"/>
      <c r="BU43" s="682"/>
      <c r="BV43" s="682"/>
      <c r="BW43" s="682"/>
      <c r="BX43" s="682"/>
      <c r="BY43" s="682"/>
      <c r="BZ43" s="682"/>
      <c r="CA43" s="682"/>
      <c r="CB43" s="682"/>
      <c r="CC43" s="682"/>
      <c r="CD43" s="682"/>
      <c r="CE43" s="682"/>
      <c r="CF43" s="682"/>
      <c r="CG43" s="682"/>
      <c r="CH43" s="682"/>
      <c r="CI43" s="682"/>
      <c r="CJ43" s="682"/>
      <c r="CK43" s="682"/>
      <c r="CL43" s="682"/>
      <c r="CM43" s="682"/>
      <c r="CN43" s="682"/>
      <c r="CO43" s="682"/>
      <c r="CP43" s="682"/>
      <c r="CQ43" s="682"/>
      <c r="CR43" s="682"/>
      <c r="CS43" s="682"/>
      <c r="CT43" s="682"/>
    </row>
    <row r="44" spans="1:98" ht="12.75">
      <c r="AO44" s="682"/>
      <c r="AP44" s="682"/>
      <c r="AQ44" s="682"/>
      <c r="AR44" s="682"/>
      <c r="AS44" s="682"/>
      <c r="AT44" s="682"/>
      <c r="AU44" s="682"/>
      <c r="AV44" s="682"/>
      <c r="AW44" s="682"/>
      <c r="AX44" s="682"/>
      <c r="AY44" s="682"/>
      <c r="AZ44" s="682"/>
      <c r="BA44" s="682"/>
      <c r="BB44" s="682"/>
      <c r="BC44" s="682"/>
      <c r="BD44" s="682"/>
      <c r="BE44" s="682"/>
      <c r="BF44" s="682"/>
      <c r="BG44" s="682"/>
      <c r="BH44" s="682"/>
      <c r="BI44" s="682"/>
      <c r="BJ44" s="682"/>
      <c r="BK44" s="682"/>
      <c r="BL44" s="682"/>
      <c r="BM44" s="682"/>
      <c r="BN44" s="682"/>
      <c r="BO44" s="682"/>
      <c r="BP44" s="682"/>
      <c r="BQ44" s="682"/>
      <c r="BR44" s="682"/>
      <c r="BS44" s="682"/>
      <c r="BT44" s="682"/>
      <c r="BU44" s="682"/>
      <c r="BV44" s="682"/>
      <c r="BW44" s="682"/>
      <c r="BX44" s="682"/>
      <c r="BY44" s="682"/>
      <c r="BZ44" s="682"/>
      <c r="CA44" s="682"/>
      <c r="CB44" s="682"/>
      <c r="CC44" s="682"/>
      <c r="CD44" s="682"/>
      <c r="CE44" s="682"/>
      <c r="CF44" s="682"/>
      <c r="CG44" s="682"/>
      <c r="CH44" s="682"/>
      <c r="CI44" s="682"/>
      <c r="CJ44" s="682"/>
      <c r="CK44" s="682"/>
      <c r="CL44" s="682"/>
      <c r="CM44" s="682"/>
      <c r="CN44" s="682"/>
      <c r="CO44" s="682"/>
      <c r="CP44" s="682"/>
      <c r="CQ44" s="682"/>
      <c r="CR44" s="682"/>
      <c r="CS44" s="682"/>
      <c r="CT44" s="682"/>
    </row>
    <row r="45" spans="1:98" ht="12.75">
      <c r="A45" s="688" t="s">
        <v>667</v>
      </c>
      <c r="C45" s="688" t="s">
        <v>303</v>
      </c>
      <c r="AO45" s="682"/>
      <c r="AP45" s="682"/>
      <c r="AQ45" s="682"/>
      <c r="AR45" s="682"/>
      <c r="AS45" s="682"/>
      <c r="AT45" s="682"/>
      <c r="AU45" s="682"/>
      <c r="AV45" s="682"/>
      <c r="AW45" s="682"/>
      <c r="AX45" s="682"/>
      <c r="AY45" s="682"/>
      <c r="AZ45" s="682"/>
      <c r="BA45" s="682"/>
      <c r="BB45" s="682"/>
      <c r="BC45" s="682"/>
      <c r="BD45" s="682"/>
      <c r="BE45" s="682"/>
      <c r="BF45" s="682"/>
      <c r="BG45" s="682"/>
      <c r="BH45" s="682"/>
      <c r="BI45" s="682"/>
      <c r="BJ45" s="682"/>
      <c r="BK45" s="682"/>
      <c r="BL45" s="682"/>
      <c r="BM45" s="682"/>
      <c r="BN45" s="682"/>
      <c r="BO45" s="682"/>
      <c r="BP45" s="682"/>
      <c r="BQ45" s="682"/>
      <c r="BR45" s="682"/>
      <c r="BS45" s="682"/>
      <c r="BT45" s="682"/>
      <c r="BU45" s="682"/>
      <c r="BV45" s="682"/>
      <c r="BW45" s="682"/>
      <c r="BX45" s="682"/>
      <c r="BY45" s="682"/>
      <c r="BZ45" s="682"/>
      <c r="CA45" s="682"/>
      <c r="CB45" s="682"/>
      <c r="CC45" s="682"/>
      <c r="CD45" s="682"/>
      <c r="CE45" s="682"/>
      <c r="CF45" s="682"/>
      <c r="CG45" s="682"/>
      <c r="CH45" s="682"/>
      <c r="CI45" s="682"/>
      <c r="CJ45" s="682"/>
      <c r="CK45" s="682"/>
      <c r="CL45" s="682"/>
      <c r="CM45" s="682"/>
      <c r="CN45" s="682"/>
      <c r="CO45" s="682"/>
      <c r="CP45" s="682"/>
      <c r="CQ45" s="682"/>
      <c r="CR45" s="682"/>
      <c r="CS45" s="682"/>
      <c r="CT45" s="682"/>
    </row>
    <row r="46" spans="1:98" ht="12.75">
      <c r="D46" s="688" t="s">
        <v>304</v>
      </c>
      <c r="AB46" s="1699">
        <f>'Sources and Uses Budget'!B105-'Sources and Uses Budget'!B15</f>
        <v>16078758.547717843</v>
      </c>
      <c r="AC46" s="1700"/>
      <c r="AD46" s="1700"/>
      <c r="AE46" s="1700"/>
      <c r="AF46" s="1701"/>
      <c r="AO46" s="682"/>
      <c r="AP46" s="682"/>
      <c r="AQ46" s="682"/>
      <c r="AR46" s="682"/>
      <c r="AS46" s="682"/>
      <c r="AT46" s="682"/>
      <c r="AU46" s="682"/>
      <c r="AV46" s="682"/>
      <c r="AW46" s="682"/>
      <c r="AX46" s="682"/>
      <c r="AY46" s="682"/>
      <c r="AZ46" s="682"/>
      <c r="BA46" s="682"/>
      <c r="BB46" s="682"/>
      <c r="BC46" s="682"/>
      <c r="BD46" s="682"/>
      <c r="BE46" s="682"/>
      <c r="BF46" s="682"/>
      <c r="BG46" s="682"/>
      <c r="BH46" s="682"/>
      <c r="BI46" s="682"/>
      <c r="BJ46" s="682"/>
      <c r="BK46" s="682"/>
      <c r="BL46" s="682"/>
      <c r="BM46" s="682"/>
      <c r="BN46" s="682"/>
      <c r="BO46" s="682"/>
      <c r="BP46" s="682"/>
      <c r="BQ46" s="682"/>
      <c r="BR46" s="682"/>
      <c r="BS46" s="682"/>
      <c r="BT46" s="682"/>
      <c r="BU46" s="682"/>
      <c r="BV46" s="682"/>
      <c r="BW46" s="682"/>
      <c r="BX46" s="682"/>
      <c r="BY46" s="682"/>
      <c r="BZ46" s="682"/>
      <c r="CA46" s="682"/>
      <c r="CB46" s="682"/>
      <c r="CC46" s="682"/>
      <c r="CD46" s="682"/>
      <c r="CE46" s="682"/>
      <c r="CF46" s="682"/>
      <c r="CG46" s="682"/>
      <c r="CH46" s="682"/>
      <c r="CI46" s="682"/>
      <c r="CJ46" s="682"/>
      <c r="CK46" s="682"/>
      <c r="CL46" s="682"/>
      <c r="CM46" s="682"/>
      <c r="CN46" s="682"/>
      <c r="CO46" s="682"/>
      <c r="CP46" s="682"/>
      <c r="CQ46" s="682"/>
      <c r="CR46" s="682"/>
      <c r="CS46" s="682"/>
      <c r="CT46" s="682"/>
    </row>
    <row r="47" spans="1:98" ht="12.75" customHeight="1">
      <c r="D47" s="688" t="s">
        <v>24</v>
      </c>
      <c r="AB47" s="1699">
        <f>Application!AG630-MIN('Sources and Uses Budget'!B15,Application!AG390)</f>
        <v>11214560</v>
      </c>
      <c r="AC47" s="1700"/>
      <c r="AD47" s="1700"/>
      <c r="AE47" s="1700"/>
      <c r="AF47" s="1701"/>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82"/>
      <c r="CG47" s="682"/>
      <c r="CH47" s="682"/>
      <c r="CI47" s="682"/>
      <c r="CJ47" s="682"/>
      <c r="CK47" s="682"/>
      <c r="CL47" s="682"/>
      <c r="CM47" s="682"/>
      <c r="CN47" s="682"/>
      <c r="CO47" s="682"/>
      <c r="CP47" s="682"/>
      <c r="CQ47" s="682"/>
      <c r="CR47" s="682"/>
      <c r="CS47" s="682"/>
      <c r="CT47" s="682"/>
    </row>
    <row r="48" spans="1:98" ht="12.75">
      <c r="D48" s="688" t="s">
        <v>99</v>
      </c>
      <c r="AB48" s="1699">
        <f>AB46-AB47</f>
        <v>4864198.5477178432</v>
      </c>
      <c r="AC48" s="1700"/>
      <c r="AD48" s="1700"/>
      <c r="AE48" s="1700"/>
      <c r="AF48" s="1701"/>
      <c r="AO48" s="682"/>
      <c r="AP48" s="682"/>
      <c r="AQ48" s="682"/>
      <c r="AR48" s="682"/>
      <c r="AS48" s="682"/>
      <c r="AT48" s="682"/>
      <c r="AU48" s="682"/>
      <c r="AV48" s="682"/>
      <c r="AW48" s="682"/>
      <c r="AX48" s="682"/>
      <c r="AY48" s="682"/>
      <c r="AZ48" s="682"/>
      <c r="BA48" s="682"/>
      <c r="BB48" s="682"/>
      <c r="BC48" s="682"/>
      <c r="BD48" s="682"/>
      <c r="BE48" s="682"/>
      <c r="BF48" s="682"/>
      <c r="BG48" s="682"/>
      <c r="BH48" s="682"/>
      <c r="BI48" s="682"/>
      <c r="BJ48" s="682"/>
      <c r="BK48" s="682"/>
      <c r="BL48" s="682"/>
      <c r="BM48" s="682"/>
      <c r="BN48" s="682"/>
      <c r="BO48" s="682"/>
      <c r="BP48" s="682"/>
      <c r="BQ48" s="682"/>
      <c r="BR48" s="682"/>
      <c r="BS48" s="682"/>
      <c r="BT48" s="682"/>
      <c r="BU48" s="682"/>
      <c r="BV48" s="682"/>
      <c r="BW48" s="682"/>
      <c r="BX48" s="682"/>
      <c r="BY48" s="682"/>
      <c r="BZ48" s="682"/>
      <c r="CA48" s="682"/>
      <c r="CB48" s="682"/>
      <c r="CC48" s="682"/>
      <c r="CD48" s="682"/>
      <c r="CE48" s="682"/>
      <c r="CF48" s="682"/>
      <c r="CG48" s="682"/>
      <c r="CH48" s="682"/>
      <c r="CI48" s="682"/>
      <c r="CJ48" s="682"/>
      <c r="CK48" s="682"/>
      <c r="CL48" s="682"/>
      <c r="CM48" s="682"/>
      <c r="CN48" s="682"/>
      <c r="CO48" s="682"/>
      <c r="CP48" s="682"/>
      <c r="CQ48" s="682"/>
      <c r="CR48" s="682"/>
      <c r="CS48" s="682"/>
      <c r="CT48" s="682"/>
    </row>
    <row r="49" spans="1:98" ht="12.75">
      <c r="D49" s="688" t="s">
        <v>767</v>
      </c>
      <c r="X49" s="684"/>
      <c r="Y49" s="684"/>
      <c r="Z49" s="684"/>
      <c r="AA49" s="700"/>
      <c r="AB49" s="1689"/>
      <c r="AC49" s="1690"/>
      <c r="AD49" s="1690"/>
      <c r="AE49" s="1690"/>
      <c r="AF49" s="1691"/>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row>
    <row r="50" spans="1:98" s="704" customFormat="1" ht="15" customHeight="1">
      <c r="A50" s="684"/>
      <c r="B50" s="684"/>
      <c r="C50" s="684"/>
      <c r="D50" s="701"/>
      <c r="E50" s="1698" t="s">
        <v>1240</v>
      </c>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702"/>
      <c r="AB50" s="702"/>
      <c r="AC50" s="702"/>
      <c r="AD50" s="702"/>
      <c r="AE50" s="702"/>
      <c r="AF50" s="702"/>
      <c r="AG50" s="684"/>
      <c r="AH50" s="684"/>
      <c r="AI50" s="684"/>
      <c r="AJ50" s="684"/>
      <c r="AK50" s="684"/>
      <c r="AL50" s="684"/>
      <c r="AM50" s="684"/>
      <c r="AN50" s="684"/>
      <c r="AO50" s="703"/>
      <c r="AP50" s="703"/>
      <c r="AQ50" s="703"/>
      <c r="AR50" s="703"/>
      <c r="AS50" s="703"/>
      <c r="AT50" s="703"/>
      <c r="AU50" s="703"/>
      <c r="AV50" s="703"/>
      <c r="AW50" s="703"/>
      <c r="AX50" s="703"/>
      <c r="AY50" s="703"/>
      <c r="AZ50" s="703"/>
      <c r="BA50" s="703"/>
      <c r="BB50" s="703"/>
      <c r="BC50" s="703"/>
      <c r="BD50" s="703"/>
      <c r="BE50" s="703"/>
      <c r="BF50" s="703"/>
      <c r="BG50" s="703"/>
      <c r="BH50" s="703"/>
      <c r="BI50" s="703"/>
      <c r="BJ50" s="703"/>
      <c r="BK50" s="703"/>
      <c r="BL50" s="703"/>
      <c r="BM50" s="703"/>
      <c r="BN50" s="703"/>
      <c r="BO50" s="703"/>
      <c r="BP50" s="703"/>
      <c r="BQ50" s="703"/>
      <c r="BR50" s="703"/>
      <c r="BS50" s="703"/>
      <c r="BT50" s="703"/>
      <c r="BU50" s="703"/>
      <c r="BV50" s="703"/>
      <c r="BW50" s="703"/>
      <c r="BX50" s="703"/>
      <c r="BY50" s="703"/>
      <c r="BZ50" s="703"/>
      <c r="CA50" s="703"/>
      <c r="CB50" s="703"/>
      <c r="CC50" s="703"/>
      <c r="CD50" s="703"/>
      <c r="CE50" s="703"/>
      <c r="CF50" s="703"/>
      <c r="CG50" s="703"/>
      <c r="CH50" s="703"/>
      <c r="CI50" s="703"/>
      <c r="CJ50" s="703"/>
      <c r="CK50" s="703"/>
      <c r="CL50" s="703"/>
      <c r="CM50" s="703"/>
      <c r="CN50" s="703"/>
      <c r="CO50" s="703"/>
      <c r="CP50" s="703"/>
      <c r="CQ50" s="703"/>
      <c r="CR50" s="703"/>
      <c r="CS50" s="703"/>
      <c r="CT50" s="703"/>
    </row>
    <row r="51" spans="1:98" s="704" customFormat="1" ht="12" customHeight="1">
      <c r="A51" s="684"/>
      <c r="B51" s="684"/>
      <c r="C51" s="684"/>
      <c r="D51" s="701"/>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705"/>
      <c r="AB51" s="705"/>
      <c r="AC51" s="705"/>
      <c r="AD51" s="705"/>
      <c r="AE51" s="705"/>
      <c r="AF51" s="705"/>
      <c r="AG51" s="706"/>
      <c r="AH51" s="684"/>
      <c r="AI51" s="684"/>
      <c r="AJ51" s="684"/>
      <c r="AK51" s="684"/>
      <c r="AL51" s="684"/>
      <c r="AM51" s="684"/>
      <c r="AN51" s="684"/>
      <c r="AO51" s="703"/>
      <c r="AP51" s="703"/>
      <c r="AQ51" s="703"/>
      <c r="AR51" s="703"/>
      <c r="AS51" s="703"/>
      <c r="AT51" s="703"/>
      <c r="AU51" s="703"/>
      <c r="AV51" s="703"/>
      <c r="AW51" s="703"/>
      <c r="AX51" s="703"/>
      <c r="AY51" s="703"/>
      <c r="AZ51" s="703"/>
      <c r="BA51" s="703"/>
      <c r="BB51" s="703"/>
      <c r="BC51" s="703"/>
      <c r="BD51" s="703"/>
      <c r="BE51" s="703"/>
      <c r="BF51" s="703"/>
      <c r="BG51" s="703"/>
      <c r="BH51" s="703"/>
      <c r="BI51" s="703"/>
      <c r="BJ51" s="703"/>
      <c r="BK51" s="703"/>
      <c r="BL51" s="703"/>
      <c r="BM51" s="703"/>
      <c r="BN51" s="703"/>
      <c r="BO51" s="703"/>
      <c r="BP51" s="703"/>
      <c r="BQ51" s="703"/>
      <c r="BR51" s="703"/>
      <c r="BS51" s="703"/>
      <c r="BT51" s="703"/>
      <c r="BU51" s="703"/>
      <c r="BV51" s="703"/>
      <c r="BW51" s="703"/>
      <c r="BX51" s="703"/>
      <c r="BY51" s="703"/>
      <c r="BZ51" s="703"/>
      <c r="CA51" s="703"/>
      <c r="CB51" s="703"/>
      <c r="CC51" s="703"/>
      <c r="CD51" s="703"/>
      <c r="CE51" s="703"/>
      <c r="CF51" s="703"/>
      <c r="CG51" s="703"/>
      <c r="CH51" s="703"/>
      <c r="CI51" s="703"/>
      <c r="CJ51" s="703"/>
      <c r="CK51" s="703"/>
      <c r="CL51" s="703"/>
      <c r="CM51" s="703"/>
      <c r="CN51" s="703"/>
      <c r="CO51" s="703"/>
      <c r="CP51" s="703"/>
      <c r="CQ51" s="703"/>
      <c r="CR51" s="703"/>
      <c r="CS51" s="703"/>
      <c r="CT51" s="703"/>
    </row>
    <row r="52" spans="1:98" s="684" customFormat="1" ht="12" customHeight="1">
      <c r="D52" s="701"/>
      <c r="E52" s="707"/>
      <c r="F52" s="707"/>
      <c r="G52" s="707"/>
      <c r="H52" s="707"/>
      <c r="I52" s="707"/>
      <c r="J52" s="707"/>
      <c r="K52" s="707"/>
      <c r="L52" s="707"/>
      <c r="M52" s="707"/>
      <c r="N52" s="707"/>
      <c r="O52" s="707"/>
      <c r="P52" s="707"/>
      <c r="Q52" s="707"/>
      <c r="R52" s="707"/>
      <c r="S52" s="707"/>
      <c r="T52" s="707"/>
      <c r="U52" s="707"/>
      <c r="V52" s="707"/>
      <c r="W52" s="707"/>
      <c r="X52" s="707"/>
      <c r="Y52" s="707"/>
      <c r="Z52" s="707"/>
      <c r="AO52" s="687"/>
      <c r="AP52" s="687"/>
      <c r="AQ52" s="687"/>
      <c r="AR52" s="687"/>
      <c r="AS52" s="687"/>
      <c r="AT52" s="687"/>
      <c r="AU52" s="687"/>
      <c r="AV52" s="687"/>
      <c r="AW52" s="687"/>
      <c r="AX52" s="687"/>
      <c r="AY52" s="687"/>
      <c r="AZ52" s="687"/>
      <c r="BA52" s="687"/>
      <c r="BB52" s="687"/>
      <c r="BC52" s="687"/>
      <c r="BD52" s="687"/>
      <c r="BE52" s="687"/>
      <c r="BF52" s="687"/>
      <c r="BG52" s="687"/>
      <c r="BH52" s="687"/>
      <c r="BI52" s="687"/>
      <c r="BJ52" s="687"/>
      <c r="BK52" s="687"/>
      <c r="BL52" s="687"/>
      <c r="BM52" s="687"/>
      <c r="BN52" s="687"/>
      <c r="BO52" s="687"/>
      <c r="BP52" s="687"/>
      <c r="BQ52" s="687"/>
      <c r="BR52" s="687"/>
      <c r="BS52" s="687"/>
      <c r="BT52" s="687"/>
      <c r="BU52" s="687"/>
      <c r="BV52" s="687"/>
      <c r="BW52" s="687"/>
      <c r="BX52" s="687"/>
      <c r="BY52" s="687"/>
      <c r="BZ52" s="687"/>
      <c r="CA52" s="687"/>
      <c r="CB52" s="687"/>
      <c r="CC52" s="687"/>
      <c r="CD52" s="687"/>
      <c r="CE52" s="687"/>
      <c r="CF52" s="687"/>
      <c r="CG52" s="687"/>
      <c r="CH52" s="687"/>
      <c r="CI52" s="687"/>
      <c r="CJ52" s="687"/>
      <c r="CK52" s="687"/>
      <c r="CL52" s="687"/>
      <c r="CM52" s="687"/>
      <c r="CN52" s="687"/>
      <c r="CO52" s="687"/>
      <c r="CP52" s="687"/>
      <c r="CQ52" s="687"/>
      <c r="CR52" s="687"/>
      <c r="CS52" s="687"/>
      <c r="CT52" s="687"/>
    </row>
    <row r="53" spans="1:98" s="684" customFormat="1" ht="15" customHeight="1">
      <c r="A53" s="683"/>
      <c r="B53" s="683"/>
      <c r="C53" s="683"/>
      <c r="D53" s="688" t="s">
        <v>359</v>
      </c>
      <c r="E53" s="683"/>
      <c r="F53" s="683"/>
      <c r="G53" s="683"/>
      <c r="H53" s="683"/>
      <c r="I53" s="683"/>
      <c r="J53" s="683"/>
      <c r="K53" s="683"/>
      <c r="L53" s="683"/>
      <c r="M53" s="683"/>
      <c r="N53" s="683"/>
      <c r="O53" s="683"/>
      <c r="P53" s="683"/>
      <c r="Q53" s="683"/>
      <c r="R53" s="683"/>
      <c r="S53" s="683"/>
      <c r="T53" s="683"/>
      <c r="U53" s="683"/>
      <c r="V53" s="683"/>
      <c r="W53" s="683"/>
      <c r="X53" s="683"/>
      <c r="Y53" s="683"/>
      <c r="Z53" s="683"/>
      <c r="AA53" s="683"/>
      <c r="AB53" s="1699">
        <f>ROUND(IF(ISERROR((AB48/AB49)),0,(AB48/AB49)),0)</f>
        <v>0</v>
      </c>
      <c r="AC53" s="1700"/>
      <c r="AD53" s="1700"/>
      <c r="AE53" s="1700"/>
      <c r="AF53" s="1701"/>
      <c r="AG53" s="683"/>
      <c r="AH53" s="683"/>
      <c r="AI53" s="683"/>
      <c r="AJ53" s="683"/>
      <c r="AK53" s="683"/>
      <c r="AL53" s="683"/>
      <c r="AM53" s="683"/>
      <c r="AN53" s="683"/>
      <c r="AO53" s="687"/>
      <c r="AP53" s="687"/>
      <c r="AQ53" s="687"/>
      <c r="AR53" s="687"/>
      <c r="AS53" s="687"/>
      <c r="AT53" s="687"/>
      <c r="AU53" s="687"/>
      <c r="AV53" s="687"/>
      <c r="AW53" s="687"/>
      <c r="AX53" s="687"/>
      <c r="AY53" s="687"/>
      <c r="AZ53" s="687"/>
      <c r="BA53" s="687"/>
      <c r="BB53" s="687"/>
      <c r="BC53" s="687"/>
      <c r="BD53" s="687"/>
      <c r="BE53" s="687"/>
      <c r="BF53" s="687"/>
      <c r="BG53" s="687"/>
      <c r="BH53" s="687"/>
      <c r="BI53" s="687"/>
      <c r="BJ53" s="687"/>
      <c r="BK53" s="687"/>
      <c r="BL53" s="687"/>
      <c r="BM53" s="687"/>
      <c r="BN53" s="687"/>
      <c r="BO53" s="687"/>
      <c r="BP53" s="687"/>
      <c r="BQ53" s="687"/>
      <c r="BR53" s="687"/>
      <c r="BS53" s="687"/>
      <c r="BT53" s="687"/>
      <c r="BU53" s="687"/>
      <c r="BV53" s="687"/>
      <c r="BW53" s="687"/>
      <c r="BX53" s="687"/>
      <c r="BY53" s="687"/>
      <c r="BZ53" s="687"/>
      <c r="CA53" s="687"/>
      <c r="CB53" s="687"/>
      <c r="CC53" s="687"/>
      <c r="CD53" s="687"/>
      <c r="CE53" s="687"/>
      <c r="CF53" s="687"/>
      <c r="CG53" s="687"/>
      <c r="CH53" s="687"/>
      <c r="CI53" s="687"/>
      <c r="CJ53" s="687"/>
      <c r="CK53" s="687"/>
      <c r="CL53" s="687"/>
      <c r="CM53" s="687"/>
      <c r="CN53" s="687"/>
      <c r="CO53" s="687"/>
      <c r="CP53" s="687"/>
      <c r="CQ53" s="687"/>
      <c r="CR53" s="687"/>
      <c r="CS53" s="687"/>
      <c r="CT53" s="687"/>
    </row>
    <row r="54" spans="1:98" ht="12.75" customHeight="1">
      <c r="D54" s="688" t="s">
        <v>360</v>
      </c>
      <c r="AB54" s="1699">
        <f>(AB53/10)</f>
        <v>0</v>
      </c>
      <c r="AC54" s="1700"/>
      <c r="AD54" s="1700"/>
      <c r="AE54" s="1700"/>
      <c r="AF54" s="1701"/>
      <c r="AO54" s="682"/>
      <c r="AP54" s="682"/>
      <c r="AQ54" s="682"/>
      <c r="AR54" s="682"/>
      <c r="AS54" s="682"/>
      <c r="AT54" s="682"/>
      <c r="AU54" s="682"/>
      <c r="AV54" s="682"/>
      <c r="AW54" s="682"/>
      <c r="AX54" s="682"/>
      <c r="AY54" s="682"/>
      <c r="AZ54" s="682"/>
      <c r="BA54" s="682"/>
      <c r="BB54" s="682"/>
      <c r="BC54" s="682"/>
      <c r="BD54" s="682"/>
      <c r="BE54" s="682"/>
      <c r="BF54" s="682"/>
      <c r="BG54" s="682"/>
      <c r="BH54" s="682"/>
      <c r="BI54" s="682"/>
      <c r="BJ54" s="682"/>
      <c r="BK54" s="682"/>
      <c r="BL54" s="682"/>
      <c r="BM54" s="682"/>
      <c r="BN54" s="682"/>
      <c r="BO54" s="682"/>
      <c r="BP54" s="682"/>
      <c r="BQ54" s="682"/>
      <c r="BR54" s="682"/>
      <c r="BS54" s="682"/>
      <c r="BT54" s="682"/>
      <c r="BU54" s="682"/>
      <c r="BV54" s="682"/>
      <c r="BW54" s="682"/>
      <c r="BX54" s="682"/>
      <c r="BY54" s="682"/>
      <c r="BZ54" s="682"/>
      <c r="CA54" s="682"/>
      <c r="CB54" s="682"/>
      <c r="CC54" s="682"/>
      <c r="CD54" s="682"/>
      <c r="CE54" s="682"/>
      <c r="CF54" s="682"/>
      <c r="CG54" s="682"/>
      <c r="CH54" s="682"/>
      <c r="CI54" s="682"/>
      <c r="CJ54" s="682"/>
      <c r="CK54" s="682"/>
      <c r="CL54" s="682"/>
      <c r="CM54" s="682"/>
      <c r="CN54" s="682"/>
      <c r="CO54" s="682"/>
      <c r="CP54" s="682"/>
      <c r="CQ54" s="682"/>
      <c r="CR54" s="682"/>
      <c r="CS54" s="682"/>
      <c r="CT54" s="682"/>
    </row>
    <row r="55" spans="1:98" ht="12.75">
      <c r="D55" s="688" t="s">
        <v>850</v>
      </c>
      <c r="AB55" s="1702">
        <f>(IF((Y41&lt;AB54),Y41,AB54))</f>
        <v>0</v>
      </c>
      <c r="AC55" s="1703"/>
      <c r="AD55" s="1703"/>
      <c r="AE55" s="1703"/>
      <c r="AF55" s="1704"/>
      <c r="AO55" s="682"/>
      <c r="AP55" s="682"/>
      <c r="AQ55" s="682"/>
      <c r="AR55" s="682"/>
      <c r="AS55" s="682"/>
      <c r="AT55" s="682"/>
      <c r="AU55" s="682"/>
      <c r="AV55" s="682"/>
      <c r="AW55" s="682"/>
      <c r="AX55" s="682"/>
      <c r="AY55" s="682"/>
      <c r="AZ55" s="682"/>
      <c r="BA55" s="682"/>
      <c r="BB55" s="682"/>
      <c r="BC55" s="682"/>
      <c r="BD55" s="682"/>
      <c r="BE55" s="682"/>
      <c r="BF55" s="682"/>
      <c r="BG55" s="682"/>
      <c r="BH55" s="682"/>
      <c r="BI55" s="682"/>
      <c r="BJ55" s="682"/>
      <c r="BK55" s="682"/>
      <c r="BL55" s="682"/>
      <c r="BM55" s="682"/>
      <c r="BN55" s="682"/>
      <c r="BO55" s="682"/>
      <c r="BP55" s="682"/>
      <c r="BQ55" s="682"/>
      <c r="BR55" s="682"/>
      <c r="BS55" s="682"/>
      <c r="BT55" s="682"/>
      <c r="BU55" s="682"/>
      <c r="BV55" s="682"/>
      <c r="BW55" s="682"/>
      <c r="BX55" s="682"/>
      <c r="BY55" s="682"/>
      <c r="BZ55" s="682"/>
      <c r="CA55" s="682"/>
      <c r="CB55" s="682"/>
      <c r="CC55" s="682"/>
      <c r="CD55" s="682"/>
      <c r="CE55" s="682"/>
      <c r="CF55" s="682"/>
      <c r="CG55" s="682"/>
      <c r="CH55" s="682"/>
      <c r="CI55" s="682"/>
      <c r="CJ55" s="682"/>
      <c r="CK55" s="682"/>
      <c r="CL55" s="682"/>
      <c r="CM55" s="682"/>
      <c r="CN55" s="682"/>
      <c r="CO55" s="682"/>
      <c r="CP55" s="682"/>
      <c r="CQ55" s="682"/>
      <c r="CR55" s="682"/>
      <c r="CS55" s="682"/>
      <c r="CT55" s="682"/>
    </row>
    <row r="56" spans="1:98" ht="12.75">
      <c r="D56" s="688" t="s">
        <v>849</v>
      </c>
      <c r="AB56" s="1699">
        <f>ROUND((10*AB55*AB49),0)</f>
        <v>0</v>
      </c>
      <c r="AC56" s="1700"/>
      <c r="AD56" s="1700"/>
      <c r="AE56" s="1700"/>
      <c r="AF56" s="1701"/>
      <c r="AO56" s="682"/>
      <c r="AP56" s="682"/>
      <c r="AQ56" s="682"/>
      <c r="AR56" s="682"/>
      <c r="AS56" s="682"/>
      <c r="AT56" s="682"/>
      <c r="AU56" s="682"/>
      <c r="AV56" s="682"/>
      <c r="AW56" s="682"/>
      <c r="AX56" s="682"/>
      <c r="AY56" s="682"/>
      <c r="AZ56" s="682"/>
      <c r="BA56" s="682"/>
      <c r="BB56" s="682"/>
      <c r="BC56" s="682"/>
      <c r="BD56" s="682"/>
      <c r="BE56" s="682"/>
      <c r="BF56" s="682"/>
      <c r="BG56" s="682"/>
      <c r="BH56" s="682"/>
      <c r="BI56" s="682"/>
      <c r="BJ56" s="682"/>
      <c r="BK56" s="682"/>
      <c r="BL56" s="682"/>
      <c r="BM56" s="682"/>
      <c r="BN56" s="682"/>
      <c r="BO56" s="682"/>
      <c r="BP56" s="682"/>
      <c r="BQ56" s="682"/>
      <c r="BR56" s="682"/>
      <c r="BS56" s="682"/>
      <c r="BT56" s="682"/>
      <c r="BU56" s="682"/>
      <c r="BV56" s="682"/>
      <c r="BW56" s="682"/>
      <c r="BX56" s="682"/>
      <c r="BY56" s="682"/>
      <c r="BZ56" s="682"/>
      <c r="CA56" s="682"/>
      <c r="CB56" s="682"/>
      <c r="CC56" s="682"/>
      <c r="CD56" s="682"/>
      <c r="CE56" s="682"/>
      <c r="CF56" s="682"/>
      <c r="CG56" s="682"/>
      <c r="CH56" s="682"/>
      <c r="CI56" s="682"/>
      <c r="CJ56" s="682"/>
      <c r="CK56" s="682"/>
      <c r="CL56" s="682"/>
      <c r="CM56" s="682"/>
      <c r="CN56" s="682"/>
      <c r="CO56" s="682"/>
      <c r="CP56" s="682"/>
      <c r="CQ56" s="682"/>
      <c r="CR56" s="682"/>
      <c r="CS56" s="682"/>
      <c r="CT56" s="682"/>
    </row>
    <row r="57" spans="1:98" ht="12.75">
      <c r="D57" s="688"/>
      <c r="AB57" s="718"/>
      <c r="AC57" s="718"/>
      <c r="AD57" s="718"/>
      <c r="AE57" s="718"/>
      <c r="AF57" s="718"/>
      <c r="AO57" s="682"/>
      <c r="AP57" s="682"/>
      <c r="AQ57" s="682"/>
      <c r="AR57" s="682"/>
      <c r="AS57" s="682"/>
      <c r="AT57" s="682"/>
      <c r="AU57" s="682"/>
      <c r="AV57" s="682"/>
      <c r="AW57" s="682"/>
      <c r="AX57" s="682"/>
      <c r="AY57" s="682"/>
      <c r="AZ57" s="682"/>
      <c r="BA57" s="682"/>
      <c r="BB57" s="682"/>
      <c r="BC57" s="682"/>
      <c r="BD57" s="682"/>
      <c r="BE57" s="682"/>
      <c r="BF57" s="682"/>
      <c r="BG57" s="682"/>
      <c r="BH57" s="682"/>
      <c r="BI57" s="682"/>
      <c r="BJ57" s="682"/>
      <c r="BK57" s="682"/>
      <c r="BL57" s="682"/>
      <c r="BM57" s="682"/>
      <c r="BN57" s="682"/>
      <c r="BO57" s="682"/>
      <c r="BP57" s="682"/>
      <c r="BQ57" s="682"/>
      <c r="BR57" s="682"/>
      <c r="BS57" s="682"/>
      <c r="BT57" s="682"/>
      <c r="BU57" s="682"/>
      <c r="BV57" s="682"/>
      <c r="BW57" s="682"/>
      <c r="BX57" s="682"/>
      <c r="BY57" s="682"/>
      <c r="BZ57" s="682"/>
      <c r="CA57" s="682"/>
      <c r="CB57" s="682"/>
      <c r="CC57" s="682"/>
      <c r="CD57" s="682"/>
      <c r="CE57" s="682"/>
      <c r="CF57" s="682"/>
      <c r="CG57" s="682"/>
      <c r="CH57" s="682"/>
      <c r="CI57" s="682"/>
      <c r="CJ57" s="682"/>
      <c r="CK57" s="682"/>
      <c r="CL57" s="682"/>
      <c r="CM57" s="682"/>
      <c r="CN57" s="682"/>
      <c r="CO57" s="682"/>
      <c r="CP57" s="682"/>
      <c r="CQ57" s="682"/>
      <c r="CR57" s="682"/>
      <c r="CS57" s="682"/>
      <c r="CT57" s="682"/>
    </row>
    <row r="58" spans="1:98" ht="12.75" customHeight="1">
      <c r="D58" s="688" t="s">
        <v>848</v>
      </c>
      <c r="AB58" s="1683">
        <f>AB48-AB56</f>
        <v>4864198.5477178432</v>
      </c>
      <c r="AC58" s="1683"/>
      <c r="AD58" s="1683"/>
      <c r="AE58" s="1683"/>
      <c r="AF58" s="1683"/>
      <c r="AO58" s="682"/>
      <c r="AP58" s="682"/>
      <c r="AQ58" s="682"/>
      <c r="AR58" s="682"/>
      <c r="AS58" s="682"/>
      <c r="AT58" s="682"/>
      <c r="AU58" s="682"/>
      <c r="AV58" s="682"/>
      <c r="AW58" s="682"/>
      <c r="AX58" s="682"/>
      <c r="AY58" s="682"/>
      <c r="AZ58" s="682"/>
      <c r="BA58" s="682"/>
      <c r="BB58" s="682"/>
      <c r="BC58" s="682"/>
      <c r="BD58" s="682"/>
      <c r="BE58" s="682"/>
      <c r="BF58" s="682"/>
      <c r="BG58" s="682"/>
      <c r="BH58" s="682"/>
      <c r="BI58" s="682"/>
      <c r="BJ58" s="682"/>
      <c r="BK58" s="682"/>
      <c r="BL58" s="682"/>
      <c r="BM58" s="682"/>
      <c r="BN58" s="682"/>
      <c r="BO58" s="682"/>
      <c r="BP58" s="682"/>
      <c r="BQ58" s="682"/>
      <c r="BR58" s="682"/>
      <c r="BS58" s="682"/>
      <c r="BT58" s="682"/>
      <c r="BU58" s="682"/>
      <c r="BV58" s="682"/>
      <c r="BW58" s="682"/>
      <c r="BX58" s="682"/>
      <c r="BY58" s="682"/>
      <c r="BZ58" s="682"/>
      <c r="CA58" s="682"/>
      <c r="CB58" s="682"/>
      <c r="CC58" s="682"/>
      <c r="CD58" s="682"/>
      <c r="CE58" s="682"/>
      <c r="CF58" s="682"/>
      <c r="CG58" s="682"/>
      <c r="CH58" s="682"/>
      <c r="CI58" s="682"/>
      <c r="CJ58" s="682"/>
      <c r="CK58" s="682"/>
      <c r="CL58" s="682"/>
      <c r="CM58" s="682"/>
      <c r="CN58" s="682"/>
      <c r="CO58" s="682"/>
      <c r="CP58" s="682"/>
      <c r="CQ58" s="682"/>
      <c r="CR58" s="682"/>
      <c r="CS58" s="682"/>
      <c r="CT58" s="682"/>
    </row>
    <row r="59" spans="1:98" ht="12.75" customHeight="1">
      <c r="D59" s="688"/>
      <c r="AB59" s="718"/>
      <c r="AC59" s="718"/>
      <c r="AD59" s="718"/>
      <c r="AE59" s="718"/>
      <c r="AF59" s="718"/>
      <c r="AO59" s="682"/>
      <c r="AP59" s="682"/>
      <c r="AQ59" s="682"/>
      <c r="AR59" s="682"/>
      <c r="AS59" s="682"/>
      <c r="AT59" s="682"/>
      <c r="AU59" s="682"/>
      <c r="AV59" s="682"/>
      <c r="AW59" s="682"/>
      <c r="AX59" s="682"/>
      <c r="AY59" s="682"/>
      <c r="AZ59" s="682"/>
      <c r="BA59" s="682"/>
      <c r="BB59" s="682"/>
      <c r="BC59" s="682"/>
      <c r="BD59" s="682"/>
      <c r="BE59" s="682"/>
      <c r="BF59" s="682"/>
      <c r="BG59" s="682"/>
      <c r="BH59" s="682"/>
      <c r="BI59" s="682"/>
      <c r="BJ59" s="682"/>
      <c r="BK59" s="682"/>
      <c r="BL59" s="682"/>
      <c r="BM59" s="682"/>
      <c r="BN59" s="682"/>
      <c r="BO59" s="682"/>
      <c r="BP59" s="682"/>
      <c r="BQ59" s="682"/>
      <c r="BR59" s="682"/>
      <c r="BS59" s="682"/>
      <c r="BT59" s="682"/>
      <c r="BU59" s="682"/>
      <c r="BV59" s="682"/>
      <c r="BW59" s="682"/>
      <c r="BX59" s="682"/>
      <c r="BY59" s="682"/>
      <c r="BZ59" s="682"/>
      <c r="CA59" s="682"/>
      <c r="CB59" s="682"/>
      <c r="CC59" s="682"/>
      <c r="CD59" s="682"/>
      <c r="CE59" s="682"/>
      <c r="CF59" s="682"/>
      <c r="CG59" s="682"/>
      <c r="CH59" s="682"/>
      <c r="CI59" s="682"/>
      <c r="CJ59" s="682"/>
      <c r="CK59" s="682"/>
      <c r="CL59" s="682"/>
      <c r="CM59" s="682"/>
      <c r="CN59" s="682"/>
      <c r="CO59" s="682"/>
      <c r="CP59" s="682"/>
      <c r="CQ59" s="682"/>
      <c r="CR59" s="682"/>
      <c r="CS59" s="682"/>
      <c r="CT59" s="682"/>
    </row>
    <row r="60" spans="1:98" s="356" customFormat="1" ht="13.5" thickBot="1">
      <c r="A60" s="1684" t="s">
        <v>1148</v>
      </c>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c r="AI60" s="1684"/>
      <c r="AJ60" s="1684"/>
      <c r="AK60" s="1684"/>
      <c r="AL60" s="1684"/>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2.75">
      <c r="A62" s="688" t="s">
        <v>670</v>
      </c>
      <c r="C62" s="357" t="s">
        <v>1284</v>
      </c>
      <c r="Y62" s="1693" t="s">
        <v>1147</v>
      </c>
      <c r="Z62" s="1693"/>
      <c r="AA62" s="1693"/>
      <c r="AB62" s="1693"/>
      <c r="AC62" s="1693"/>
      <c r="AD62" s="1693" t="s">
        <v>407</v>
      </c>
      <c r="AE62" s="1693"/>
      <c r="AF62" s="1693"/>
      <c r="AG62" s="1693"/>
      <c r="AH62" s="1693"/>
      <c r="AO62" s="682"/>
      <c r="AP62" s="682"/>
      <c r="AQ62" s="682"/>
      <c r="AR62" s="682"/>
      <c r="AS62" s="682"/>
      <c r="AT62" s="682"/>
      <c r="AU62" s="682"/>
      <c r="AV62" s="682"/>
      <c r="AW62" s="682"/>
      <c r="AX62" s="682"/>
      <c r="AY62" s="682"/>
      <c r="AZ62" s="682"/>
      <c r="BA62" s="682"/>
      <c r="BB62" s="682"/>
      <c r="BC62" s="682"/>
      <c r="BD62" s="682"/>
      <c r="BE62" s="682"/>
      <c r="BF62" s="682"/>
      <c r="BG62" s="682"/>
      <c r="BH62" s="682"/>
      <c r="BI62" s="682"/>
      <c r="BJ62" s="682"/>
      <c r="BK62" s="682"/>
      <c r="BL62" s="682"/>
      <c r="BM62" s="682"/>
      <c r="BN62" s="682"/>
      <c r="BO62" s="682"/>
      <c r="BP62" s="682"/>
      <c r="BQ62" s="682"/>
      <c r="BR62" s="682"/>
      <c r="BS62" s="682"/>
      <c r="BT62" s="682"/>
      <c r="BU62" s="682"/>
      <c r="BV62" s="682"/>
      <c r="BW62" s="682"/>
      <c r="BX62" s="682"/>
      <c r="BY62" s="682"/>
      <c r="BZ62" s="682"/>
      <c r="CA62" s="682"/>
      <c r="CB62" s="682"/>
      <c r="CC62" s="682"/>
      <c r="CD62" s="682"/>
      <c r="CE62" s="682"/>
      <c r="CF62" s="682"/>
      <c r="CG62" s="682"/>
      <c r="CH62" s="682"/>
      <c r="CI62" s="682"/>
      <c r="CJ62" s="682"/>
      <c r="CK62" s="682"/>
      <c r="CL62" s="682"/>
      <c r="CM62" s="682"/>
      <c r="CN62" s="682"/>
      <c r="CO62" s="682"/>
      <c r="CP62" s="682"/>
      <c r="CQ62" s="682"/>
      <c r="CR62" s="682"/>
      <c r="CS62" s="682"/>
      <c r="CT62" s="682"/>
    </row>
    <row r="63" spans="1:98" ht="12.75">
      <c r="C63" s="708"/>
      <c r="D63" s="709" t="s">
        <v>1603</v>
      </c>
      <c r="E63" s="710"/>
      <c r="F63" s="710"/>
      <c r="G63" s="710"/>
      <c r="H63" s="710"/>
      <c r="I63" s="710"/>
      <c r="J63" s="710"/>
      <c r="K63" s="710"/>
      <c r="L63" s="711"/>
      <c r="M63" s="711"/>
      <c r="N63" s="711"/>
      <c r="O63" s="711"/>
      <c r="P63" s="711"/>
      <c r="Q63" s="711"/>
      <c r="R63" s="711"/>
      <c r="S63" s="711"/>
      <c r="T63" s="711"/>
      <c r="U63" s="711"/>
      <c r="V63" s="711"/>
      <c r="W63" s="711"/>
      <c r="X63" s="711"/>
      <c r="Y63" s="1694">
        <f>(T23*T27)+Y28</f>
        <v>0</v>
      </c>
      <c r="Z63" s="1695"/>
      <c r="AA63" s="1695"/>
      <c r="AB63" s="1695"/>
      <c r="AC63" s="1696"/>
      <c r="AD63" s="1694">
        <f>AD28+AI28</f>
        <v>0</v>
      </c>
      <c r="AE63" s="1695"/>
      <c r="AF63" s="1695"/>
      <c r="AG63" s="1695"/>
      <c r="AH63" s="1696"/>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682"/>
      <c r="BR63" s="682"/>
      <c r="BS63" s="682"/>
      <c r="BT63" s="682"/>
      <c r="BU63" s="682"/>
      <c r="BV63" s="682"/>
      <c r="BW63" s="682"/>
      <c r="BX63" s="682"/>
      <c r="BY63" s="682"/>
      <c r="BZ63" s="682"/>
      <c r="CA63" s="682"/>
      <c r="CB63" s="682"/>
      <c r="CC63" s="682"/>
      <c r="CD63" s="682"/>
      <c r="CE63" s="682"/>
      <c r="CF63" s="682"/>
      <c r="CG63" s="682"/>
      <c r="CH63" s="682"/>
      <c r="CI63" s="682"/>
      <c r="CJ63" s="682"/>
      <c r="CK63" s="682"/>
      <c r="CL63" s="682"/>
      <c r="CM63" s="682"/>
      <c r="CN63" s="682"/>
      <c r="CO63" s="682"/>
      <c r="CP63" s="682"/>
      <c r="CQ63" s="682"/>
      <c r="CR63" s="682"/>
      <c r="CS63" s="682"/>
      <c r="CT63" s="682"/>
    </row>
    <row r="64" spans="1:98" ht="15" customHeight="1">
      <c r="C64" s="688"/>
      <c r="E64" s="1697" t="s">
        <v>1290</v>
      </c>
      <c r="F64" s="1697"/>
      <c r="G64" s="1697"/>
      <c r="H64" s="1697"/>
      <c r="I64" s="1697"/>
      <c r="J64" s="1697"/>
      <c r="K64" s="1697"/>
      <c r="L64" s="1697"/>
      <c r="M64" s="1697"/>
      <c r="N64" s="1697"/>
      <c r="O64" s="1697"/>
      <c r="P64" s="1697"/>
      <c r="Q64" s="1697"/>
      <c r="R64" s="1697"/>
      <c r="S64" s="1697"/>
      <c r="T64" s="1697"/>
      <c r="U64" s="1697"/>
      <c r="V64" s="1697"/>
      <c r="W64" s="1697"/>
      <c r="X64" s="1697"/>
      <c r="Y64" s="1697"/>
      <c r="Z64" s="1697"/>
      <c r="AA64" s="1697"/>
      <c r="AB64" s="1697"/>
      <c r="AC64" s="1697"/>
      <c r="AD64" s="1697"/>
      <c r="AE64" s="1697"/>
      <c r="AF64" s="1697"/>
      <c r="AG64" s="1697"/>
      <c r="AH64" s="1697"/>
      <c r="AI64" s="763"/>
      <c r="AJ64" s="763"/>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682"/>
      <c r="BR64" s="682"/>
      <c r="BS64" s="682"/>
      <c r="BT64" s="682"/>
      <c r="BU64" s="682"/>
      <c r="BV64" s="682"/>
      <c r="BW64" s="682"/>
      <c r="BX64" s="682"/>
      <c r="BY64" s="682"/>
      <c r="BZ64" s="682"/>
      <c r="CA64" s="682"/>
      <c r="CB64" s="682"/>
      <c r="CC64" s="682"/>
      <c r="CD64" s="682"/>
      <c r="CE64" s="682"/>
      <c r="CF64" s="682"/>
      <c r="CG64" s="682"/>
      <c r="CH64" s="682"/>
      <c r="CI64" s="682"/>
      <c r="CJ64" s="682"/>
      <c r="CK64" s="682"/>
      <c r="CL64" s="682"/>
      <c r="CM64" s="682"/>
      <c r="CN64" s="682"/>
      <c r="CO64" s="682"/>
      <c r="CP64" s="682"/>
      <c r="CQ64" s="682"/>
      <c r="CR64" s="682"/>
      <c r="CS64" s="682"/>
      <c r="CT64" s="682"/>
    </row>
    <row r="65" spans="1:98" ht="15" customHeight="1">
      <c r="C65" s="688"/>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763"/>
      <c r="AJ65" s="763"/>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682"/>
      <c r="BR65" s="682"/>
      <c r="BS65" s="682"/>
      <c r="BT65" s="682"/>
      <c r="BU65" s="682"/>
      <c r="BV65" s="682"/>
      <c r="BW65" s="682"/>
      <c r="BX65" s="682"/>
      <c r="BY65" s="682"/>
      <c r="BZ65" s="682"/>
      <c r="CA65" s="682"/>
      <c r="CB65" s="682"/>
      <c r="CC65" s="682"/>
      <c r="CD65" s="682"/>
      <c r="CE65" s="682"/>
      <c r="CF65" s="682"/>
      <c r="CG65" s="682"/>
      <c r="CH65" s="682"/>
      <c r="CI65" s="682"/>
      <c r="CJ65" s="682"/>
      <c r="CK65" s="682"/>
      <c r="CL65" s="682"/>
      <c r="CM65" s="682"/>
      <c r="CN65" s="682"/>
      <c r="CO65" s="682"/>
      <c r="CP65" s="682"/>
      <c r="CQ65" s="682"/>
      <c r="CR65" s="682"/>
      <c r="CS65" s="682"/>
      <c r="CT65" s="682"/>
    </row>
    <row r="66" spans="1:98" ht="12.75">
      <c r="C66" s="688"/>
      <c r="D66" s="688" t="s">
        <v>290</v>
      </c>
      <c r="E66" s="712"/>
      <c r="F66" s="712"/>
      <c r="G66" s="712"/>
      <c r="H66" s="712"/>
      <c r="I66" s="712"/>
      <c r="J66" s="712"/>
      <c r="K66" s="712"/>
      <c r="L66" s="712"/>
      <c r="M66" s="712"/>
      <c r="N66" s="712"/>
      <c r="O66" s="712"/>
      <c r="P66" s="712"/>
      <c r="Q66" s="712"/>
      <c r="R66" s="712"/>
      <c r="S66" s="712"/>
      <c r="T66" s="712"/>
      <c r="U66" s="712"/>
      <c r="V66" s="712"/>
      <c r="W66" s="712"/>
      <c r="X66" s="712"/>
      <c r="Y66" s="1685">
        <v>0.75</v>
      </c>
      <c r="Z66" s="1685"/>
      <c r="AA66" s="1685"/>
      <c r="AB66" s="1685"/>
      <c r="AC66" s="1685"/>
      <c r="AD66" s="1685">
        <v>0.75</v>
      </c>
      <c r="AE66" s="1685"/>
      <c r="AF66" s="1685"/>
      <c r="AG66" s="1685"/>
      <c r="AH66" s="1685"/>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c r="CP66" s="682"/>
      <c r="CQ66" s="682"/>
      <c r="CR66" s="682"/>
      <c r="CS66" s="682"/>
      <c r="CT66" s="682"/>
    </row>
    <row r="67" spans="1:98" ht="12.75">
      <c r="C67" s="688"/>
      <c r="D67" s="365" t="s">
        <v>1285</v>
      </c>
      <c r="Y67" s="1686">
        <f>ROUND(Y63*Y66,0)</f>
        <v>0</v>
      </c>
      <c r="Z67" s="1687"/>
      <c r="AA67" s="1687"/>
      <c r="AB67" s="1687"/>
      <c r="AC67" s="1687"/>
      <c r="AD67" s="1686" t="str">
        <f>IF(Application!D210="At-Risk",AD63*AD66,"$0")</f>
        <v>$0</v>
      </c>
      <c r="AE67" s="1688"/>
      <c r="AF67" s="1688"/>
      <c r="AG67" s="1688"/>
      <c r="AH67" s="1688"/>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682"/>
      <c r="BR67" s="682"/>
      <c r="BS67" s="682"/>
      <c r="BT67" s="682"/>
      <c r="BU67" s="682"/>
      <c r="BV67" s="682"/>
      <c r="BW67" s="682"/>
      <c r="BX67" s="682"/>
      <c r="BY67" s="682"/>
      <c r="BZ67" s="682"/>
      <c r="CA67" s="682"/>
      <c r="CB67" s="682"/>
      <c r="CC67" s="682"/>
      <c r="CD67" s="682"/>
      <c r="CE67" s="682"/>
      <c r="CF67" s="682"/>
      <c r="CG67" s="682"/>
      <c r="CH67" s="682"/>
      <c r="CI67" s="682"/>
      <c r="CJ67" s="682"/>
      <c r="CK67" s="682"/>
      <c r="CL67" s="682"/>
      <c r="CM67" s="682"/>
      <c r="CN67" s="682"/>
      <c r="CO67" s="682"/>
      <c r="CP67" s="682"/>
      <c r="CQ67" s="682"/>
      <c r="CR67" s="682"/>
      <c r="CS67" s="682"/>
      <c r="CT67" s="682"/>
    </row>
    <row r="68" spans="1:98" ht="12.75">
      <c r="C68" s="688"/>
      <c r="E68" s="688"/>
      <c r="AB68" s="713"/>
      <c r="AC68" s="713"/>
      <c r="AD68" s="713"/>
      <c r="AE68" s="713"/>
      <c r="AF68" s="713"/>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682"/>
      <c r="BR68" s="682"/>
      <c r="BS68" s="682"/>
      <c r="BT68" s="682"/>
      <c r="BU68" s="682"/>
      <c r="BV68" s="682"/>
      <c r="BW68" s="682"/>
      <c r="BX68" s="682"/>
      <c r="BY68" s="682"/>
      <c r="BZ68" s="682"/>
      <c r="CA68" s="682"/>
      <c r="CB68" s="682"/>
      <c r="CC68" s="682"/>
      <c r="CD68" s="682"/>
      <c r="CE68" s="682"/>
      <c r="CF68" s="682"/>
      <c r="CG68" s="682"/>
      <c r="CH68" s="682"/>
      <c r="CI68" s="682"/>
      <c r="CJ68" s="682"/>
      <c r="CK68" s="682"/>
      <c r="CL68" s="682"/>
      <c r="CM68" s="682"/>
      <c r="CN68" s="682"/>
      <c r="CO68" s="682"/>
      <c r="CP68" s="682"/>
      <c r="CQ68" s="682"/>
      <c r="CR68" s="682"/>
      <c r="CS68" s="682"/>
      <c r="CT68" s="682"/>
    </row>
    <row r="69" spans="1:98" ht="12.75">
      <c r="A69" s="688" t="s">
        <v>671</v>
      </c>
      <c r="C69" s="365" t="s">
        <v>1291</v>
      </c>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682"/>
      <c r="BR69" s="682"/>
      <c r="BS69" s="682"/>
      <c r="BT69" s="682"/>
      <c r="BU69" s="682"/>
      <c r="BV69" s="682"/>
      <c r="BW69" s="682"/>
      <c r="BX69" s="682"/>
      <c r="BY69" s="682"/>
      <c r="BZ69" s="682"/>
      <c r="CA69" s="682"/>
      <c r="CB69" s="682"/>
      <c r="CC69" s="682"/>
      <c r="CD69" s="682"/>
      <c r="CE69" s="682"/>
      <c r="CF69" s="682"/>
      <c r="CG69" s="682"/>
      <c r="CH69" s="682"/>
      <c r="CI69" s="682"/>
      <c r="CJ69" s="682"/>
      <c r="CK69" s="682"/>
      <c r="CL69" s="682"/>
      <c r="CM69" s="682"/>
      <c r="CN69" s="682"/>
      <c r="CO69" s="682"/>
      <c r="CP69" s="682"/>
      <c r="CQ69" s="682"/>
      <c r="CR69" s="682"/>
      <c r="CS69" s="682"/>
      <c r="CT69" s="682"/>
    </row>
    <row r="70" spans="1:98" ht="12.75">
      <c r="A70" s="708"/>
      <c r="B70" s="684"/>
      <c r="C70" s="708"/>
      <c r="D70" s="361" t="s">
        <v>1286</v>
      </c>
      <c r="E70" s="684"/>
      <c r="F70" s="684"/>
      <c r="G70" s="684"/>
      <c r="H70" s="684"/>
      <c r="I70" s="684"/>
      <c r="J70" s="684"/>
      <c r="K70" s="684"/>
      <c r="L70" s="684"/>
      <c r="M70" s="684"/>
      <c r="N70" s="684"/>
      <c r="O70" s="684"/>
      <c r="P70" s="684"/>
      <c r="Q70" s="684"/>
      <c r="R70" s="684"/>
      <c r="S70" s="684"/>
      <c r="T70" s="684"/>
      <c r="U70" s="684"/>
      <c r="V70" s="684"/>
      <c r="W70" s="684"/>
      <c r="X70" s="684"/>
      <c r="Y70" s="684"/>
      <c r="Z70" s="684"/>
      <c r="AA70" s="684"/>
      <c r="AB70" s="1689"/>
      <c r="AC70" s="1690"/>
      <c r="AD70" s="1690"/>
      <c r="AE70" s="1690"/>
      <c r="AF70" s="1691"/>
      <c r="AG70" s="684"/>
      <c r="AH70" s="684"/>
      <c r="AI70" s="684"/>
      <c r="AJ70" s="684"/>
      <c r="AK70" s="684"/>
      <c r="AL70" s="684"/>
      <c r="AM70" s="684"/>
      <c r="AN70" s="684"/>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682"/>
      <c r="BR70" s="682"/>
      <c r="BS70" s="682"/>
      <c r="BT70" s="682"/>
      <c r="BU70" s="682"/>
      <c r="BV70" s="682"/>
      <c r="BW70" s="682"/>
      <c r="BX70" s="682"/>
      <c r="BY70" s="682"/>
      <c r="BZ70" s="682"/>
      <c r="CA70" s="682"/>
      <c r="CB70" s="682"/>
      <c r="CC70" s="682"/>
      <c r="CD70" s="682"/>
      <c r="CE70" s="682"/>
      <c r="CF70" s="682"/>
      <c r="CG70" s="682"/>
      <c r="CH70" s="682"/>
      <c r="CI70" s="682"/>
      <c r="CJ70" s="682"/>
      <c r="CK70" s="682"/>
      <c r="CL70" s="682"/>
      <c r="CM70" s="682"/>
      <c r="CN70" s="682"/>
      <c r="CO70" s="682"/>
      <c r="CP70" s="682"/>
      <c r="CQ70" s="682"/>
      <c r="CR70" s="682"/>
      <c r="CS70" s="682"/>
      <c r="CT70" s="682"/>
    </row>
    <row r="71" spans="1:98" s="684" customFormat="1" ht="12.75" customHeight="1">
      <c r="A71" s="708"/>
      <c r="C71" s="708"/>
      <c r="D71" s="708"/>
      <c r="E71" s="1692" t="s">
        <v>1569</v>
      </c>
      <c r="F71" s="1692"/>
      <c r="G71" s="1692"/>
      <c r="H71" s="1692"/>
      <c r="I71" s="1692"/>
      <c r="J71" s="1692"/>
      <c r="K71" s="1692"/>
      <c r="L71" s="1692"/>
      <c r="M71" s="1692"/>
      <c r="N71" s="1692"/>
      <c r="O71" s="1692"/>
      <c r="P71" s="1692"/>
      <c r="Q71" s="1692"/>
      <c r="R71" s="1692"/>
      <c r="S71" s="1692"/>
      <c r="T71" s="1692"/>
      <c r="U71" s="1692"/>
      <c r="V71" s="1692"/>
      <c r="W71" s="1692"/>
      <c r="X71" s="1692"/>
      <c r="Y71" s="1692"/>
      <c r="Z71" s="1692"/>
      <c r="AA71" s="1692"/>
      <c r="AB71" s="762"/>
      <c r="AC71" s="762"/>
      <c r="AD71" s="683"/>
      <c r="AE71" s="683"/>
      <c r="AF71" s="683"/>
      <c r="AO71" s="687"/>
      <c r="AP71" s="687"/>
      <c r="AQ71" s="687"/>
      <c r="AR71" s="687"/>
      <c r="AS71" s="687"/>
      <c r="AT71" s="687"/>
      <c r="AU71" s="687"/>
      <c r="AV71" s="687"/>
      <c r="AW71" s="687"/>
      <c r="AX71" s="687"/>
      <c r="AY71" s="687"/>
      <c r="AZ71" s="687"/>
      <c r="BA71" s="687"/>
      <c r="BB71" s="687"/>
      <c r="BC71" s="687"/>
      <c r="BD71" s="687"/>
      <c r="BE71" s="687"/>
      <c r="BF71" s="687"/>
      <c r="BG71" s="687"/>
      <c r="BH71" s="687"/>
      <c r="BI71" s="687"/>
      <c r="BJ71" s="687"/>
      <c r="BK71" s="687"/>
      <c r="BL71" s="687"/>
      <c r="BM71" s="687"/>
      <c r="BN71" s="687"/>
      <c r="BO71" s="687"/>
      <c r="BP71" s="687"/>
      <c r="BQ71" s="687"/>
      <c r="BR71" s="687"/>
      <c r="BS71" s="687"/>
      <c r="BT71" s="687"/>
      <c r="BU71" s="687"/>
      <c r="BV71" s="687"/>
      <c r="BW71" s="687"/>
      <c r="BX71" s="687"/>
      <c r="BY71" s="687"/>
      <c r="BZ71" s="687"/>
      <c r="CA71" s="687"/>
      <c r="CB71" s="687"/>
      <c r="CC71" s="687"/>
      <c r="CD71" s="687"/>
      <c r="CE71" s="687"/>
      <c r="CF71" s="687"/>
      <c r="CG71" s="687"/>
      <c r="CH71" s="687"/>
      <c r="CI71" s="687"/>
      <c r="CJ71" s="687"/>
      <c r="CK71" s="687"/>
      <c r="CL71" s="687"/>
      <c r="CM71" s="687"/>
      <c r="CN71" s="687"/>
      <c r="CO71" s="687"/>
      <c r="CP71" s="687"/>
      <c r="CQ71" s="687"/>
      <c r="CR71" s="687"/>
      <c r="CS71" s="687"/>
      <c r="CT71" s="687"/>
    </row>
    <row r="72" spans="1:98" s="684" customFormat="1" ht="12.75" customHeight="1">
      <c r="A72" s="708"/>
      <c r="C72" s="708"/>
      <c r="D72" s="708"/>
      <c r="E72" s="1692"/>
      <c r="F72" s="1692"/>
      <c r="G72" s="1692"/>
      <c r="H72" s="1692"/>
      <c r="I72" s="1692"/>
      <c r="J72" s="1692"/>
      <c r="K72" s="1692"/>
      <c r="L72" s="1692"/>
      <c r="M72" s="1692"/>
      <c r="N72" s="1692"/>
      <c r="O72" s="1692"/>
      <c r="P72" s="1692"/>
      <c r="Q72" s="1692"/>
      <c r="R72" s="1692"/>
      <c r="S72" s="1692"/>
      <c r="T72" s="1692"/>
      <c r="U72" s="1692"/>
      <c r="V72" s="1692"/>
      <c r="W72" s="1692"/>
      <c r="X72" s="1692"/>
      <c r="Y72" s="1692"/>
      <c r="Z72" s="1692"/>
      <c r="AA72" s="1692"/>
      <c r="AB72" s="762"/>
      <c r="AC72" s="762"/>
      <c r="AD72" s="794"/>
      <c r="AE72" s="794"/>
      <c r="AF72" s="794"/>
      <c r="AO72" s="765"/>
      <c r="AP72" s="765"/>
      <c r="AQ72" s="765"/>
      <c r="AR72" s="765"/>
      <c r="AS72" s="765"/>
      <c r="AT72" s="765"/>
      <c r="AU72" s="765"/>
      <c r="AV72" s="765"/>
      <c r="AW72" s="765"/>
      <c r="AX72" s="765"/>
      <c r="AY72" s="765"/>
      <c r="AZ72" s="765"/>
      <c r="BA72" s="765"/>
      <c r="BB72" s="765"/>
      <c r="BC72" s="765"/>
      <c r="BD72" s="765"/>
      <c r="BE72" s="765"/>
      <c r="BF72" s="765"/>
      <c r="BG72" s="765"/>
      <c r="BH72" s="765"/>
      <c r="BI72" s="765"/>
      <c r="BJ72" s="765"/>
      <c r="BK72" s="765"/>
      <c r="BL72" s="765"/>
      <c r="BM72" s="765"/>
      <c r="BN72" s="765"/>
      <c r="BO72" s="765"/>
      <c r="BP72" s="765"/>
      <c r="BQ72" s="765"/>
      <c r="BR72" s="765"/>
      <c r="BS72" s="765"/>
      <c r="BT72" s="765"/>
      <c r="BU72" s="765"/>
      <c r="BV72" s="765"/>
      <c r="BW72" s="765"/>
      <c r="BX72" s="765"/>
      <c r="BY72" s="765"/>
      <c r="BZ72" s="765"/>
      <c r="CA72" s="765"/>
      <c r="CB72" s="765"/>
      <c r="CC72" s="765"/>
      <c r="CD72" s="765"/>
      <c r="CE72" s="765"/>
      <c r="CF72" s="765"/>
      <c r="CG72" s="765"/>
      <c r="CH72" s="765"/>
      <c r="CI72" s="765"/>
      <c r="CJ72" s="765"/>
      <c r="CK72" s="765"/>
      <c r="CL72" s="765"/>
      <c r="CM72" s="765"/>
      <c r="CN72" s="765"/>
      <c r="CO72" s="765"/>
      <c r="CP72" s="765"/>
      <c r="CQ72" s="765"/>
      <c r="CR72" s="765"/>
      <c r="CS72" s="765"/>
      <c r="CT72" s="765"/>
    </row>
    <row r="73" spans="1:98" ht="12" customHeight="1">
      <c r="A73" s="708"/>
      <c r="B73" s="684"/>
      <c r="C73" s="708"/>
      <c r="D73" s="708"/>
      <c r="E73" s="1692"/>
      <c r="F73" s="1692"/>
      <c r="G73" s="1692"/>
      <c r="H73" s="1692"/>
      <c r="I73" s="1692"/>
      <c r="J73" s="1692"/>
      <c r="K73" s="1692"/>
      <c r="L73" s="1692"/>
      <c r="M73" s="1692"/>
      <c r="N73" s="1692"/>
      <c r="O73" s="1692"/>
      <c r="P73" s="1692"/>
      <c r="Q73" s="1692"/>
      <c r="R73" s="1692"/>
      <c r="S73" s="1692"/>
      <c r="T73" s="1692"/>
      <c r="U73" s="1692"/>
      <c r="V73" s="1692"/>
      <c r="W73" s="1692"/>
      <c r="X73" s="1692"/>
      <c r="Y73" s="1692"/>
      <c r="Z73" s="1692"/>
      <c r="AA73" s="1692"/>
      <c r="AB73" s="762"/>
      <c r="AC73" s="762"/>
      <c r="AD73" s="715"/>
      <c r="AE73" s="715"/>
      <c r="AF73" s="715"/>
      <c r="AG73" s="684"/>
      <c r="AH73" s="684"/>
      <c r="AI73" s="684"/>
      <c r="AJ73" s="684"/>
      <c r="AK73" s="684"/>
      <c r="AL73" s="684"/>
      <c r="AM73" s="684"/>
      <c r="AN73" s="684"/>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 customHeight="1">
      <c r="A74" s="708"/>
      <c r="B74" s="684"/>
      <c r="C74" s="708"/>
      <c r="D74" s="708"/>
      <c r="E74" s="719"/>
      <c r="F74" s="719"/>
      <c r="G74" s="719"/>
      <c r="H74" s="719"/>
      <c r="I74" s="719"/>
      <c r="J74" s="719"/>
      <c r="K74" s="719"/>
      <c r="L74" s="719"/>
      <c r="M74" s="719"/>
      <c r="N74" s="719"/>
      <c r="O74" s="719"/>
      <c r="P74" s="719"/>
      <c r="Q74" s="719"/>
      <c r="R74" s="719"/>
      <c r="S74" s="719"/>
      <c r="T74" s="719"/>
      <c r="U74" s="719"/>
      <c r="V74" s="719"/>
      <c r="W74" s="719"/>
      <c r="X74" s="719"/>
      <c r="Y74" s="719"/>
      <c r="Z74" s="719"/>
      <c r="AA74" s="714"/>
      <c r="AB74" s="714"/>
      <c r="AC74" s="714"/>
      <c r="AD74" s="715"/>
      <c r="AE74" s="715"/>
      <c r="AF74" s="715"/>
      <c r="AG74" s="684"/>
      <c r="AH74" s="684"/>
      <c r="AI74" s="684"/>
      <c r="AJ74" s="684"/>
      <c r="AK74" s="684"/>
      <c r="AL74" s="684"/>
      <c r="AM74" s="684"/>
      <c r="AN74" s="684"/>
      <c r="AO74" s="682"/>
      <c r="AP74" s="682"/>
      <c r="AQ74" s="682"/>
      <c r="AR74" s="682"/>
      <c r="AS74" s="682"/>
      <c r="AT74" s="682"/>
      <c r="AU74" s="682"/>
      <c r="AV74" s="682"/>
      <c r="AW74" s="682"/>
      <c r="AX74" s="682"/>
      <c r="AY74" s="682"/>
      <c r="AZ74" s="682"/>
      <c r="BA74" s="682"/>
      <c r="BB74" s="682"/>
      <c r="BC74" s="682"/>
      <c r="BD74" s="682"/>
      <c r="BE74" s="682"/>
      <c r="BF74" s="682"/>
      <c r="BG74" s="682"/>
      <c r="BH74" s="682"/>
      <c r="BI74" s="682"/>
      <c r="BJ74" s="682"/>
      <c r="BK74" s="682"/>
      <c r="BL74" s="682"/>
      <c r="BM74" s="682"/>
      <c r="BN74" s="682"/>
      <c r="BO74" s="682"/>
      <c r="BP74" s="682"/>
      <c r="BQ74" s="682"/>
      <c r="BR74" s="682"/>
      <c r="BS74" s="682"/>
      <c r="BT74" s="682"/>
      <c r="BU74" s="682"/>
      <c r="BV74" s="682"/>
      <c r="BW74" s="682"/>
      <c r="BX74" s="682"/>
      <c r="BY74" s="682"/>
      <c r="BZ74" s="682"/>
      <c r="CA74" s="682"/>
      <c r="CB74" s="682"/>
      <c r="CC74" s="682"/>
      <c r="CD74" s="682"/>
      <c r="CE74" s="682"/>
      <c r="CF74" s="682"/>
      <c r="CG74" s="682"/>
      <c r="CH74" s="682"/>
      <c r="CI74" s="682"/>
      <c r="CJ74" s="682"/>
      <c r="CK74" s="682"/>
      <c r="CL74" s="682"/>
      <c r="CM74" s="682"/>
      <c r="CN74" s="682"/>
      <c r="CO74" s="682"/>
      <c r="CP74" s="682"/>
      <c r="CQ74" s="682"/>
      <c r="CR74" s="682"/>
      <c r="CS74" s="682"/>
      <c r="CT74" s="682"/>
    </row>
    <row r="75" spans="1:98" ht="12" customHeight="1">
      <c r="C75" s="688"/>
      <c r="D75" s="357" t="s">
        <v>1287</v>
      </c>
      <c r="AB75" s="1678">
        <f>ROUND(IF(ISERROR((AB58/AB70)),0,(AB58/AB70)),0)</f>
        <v>0</v>
      </c>
      <c r="AC75" s="1678"/>
      <c r="AD75" s="1678"/>
      <c r="AE75" s="1678"/>
      <c r="AF75" s="1678"/>
      <c r="AO75" s="682"/>
      <c r="AP75" s="682"/>
      <c r="AQ75" s="682"/>
      <c r="AR75" s="682"/>
      <c r="AS75" s="682"/>
      <c r="AT75" s="682"/>
      <c r="AU75" s="682"/>
      <c r="AV75" s="682"/>
      <c r="AW75" s="682"/>
      <c r="AX75" s="682"/>
      <c r="AY75" s="682"/>
      <c r="AZ75" s="682"/>
      <c r="BA75" s="682"/>
      <c r="BB75" s="682"/>
      <c r="BC75" s="682"/>
      <c r="BD75" s="682"/>
      <c r="BE75" s="682"/>
      <c r="BF75" s="682"/>
      <c r="BG75" s="682"/>
      <c r="BH75" s="682"/>
      <c r="BI75" s="682"/>
      <c r="BJ75" s="682"/>
      <c r="BK75" s="682"/>
      <c r="BL75" s="682"/>
      <c r="BM75" s="682"/>
      <c r="BN75" s="682"/>
      <c r="BO75" s="682"/>
      <c r="BP75" s="682"/>
      <c r="BQ75" s="682"/>
      <c r="BR75" s="682"/>
      <c r="BS75" s="682"/>
      <c r="BT75" s="682"/>
      <c r="BU75" s="682"/>
      <c r="BV75" s="682"/>
      <c r="BW75" s="682"/>
      <c r="BX75" s="682"/>
      <c r="BY75" s="682"/>
      <c r="BZ75" s="682"/>
      <c r="CA75" s="682"/>
      <c r="CB75" s="682"/>
      <c r="CC75" s="682"/>
      <c r="CD75" s="682"/>
      <c r="CE75" s="682"/>
      <c r="CF75" s="682"/>
      <c r="CG75" s="682"/>
      <c r="CH75" s="682"/>
      <c r="CI75" s="682"/>
      <c r="CJ75" s="682"/>
      <c r="CK75" s="682"/>
      <c r="CL75" s="682"/>
      <c r="CM75" s="682"/>
      <c r="CN75" s="682"/>
      <c r="CO75" s="682"/>
      <c r="CP75" s="682"/>
      <c r="CQ75" s="682"/>
      <c r="CR75" s="682"/>
      <c r="CS75" s="682"/>
      <c r="CT75" s="682"/>
    </row>
    <row r="76" spans="1:98" ht="12.75" customHeight="1">
      <c r="C76" s="688"/>
      <c r="D76" s="357" t="s">
        <v>1288</v>
      </c>
      <c r="AB76" s="1679">
        <f>IF((Y67+AD67&lt;AB75),Y67+AD67,AB75)</f>
        <v>0</v>
      </c>
      <c r="AC76" s="1680"/>
      <c r="AD76" s="1680"/>
      <c r="AE76" s="1680"/>
      <c r="AF76" s="1681"/>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c r="CP76" s="682"/>
      <c r="CQ76" s="682"/>
      <c r="CR76" s="682"/>
      <c r="CS76" s="682"/>
      <c r="CT76" s="682"/>
    </row>
    <row r="77" spans="1:98" ht="12.75" customHeight="1">
      <c r="C77" s="688"/>
      <c r="D77" s="357" t="s">
        <v>1289</v>
      </c>
      <c r="AB77" s="1682">
        <f>AB76*AB70</f>
        <v>0</v>
      </c>
      <c r="AC77" s="1682"/>
      <c r="AD77" s="1682"/>
      <c r="AE77" s="1682"/>
      <c r="AF77" s="1682"/>
      <c r="AO77" s="682"/>
      <c r="AP77" s="682"/>
      <c r="AQ77" s="682"/>
      <c r="AR77" s="682"/>
      <c r="AS77" s="682"/>
      <c r="AT77" s="682"/>
      <c r="AU77" s="682"/>
      <c r="AV77" s="682"/>
      <c r="AW77" s="682"/>
      <c r="AX77" s="682"/>
      <c r="AY77" s="682"/>
      <c r="AZ77" s="682"/>
      <c r="BA77" s="682"/>
      <c r="BB77" s="682"/>
      <c r="BC77" s="682"/>
      <c r="BD77" s="682"/>
      <c r="BE77" s="682"/>
      <c r="BF77" s="682"/>
      <c r="BG77" s="682"/>
      <c r="BH77" s="682"/>
      <c r="BI77" s="682"/>
      <c r="BJ77" s="682"/>
      <c r="BK77" s="682"/>
      <c r="BL77" s="682"/>
      <c r="BM77" s="682"/>
      <c r="BN77" s="682"/>
      <c r="BO77" s="682"/>
      <c r="BP77" s="682"/>
      <c r="BQ77" s="682"/>
      <c r="BR77" s="682"/>
      <c r="BS77" s="682"/>
      <c r="BT77" s="682"/>
      <c r="BU77" s="682"/>
      <c r="BV77" s="682"/>
      <c r="BW77" s="682"/>
      <c r="BX77" s="682"/>
      <c r="BY77" s="682"/>
      <c r="BZ77" s="682"/>
      <c r="CA77" s="682"/>
      <c r="CB77" s="682"/>
      <c r="CC77" s="682"/>
      <c r="CD77" s="682"/>
      <c r="CE77" s="682"/>
      <c r="CF77" s="682"/>
      <c r="CG77" s="682"/>
      <c r="CH77" s="682"/>
      <c r="CI77" s="682"/>
      <c r="CJ77" s="682"/>
      <c r="CK77" s="682"/>
      <c r="CL77" s="682"/>
      <c r="CM77" s="682"/>
      <c r="CN77" s="682"/>
      <c r="CO77" s="682"/>
      <c r="CP77" s="682"/>
      <c r="CQ77" s="682"/>
      <c r="CR77" s="682"/>
      <c r="CS77" s="682"/>
      <c r="CT77" s="682"/>
    </row>
    <row r="78" spans="1:98" s="692" customFormat="1" ht="12.75" customHeight="1">
      <c r="C78" s="720"/>
      <c r="D78" s="720"/>
      <c r="AB78" s="721"/>
      <c r="AC78" s="721"/>
      <c r="AD78" s="721"/>
      <c r="AE78" s="721"/>
      <c r="AF78" s="721"/>
      <c r="AO78" s="722"/>
      <c r="AP78" s="722"/>
      <c r="AQ78" s="722"/>
      <c r="AR78" s="722"/>
      <c r="AS78" s="722"/>
      <c r="AT78" s="722"/>
      <c r="AU78" s="722"/>
      <c r="AV78" s="722"/>
      <c r="AW78" s="722"/>
      <c r="AX78" s="722"/>
      <c r="AY78" s="722"/>
      <c r="AZ78" s="722"/>
      <c r="BA78" s="722"/>
      <c r="BB78" s="722"/>
      <c r="BC78" s="722"/>
      <c r="BD78" s="722"/>
      <c r="BE78" s="722"/>
      <c r="BF78" s="722"/>
      <c r="BG78" s="722"/>
      <c r="BH78" s="722"/>
      <c r="BI78" s="722"/>
      <c r="BJ78" s="722"/>
      <c r="BK78" s="722"/>
      <c r="BL78" s="722"/>
      <c r="BM78" s="722"/>
      <c r="BN78" s="722"/>
      <c r="BO78" s="722"/>
      <c r="BP78" s="722"/>
      <c r="BQ78" s="722"/>
      <c r="BR78" s="722"/>
      <c r="BS78" s="722"/>
      <c r="BT78" s="722"/>
      <c r="BU78" s="722"/>
      <c r="BV78" s="722"/>
      <c r="BW78" s="722"/>
      <c r="BX78" s="722"/>
      <c r="BY78" s="722"/>
      <c r="BZ78" s="722"/>
      <c r="CA78" s="722"/>
      <c r="CB78" s="722"/>
      <c r="CC78" s="722"/>
      <c r="CD78" s="722"/>
      <c r="CE78" s="722"/>
      <c r="CF78" s="722"/>
      <c r="CG78" s="722"/>
      <c r="CH78" s="722"/>
      <c r="CI78" s="722"/>
      <c r="CJ78" s="722"/>
      <c r="CK78" s="722"/>
      <c r="CL78" s="722"/>
      <c r="CM78" s="722"/>
      <c r="CN78" s="722"/>
      <c r="CO78" s="722"/>
      <c r="CP78" s="722"/>
      <c r="CQ78" s="722"/>
      <c r="CR78" s="722"/>
      <c r="CS78" s="722"/>
      <c r="CT78" s="722"/>
    </row>
    <row r="79" spans="1:98" ht="12.75" customHeight="1">
      <c r="A79" s="692"/>
      <c r="B79" s="692"/>
      <c r="C79" s="692"/>
      <c r="D79" s="688" t="s">
        <v>848</v>
      </c>
      <c r="AB79" s="1683">
        <f>AB48-(AB56+AB77)</f>
        <v>4864198.5477178432</v>
      </c>
      <c r="AC79" s="1683"/>
      <c r="AD79" s="1683"/>
      <c r="AE79" s="1683"/>
      <c r="AF79" s="1683"/>
      <c r="AG79" s="692"/>
      <c r="AH79" s="692"/>
      <c r="AI79" s="692"/>
      <c r="AJ79" s="692"/>
      <c r="AK79" s="692"/>
      <c r="AL79" s="692"/>
      <c r="AM79" s="692"/>
      <c r="AN79" s="692"/>
      <c r="AO79" s="682"/>
      <c r="AP79" s="682"/>
      <c r="AQ79" s="682"/>
      <c r="AR79" s="682"/>
      <c r="AS79" s="682"/>
      <c r="AT79" s="682"/>
      <c r="AU79" s="682"/>
      <c r="AV79" s="682"/>
      <c r="AW79" s="682"/>
      <c r="AX79" s="682"/>
      <c r="AY79" s="682"/>
      <c r="AZ79" s="682"/>
      <c r="BA79" s="682"/>
      <c r="BB79" s="682"/>
      <c r="BC79" s="682"/>
      <c r="BD79" s="682"/>
      <c r="BE79" s="682"/>
      <c r="BF79" s="682"/>
      <c r="BG79" s="682"/>
      <c r="BH79" s="682"/>
      <c r="BI79" s="682"/>
      <c r="BJ79" s="682"/>
      <c r="BK79" s="682"/>
      <c r="BL79" s="682"/>
      <c r="BM79" s="682"/>
      <c r="BN79" s="682"/>
      <c r="BO79" s="682"/>
      <c r="BP79" s="682"/>
      <c r="BQ79" s="682"/>
      <c r="BR79" s="682"/>
      <c r="BS79" s="682"/>
      <c r="BT79" s="682"/>
      <c r="BU79" s="682"/>
      <c r="BV79" s="682"/>
      <c r="BW79" s="682"/>
      <c r="BX79" s="682"/>
      <c r="BY79" s="682"/>
      <c r="BZ79" s="682"/>
      <c r="CA79" s="682"/>
      <c r="CB79" s="682"/>
      <c r="CC79" s="682"/>
      <c r="CD79" s="682"/>
      <c r="CE79" s="682"/>
      <c r="CF79" s="682"/>
      <c r="CG79" s="682"/>
      <c r="CH79" s="682"/>
      <c r="CI79" s="682"/>
      <c r="CJ79" s="682"/>
      <c r="CK79" s="682"/>
      <c r="CL79" s="682"/>
      <c r="CM79" s="682"/>
      <c r="CN79" s="682"/>
      <c r="CO79" s="682"/>
      <c r="CP79" s="682"/>
      <c r="CQ79" s="682"/>
      <c r="CR79" s="682"/>
      <c r="CS79" s="682"/>
      <c r="CT79" s="682"/>
    </row>
    <row r="80" spans="1:98" ht="12.75" customHeight="1">
      <c r="A80" s="692"/>
      <c r="B80" s="692"/>
      <c r="C80" s="692"/>
      <c r="D80" s="692"/>
      <c r="F80" s="716"/>
      <c r="J80" s="716" t="str">
        <f>IF(AB79&gt;0,"FUNDING GAP MUST NOT EXCEED ZERO","")</f>
        <v>FUNDING GAP MUST NOT EXCEED ZERO</v>
      </c>
      <c r="AB80" s="692"/>
      <c r="AC80" s="692"/>
      <c r="AD80" s="692"/>
      <c r="AE80" s="692"/>
      <c r="AF80" s="692"/>
      <c r="AG80" s="692"/>
      <c r="AH80" s="692"/>
      <c r="AI80" s="692"/>
      <c r="AJ80" s="692"/>
      <c r="AK80" s="692"/>
      <c r="AL80" s="692"/>
      <c r="AM80" s="692"/>
      <c r="AN80" s="692"/>
      <c r="AO80" s="682"/>
      <c r="AP80" s="682"/>
      <c r="AQ80" s="682"/>
      <c r="AR80" s="682"/>
      <c r="AS80" s="682"/>
      <c r="AT80" s="682"/>
      <c r="AU80" s="682"/>
      <c r="AV80" s="682"/>
      <c r="AW80" s="682"/>
      <c r="AX80" s="682"/>
      <c r="AY80" s="682"/>
      <c r="AZ80" s="682"/>
      <c r="BA80" s="682"/>
      <c r="BB80" s="682"/>
      <c r="BC80" s="682"/>
      <c r="BD80" s="682"/>
      <c r="BE80" s="682"/>
      <c r="BF80" s="682"/>
      <c r="BG80" s="682"/>
      <c r="BH80" s="682"/>
      <c r="BI80" s="682"/>
      <c r="BJ80" s="682"/>
      <c r="BK80" s="682"/>
      <c r="BL80" s="682"/>
      <c r="BM80" s="682"/>
      <c r="BN80" s="682"/>
      <c r="BO80" s="682"/>
      <c r="BP80" s="682"/>
      <c r="BQ80" s="682"/>
      <c r="BR80" s="682"/>
      <c r="BS80" s="682"/>
      <c r="BT80" s="682"/>
      <c r="BU80" s="682"/>
      <c r="BV80" s="682"/>
      <c r="BW80" s="682"/>
      <c r="BX80" s="682"/>
      <c r="BY80" s="682"/>
      <c r="BZ80" s="682"/>
      <c r="CA80" s="682"/>
      <c r="CB80" s="682"/>
      <c r="CC80" s="682"/>
      <c r="CD80" s="682"/>
      <c r="CE80" s="682"/>
      <c r="CF80" s="682"/>
      <c r="CG80" s="682"/>
      <c r="CH80" s="682"/>
      <c r="CI80" s="682"/>
      <c r="CJ80" s="682"/>
      <c r="CK80" s="682"/>
      <c r="CL80" s="682"/>
      <c r="CM80" s="682"/>
      <c r="CN80" s="682"/>
      <c r="CO80" s="682"/>
      <c r="CP80" s="682"/>
      <c r="CQ80" s="682"/>
      <c r="CR80" s="682"/>
      <c r="CS80" s="682"/>
      <c r="CT80" s="682"/>
    </row>
    <row r="81" spans="1:98" ht="12.75" customHeight="1">
      <c r="A81" s="692"/>
      <c r="B81" s="692"/>
      <c r="C81" s="692"/>
      <c r="D81" s="717"/>
      <c r="AB81" s="692"/>
      <c r="AC81" s="692"/>
      <c r="AD81" s="692"/>
      <c r="AE81" s="692"/>
      <c r="AF81" s="692"/>
      <c r="AG81" s="692"/>
      <c r="AH81" s="692"/>
      <c r="AI81" s="692"/>
      <c r="AJ81" s="692"/>
      <c r="AK81" s="692"/>
      <c r="AL81" s="692"/>
      <c r="AM81" s="692"/>
      <c r="AN81" s="692"/>
      <c r="AO81" s="682"/>
      <c r="AP81" s="682"/>
      <c r="AQ81" s="682"/>
      <c r="AR81" s="682"/>
      <c r="AS81" s="682"/>
      <c r="AT81" s="682"/>
      <c r="AU81" s="682"/>
      <c r="AV81" s="682"/>
      <c r="AW81" s="682"/>
      <c r="AX81" s="682"/>
      <c r="AY81" s="682"/>
      <c r="AZ81" s="682"/>
      <c r="BA81" s="682"/>
      <c r="BB81" s="682"/>
      <c r="BC81" s="682"/>
      <c r="BD81" s="682"/>
      <c r="BE81" s="682"/>
      <c r="BF81" s="682"/>
      <c r="BG81" s="682"/>
      <c r="BH81" s="682"/>
      <c r="BI81" s="682"/>
      <c r="BJ81" s="682"/>
      <c r="BK81" s="682"/>
      <c r="BL81" s="682"/>
      <c r="BM81" s="682"/>
      <c r="BN81" s="682"/>
      <c r="BO81" s="682"/>
      <c r="BP81" s="682"/>
      <c r="BQ81" s="682"/>
      <c r="BR81" s="682"/>
      <c r="BS81" s="682"/>
      <c r="BT81" s="682"/>
      <c r="BU81" s="682"/>
      <c r="BV81" s="682"/>
      <c r="BW81" s="682"/>
      <c r="BX81" s="682"/>
      <c r="BY81" s="682"/>
      <c r="BZ81" s="682"/>
      <c r="CA81" s="682"/>
      <c r="CB81" s="682"/>
      <c r="CC81" s="682"/>
      <c r="CD81" s="682"/>
      <c r="CE81" s="682"/>
      <c r="CF81" s="682"/>
      <c r="CG81" s="682"/>
      <c r="CH81" s="682"/>
      <c r="CI81" s="682"/>
      <c r="CJ81" s="682"/>
      <c r="CK81" s="682"/>
      <c r="CL81" s="682"/>
      <c r="CM81" s="682"/>
      <c r="CN81" s="682"/>
      <c r="CO81" s="682"/>
      <c r="CP81" s="682"/>
      <c r="CQ81" s="682"/>
      <c r="CR81" s="682"/>
      <c r="CS81" s="682"/>
      <c r="CT81" s="682"/>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B29:S29"/>
    <mergeCell ref="B22:S22"/>
    <mergeCell ref="B23:S23"/>
    <mergeCell ref="B31:AM31"/>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0:X20"/>
    <mergeCell ref="Y20:AC20"/>
    <mergeCell ref="AD20:AH20"/>
    <mergeCell ref="AI20:AM20"/>
    <mergeCell ref="T21:X21"/>
    <mergeCell ref="Y21:AC21"/>
    <mergeCell ref="AD21:AH21"/>
    <mergeCell ref="AI21:AM21"/>
    <mergeCell ref="T27:X27"/>
    <mergeCell ref="Y27:AC27"/>
    <mergeCell ref="AD27:AH27"/>
    <mergeCell ref="AI27:AM27"/>
    <mergeCell ref="AD28:AH28"/>
    <mergeCell ref="AI28:AM28"/>
    <mergeCell ref="T24:AM24"/>
    <mergeCell ref="T25:X25"/>
    <mergeCell ref="Y25:AC25"/>
    <mergeCell ref="AD25:AH25"/>
    <mergeCell ref="AI25:AM25"/>
    <mergeCell ref="T26:X26"/>
    <mergeCell ref="Y26:AC26"/>
    <mergeCell ref="AD26:AH26"/>
    <mergeCell ref="AI26:AM2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B58:AF58"/>
    <mergeCell ref="Y62:AC62"/>
    <mergeCell ref="AD62:AH62"/>
    <mergeCell ref="Y63:AC63"/>
    <mergeCell ref="AD63:AH63"/>
    <mergeCell ref="E64:AH65"/>
    <mergeCell ref="AB49:AF49"/>
    <mergeCell ref="E50:Z51"/>
    <mergeCell ref="AB53:AF53"/>
    <mergeCell ref="AB54:AF54"/>
    <mergeCell ref="AB55:AF55"/>
    <mergeCell ref="AB56:AF56"/>
    <mergeCell ref="AB75:AF75"/>
    <mergeCell ref="AB76:AF76"/>
    <mergeCell ref="AB77:AF77"/>
    <mergeCell ref="AB79:AF79"/>
    <mergeCell ref="A60:AL60"/>
    <mergeCell ref="Y66:AC66"/>
    <mergeCell ref="AD66:AH66"/>
    <mergeCell ref="Y67:AC67"/>
    <mergeCell ref="AD67:AH67"/>
    <mergeCell ref="AB70:AF70"/>
    <mergeCell ref="E71:AA73"/>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xr:uid="{00000000-0002-0000-0800-000000000000}">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xr:uid="{00000000-0002-0000-08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xr:uid="{00000000-0002-0000-0800-000002000000}">
      <formula1>0</formula1>
    </dataValidation>
    <dataValidation type="decimal" allowBlank="1" showInputMessage="1" showErrorMessage="1" errorTitle="Federal Tax Credit Factor" error="Federal Tax Credit Factor must be within stated range." sqref="AB49:AF49" xr:uid="{00000000-0002-0000-0800-000003000000}">
      <formula1>0.85</formula1>
      <formula2>1.25</formula2>
    </dataValidation>
    <dataValidation type="decimal" allowBlank="1" showInputMessage="1" showErrorMessage="1" errorTitle="State Tax Credit Factor" error="State Farmworker Tax Credit Factor must be within stated range." sqref="AB70:AF70" xr:uid="{00000000-0002-0000-0800-00000400000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Molly</cp:lastModifiedBy>
  <cp:lastPrinted>2018-12-28T15:53:17Z</cp:lastPrinted>
  <dcterms:created xsi:type="dcterms:W3CDTF">2007-12-27T18:26:28Z</dcterms:created>
  <dcterms:modified xsi:type="dcterms:W3CDTF">2019-10-11T18:02:52Z</dcterms:modified>
</cp:coreProperties>
</file>