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83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669" i="3" l="1"/>
  <c r="Z668" i="3"/>
  <c r="W843" i="3" l="1"/>
  <c r="W823" i="3" l="1"/>
  <c r="W824" i="3"/>
  <c r="W847" i="3"/>
  <c r="W844" i="3"/>
  <c r="W841" i="3"/>
  <c r="W839" i="3"/>
  <c r="W838" i="3"/>
  <c r="W834" i="3"/>
  <c r="W832" i="3"/>
  <c r="W826" i="3"/>
  <c r="G47" i="7" l="1"/>
  <c r="I47" i="7" s="1"/>
  <c r="K47" i="7" s="1"/>
  <c r="M47" i="7" s="1"/>
  <c r="O47" i="7" s="1"/>
  <c r="Q47" i="7" s="1"/>
  <c r="S47" i="7" s="1"/>
  <c r="U47" i="7" s="1"/>
  <c r="W47" i="7" s="1"/>
  <c r="Y47" i="7" s="1"/>
  <c r="AA47" i="7" s="1"/>
  <c r="AC47" i="7" s="1"/>
  <c r="AE47" i="7" s="1"/>
  <c r="AG47" i="7" s="1"/>
  <c r="E52" i="7"/>
  <c r="G48" i="7" l="1"/>
  <c r="A20" i="7"/>
  <c r="O47" i="4" l="1"/>
  <c r="H82" i="4"/>
  <c r="G52" i="4"/>
  <c r="S43" i="4"/>
  <c r="S98" i="4"/>
  <c r="S91" i="4"/>
  <c r="S90" i="4"/>
  <c r="S89" i="4"/>
  <c r="S86" i="4"/>
  <c r="S83" i="4"/>
  <c r="S81" i="4"/>
  <c r="S77" i="4"/>
  <c r="S76" i="4"/>
  <c r="S44" i="4"/>
  <c r="S46" i="4"/>
  <c r="S48" i="4"/>
  <c r="S49" i="4"/>
  <c r="S50" i="4"/>
  <c r="S51" i="4"/>
  <c r="S41" i="4"/>
  <c r="S39" i="4"/>
  <c r="S38" i="4"/>
  <c r="F29" i="4"/>
  <c r="N98" i="4"/>
  <c r="M98" i="4"/>
  <c r="C43" i="4"/>
  <c r="AA909" i="3" l="1"/>
  <c r="I48" i="7"/>
  <c r="K48" i="7" s="1"/>
  <c r="M48" i="7" s="1"/>
  <c r="O48" i="7" s="1"/>
  <c r="Q48" i="7" s="1"/>
  <c r="S48" i="7" s="1"/>
  <c r="U48" i="7" s="1"/>
  <c r="W48" i="7" s="1"/>
  <c r="Y48" i="7" s="1"/>
  <c r="AA48" i="7" s="1"/>
  <c r="AC48" i="7" s="1"/>
  <c r="AE48" i="7" s="1"/>
  <c r="AG48" i="7" s="1"/>
  <c r="AG52" i="7" s="1"/>
  <c r="E37" i="7"/>
  <c r="E36" i="7"/>
  <c r="C619" i="3"/>
  <c r="Z670" i="3" l="1"/>
  <c r="Z667" i="3"/>
  <c r="D65" i="4" l="1"/>
  <c r="C65" i="4"/>
  <c r="S65" i="4" s="1"/>
  <c r="D43" i="4"/>
  <c r="C73" i="4"/>
  <c r="AC864" i="3"/>
  <c r="K721" i="3" l="1"/>
  <c r="K720" i="3"/>
  <c r="K719" i="3"/>
  <c r="K718" i="3"/>
  <c r="K717" i="3"/>
  <c r="K716" i="3"/>
  <c r="K715" i="3"/>
  <c r="K714" i="3"/>
  <c r="K713" i="3"/>
  <c r="K712" i="3"/>
  <c r="K711" i="3"/>
  <c r="K710" i="3"/>
  <c r="K709" i="3"/>
  <c r="G652" i="3"/>
  <c r="G646" i="3"/>
  <c r="G645" i="3"/>
  <c r="G643" i="3"/>
  <c r="G644" i="3"/>
  <c r="Z638" i="3"/>
  <c r="Z637" i="3"/>
  <c r="Z636" i="3"/>
  <c r="Z635" i="3"/>
  <c r="P620" i="3"/>
  <c r="C620" i="3"/>
  <c r="G572" i="3"/>
  <c r="G571" i="3"/>
  <c r="G570" i="3"/>
  <c r="G569" i="3"/>
  <c r="Q388" i="3"/>
  <c r="Q488" i="3"/>
  <c r="H328" i="3"/>
  <c r="H326" i="3"/>
  <c r="H325" i="3"/>
  <c r="H324" i="3"/>
  <c r="H323" i="3"/>
  <c r="H322" i="3"/>
  <c r="M243" i="3"/>
  <c r="M242" i="3"/>
  <c r="M241" i="3"/>
  <c r="AC240" i="3"/>
  <c r="AB271" i="3" s="1"/>
  <c r="W240" i="3"/>
  <c r="V271" i="3" s="1"/>
  <c r="M240" i="3"/>
  <c r="L271" i="3" s="1"/>
  <c r="M239" i="3"/>
  <c r="L270" i="3" s="1"/>
  <c r="A3" i="15" l="1"/>
  <c r="AN929" i="3" l="1"/>
  <c r="AD64" i="15" l="1"/>
  <c r="A61" i="15" l="1"/>
  <c r="AD67" i="15" l="1"/>
  <c r="Y67" i="15"/>
  <c r="T11" i="4" l="1"/>
  <c r="T25" i="15"/>
  <c r="AI7" i="15" s="1"/>
  <c r="AG428" i="3"/>
  <c r="AG431" i="3"/>
  <c r="B58" i="4"/>
  <c r="E58" i="4" s="1"/>
  <c r="C77" i="11"/>
  <c r="C78" i="11"/>
  <c r="B77" i="11"/>
  <c r="B78" i="11"/>
  <c r="B79" i="11" s="1"/>
  <c r="I95" i="13"/>
  <c r="J95" i="13"/>
  <c r="J78" i="13"/>
  <c r="I78" i="13"/>
  <c r="G78" i="13"/>
  <c r="F78" i="13"/>
  <c r="D78" i="13"/>
  <c r="H77" i="13"/>
  <c r="E77" i="13"/>
  <c r="B77" i="13"/>
  <c r="C77" i="13" s="1"/>
  <c r="S67" i="4"/>
  <c r="E67" i="13" s="1"/>
  <c r="D78" i="4"/>
  <c r="F78" i="4"/>
  <c r="G78" i="4"/>
  <c r="H78" i="4"/>
  <c r="I78" i="4"/>
  <c r="J78" i="4"/>
  <c r="K78" i="4"/>
  <c r="L78" i="4"/>
  <c r="M78" i="4"/>
  <c r="N78" i="4"/>
  <c r="O78" i="4"/>
  <c r="P78" i="4"/>
  <c r="Q78" i="4"/>
  <c r="S78" i="4"/>
  <c r="E78" i="13" s="1"/>
  <c r="T78" i="4"/>
  <c r="H78" i="13" s="1"/>
  <c r="C78" i="4"/>
  <c r="B77" i="4"/>
  <c r="E77" i="4" s="1"/>
  <c r="R77" i="4" s="1"/>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26" i="13"/>
  <c r="E24" i="13"/>
  <c r="E23" i="13"/>
  <c r="E22" i="13"/>
  <c r="E21" i="13"/>
  <c r="E20" i="13"/>
  <c r="E19" i="13"/>
  <c r="E18" i="13"/>
  <c r="E17" i="13"/>
  <c r="E15" i="13"/>
  <c r="E14" i="13"/>
  <c r="E13" i="13"/>
  <c r="E10" i="13"/>
  <c r="B103" i="13"/>
  <c r="C103" i="13" s="1"/>
  <c r="B102" i="13"/>
  <c r="C102" i="13" s="1"/>
  <c r="B101" i="13"/>
  <c r="C101" i="13" s="1"/>
  <c r="B100" i="13"/>
  <c r="C100" i="13" s="1"/>
  <c r="B99" i="13"/>
  <c r="C99" i="13" s="1"/>
  <c r="C104" i="13" s="1"/>
  <c r="B98" i="13"/>
  <c r="C98"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B71" i="13"/>
  <c r="C71" i="13" s="1"/>
  <c r="B70" i="13"/>
  <c r="C70" i="13" s="1"/>
  <c r="B69" i="13"/>
  <c r="C69" i="13" s="1"/>
  <c r="C67" i="4"/>
  <c r="B67" i="13" s="1"/>
  <c r="B66" i="13"/>
  <c r="C66" i="13" s="1"/>
  <c r="B65" i="13"/>
  <c r="C65" i="13" s="1"/>
  <c r="B61" i="13"/>
  <c r="C61" i="13" s="1"/>
  <c r="B60" i="13"/>
  <c r="C60" i="13" s="1"/>
  <c r="B59" i="13"/>
  <c r="C59" i="13" s="1"/>
  <c r="B58" i="13"/>
  <c r="C58" i="13" s="1"/>
  <c r="B57" i="13"/>
  <c r="C57" i="13" s="1"/>
  <c r="B56" i="13"/>
  <c r="C56" i="13" s="1"/>
  <c r="B55" i="13"/>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B6" i="13"/>
  <c r="B7" i="13"/>
  <c r="C7" i="13" s="1"/>
  <c r="C8" i="4"/>
  <c r="B8" i="13" s="1"/>
  <c r="B9" i="13"/>
  <c r="C9" i="13" s="1"/>
  <c r="B10" i="13"/>
  <c r="C10" i="13" s="1"/>
  <c r="B13" i="13"/>
  <c r="C13" i="13" s="1"/>
  <c r="B14" i="13"/>
  <c r="C14" i="13" s="1"/>
  <c r="B15" i="13"/>
  <c r="C15" i="13" s="1"/>
  <c r="B4" i="13"/>
  <c r="C4" i="13" s="1"/>
  <c r="J104" i="13"/>
  <c r="I104" i="13"/>
  <c r="G104" i="13"/>
  <c r="F104" i="13"/>
  <c r="D104" i="13"/>
  <c r="G95" i="13"/>
  <c r="F95" i="13"/>
  <c r="D95" i="13"/>
  <c r="D74" i="13"/>
  <c r="J67" i="13"/>
  <c r="I67" i="13"/>
  <c r="G67" i="13"/>
  <c r="F67" i="13"/>
  <c r="D67" i="13"/>
  <c r="D62" i="13"/>
  <c r="J53" i="13"/>
  <c r="I53" i="13"/>
  <c r="G53" i="13"/>
  <c r="F53" i="13"/>
  <c r="D53" i="13"/>
  <c r="J40" i="13"/>
  <c r="I40" i="13"/>
  <c r="G40" i="13"/>
  <c r="F40" i="13"/>
  <c r="F25" i="13"/>
  <c r="F36" i="13"/>
  <c r="D40" i="13"/>
  <c r="C40" i="13"/>
  <c r="J36" i="13"/>
  <c r="I36" i="13"/>
  <c r="G36" i="13"/>
  <c r="G63" i="13" s="1"/>
  <c r="G96" i="13" s="1"/>
  <c r="G105" i="13" s="1"/>
  <c r="G107" i="13" s="1"/>
  <c r="D36" i="13"/>
  <c r="J25" i="13"/>
  <c r="I25" i="13"/>
  <c r="I11" i="13"/>
  <c r="G25" i="13"/>
  <c r="D25" i="13"/>
  <c r="C25" i="13"/>
  <c r="J11" i="13"/>
  <c r="D11" i="13"/>
  <c r="C11" i="13"/>
  <c r="D8" i="13"/>
  <c r="T104" i="4"/>
  <c r="H104" i="13" s="1"/>
  <c r="R103" i="4"/>
  <c r="R102" i="4"/>
  <c r="R101" i="4"/>
  <c r="R100" i="4"/>
  <c r="R99" i="4"/>
  <c r="R89" i="4"/>
  <c r="R61" i="4"/>
  <c r="R58" i="4"/>
  <c r="R56" i="4"/>
  <c r="R47" i="4"/>
  <c r="R41" i="4"/>
  <c r="R28" i="4"/>
  <c r="S28" i="4" s="1"/>
  <c r="E28" i="13" s="1"/>
  <c r="R26" i="4"/>
  <c r="R24" i="4"/>
  <c r="R23" i="4"/>
  <c r="R22" i="4"/>
  <c r="R21" i="4"/>
  <c r="R20" i="4"/>
  <c r="R19" i="4"/>
  <c r="R18" i="4"/>
  <c r="R17" i="4"/>
  <c r="R9" i="4"/>
  <c r="AD991" i="3"/>
  <c r="B5" i="11"/>
  <c r="C5" i="11"/>
  <c r="B6" i="11"/>
  <c r="C6" i="11"/>
  <c r="B7" i="11"/>
  <c r="B9" i="11" s="1"/>
  <c r="C7" i="11"/>
  <c r="C8" i="11"/>
  <c r="D8" i="11" s="1"/>
  <c r="B8" i="11"/>
  <c r="B10" i="11"/>
  <c r="B11" i="11"/>
  <c r="C10" i="11"/>
  <c r="C11" i="11"/>
  <c r="C12" i="11" s="1"/>
  <c r="B14" i="11"/>
  <c r="C14" i="11"/>
  <c r="B15" i="11"/>
  <c r="C15" i="11"/>
  <c r="B16" i="11"/>
  <c r="C16" i="11"/>
  <c r="D16" i="11"/>
  <c r="B18" i="11"/>
  <c r="C18" i="11"/>
  <c r="B19" i="11"/>
  <c r="C19" i="11"/>
  <c r="D19" i="11"/>
  <c r="B20" i="11"/>
  <c r="C20" i="11"/>
  <c r="B21" i="11"/>
  <c r="C21" i="11"/>
  <c r="D21" i="11" s="1"/>
  <c r="B22" i="11"/>
  <c r="C22" i="11"/>
  <c r="D22" i="11" s="1"/>
  <c r="B23" i="11"/>
  <c r="C23" i="11"/>
  <c r="B24" i="11"/>
  <c r="C24" i="11"/>
  <c r="D24" i="11"/>
  <c r="B25" i="11"/>
  <c r="C25" i="11"/>
  <c r="D25" i="11" s="1"/>
  <c r="B27" i="11"/>
  <c r="C27" i="11"/>
  <c r="D27" i="11" s="1"/>
  <c r="B29" i="11"/>
  <c r="B30" i="11"/>
  <c r="B31" i="11"/>
  <c r="D31" i="11" s="1"/>
  <c r="B32" i="11"/>
  <c r="B33" i="11"/>
  <c r="B34" i="11"/>
  <c r="B35" i="11"/>
  <c r="B36" i="11"/>
  <c r="C29" i="11"/>
  <c r="D29" i="11" s="1"/>
  <c r="C30" i="11"/>
  <c r="C31" i="11"/>
  <c r="C32" i="11"/>
  <c r="C33" i="11"/>
  <c r="D33" i="11" s="1"/>
  <c r="C34" i="11"/>
  <c r="C35" i="11"/>
  <c r="C36" i="11"/>
  <c r="B39" i="11"/>
  <c r="C39" i="11"/>
  <c r="C40" i="11"/>
  <c r="D40" i="11" s="1"/>
  <c r="B40" i="11"/>
  <c r="B42" i="11"/>
  <c r="C42" i="11"/>
  <c r="B44" i="11"/>
  <c r="C44" i="11"/>
  <c r="B45" i="11"/>
  <c r="C45" i="11"/>
  <c r="B46" i="11"/>
  <c r="B47" i="11"/>
  <c r="B48" i="11"/>
  <c r="B49" i="11"/>
  <c r="B50" i="11"/>
  <c r="B51" i="11"/>
  <c r="B52" i="11"/>
  <c r="B53" i="11"/>
  <c r="C46" i="11"/>
  <c r="C47" i="11"/>
  <c r="C48" i="11"/>
  <c r="D48" i="11" s="1"/>
  <c r="C49" i="11"/>
  <c r="D49" i="11" s="1"/>
  <c r="C50" i="11"/>
  <c r="C51" i="11"/>
  <c r="D51" i="11" s="1"/>
  <c r="C52" i="11"/>
  <c r="D52" i="11" s="1"/>
  <c r="C53" i="11"/>
  <c r="B56" i="11"/>
  <c r="D56" i="11" s="1"/>
  <c r="C56" i="11"/>
  <c r="B57" i="11"/>
  <c r="C57" i="11"/>
  <c r="B58" i="11"/>
  <c r="C58" i="11"/>
  <c r="D58" i="11" s="1"/>
  <c r="B59" i="11"/>
  <c r="C59" i="11"/>
  <c r="B60" i="11"/>
  <c r="C60" i="11"/>
  <c r="D60" i="11" s="1"/>
  <c r="B61" i="11"/>
  <c r="C61" i="11"/>
  <c r="B62" i="11"/>
  <c r="C62" i="11"/>
  <c r="B66" i="11"/>
  <c r="B67" i="11"/>
  <c r="B68" i="11"/>
  <c r="C66" i="11"/>
  <c r="C67" i="11"/>
  <c r="B70" i="11"/>
  <c r="B75" i="11" s="1"/>
  <c r="C70" i="11"/>
  <c r="B71" i="11"/>
  <c r="C71" i="11"/>
  <c r="B72" i="11"/>
  <c r="C72" i="11"/>
  <c r="D72" i="11" s="1"/>
  <c r="B73" i="11"/>
  <c r="C73" i="11"/>
  <c r="D73" i="11"/>
  <c r="B74" i="11"/>
  <c r="C74" i="11"/>
  <c r="D74" i="11" s="1"/>
  <c r="B81" i="11"/>
  <c r="C81" i="11"/>
  <c r="B82" i="11"/>
  <c r="C82" i="11"/>
  <c r="C83" i="11"/>
  <c r="C84" i="11"/>
  <c r="C85" i="11"/>
  <c r="D85" i="11" s="1"/>
  <c r="C86" i="11"/>
  <c r="C87" i="11"/>
  <c r="C88" i="11"/>
  <c r="C89" i="11"/>
  <c r="C90" i="11"/>
  <c r="C91" i="11"/>
  <c r="C92" i="11"/>
  <c r="C93" i="11"/>
  <c r="C94" i="11"/>
  <c r="C95" i="11"/>
  <c r="B83" i="11"/>
  <c r="B84" i="11"/>
  <c r="B85" i="11"/>
  <c r="B86" i="11"/>
  <c r="B87" i="11"/>
  <c r="B88" i="11"/>
  <c r="B89" i="11"/>
  <c r="D89" i="11" s="1"/>
  <c r="B90" i="11"/>
  <c r="B91" i="11"/>
  <c r="B92" i="11"/>
  <c r="B93" i="11"/>
  <c r="D93" i="11"/>
  <c r="B94" i="11"/>
  <c r="B95" i="11"/>
  <c r="B99" i="11"/>
  <c r="C99" i="11"/>
  <c r="D99" i="11" s="1"/>
  <c r="B100" i="11"/>
  <c r="B101" i="11"/>
  <c r="B102" i="11"/>
  <c r="B103" i="11"/>
  <c r="B104" i="11"/>
  <c r="C100" i="11"/>
  <c r="C101" i="11"/>
  <c r="C102" i="11"/>
  <c r="C105" i="11" s="1"/>
  <c r="C103" i="11"/>
  <c r="C104" i="11"/>
  <c r="A4" i="8"/>
  <c r="B4" i="8"/>
  <c r="F4" i="8" s="1"/>
  <c r="C4" i="8"/>
  <c r="H4" i="8" s="1"/>
  <c r="I4" i="8" s="1"/>
  <c r="A5" i="8"/>
  <c r="C5" i="8"/>
  <c r="H5" i="8" s="1"/>
  <c r="I5" i="8" s="1"/>
  <c r="A6" i="8"/>
  <c r="C6" i="8"/>
  <c r="H6" i="8" s="1"/>
  <c r="I6" i="8" s="1"/>
  <c r="A7" i="8"/>
  <c r="C7" i="8"/>
  <c r="H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G52" i="7"/>
  <c r="I52" i="7"/>
  <c r="K52" i="7"/>
  <c r="M52" i="7"/>
  <c r="O52" i="7"/>
  <c r="Q52" i="7"/>
  <c r="S52" i="7"/>
  <c r="U52" i="7"/>
  <c r="W52" i="7"/>
  <c r="Y52" i="7"/>
  <c r="AA52" i="7"/>
  <c r="AC52" i="7"/>
  <c r="AE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2" i="4" s="1"/>
  <c r="D11" i="4"/>
  <c r="D25" i="4"/>
  <c r="D36" i="4"/>
  <c r="D40" i="4"/>
  <c r="D53" i="4"/>
  <c r="D62" i="4"/>
  <c r="D67" i="4"/>
  <c r="D74" i="4"/>
  <c r="B74" i="4" s="1"/>
  <c r="D95" i="4"/>
  <c r="D104" i="4"/>
  <c r="AG630" i="3"/>
  <c r="AG632" i="3" s="1"/>
  <c r="S25" i="4"/>
  <c r="E25" i="13" s="1"/>
  <c r="S40" i="4"/>
  <c r="E40" i="13" s="1"/>
  <c r="S53" i="4"/>
  <c r="E53" i="13" s="1"/>
  <c r="S95" i="4"/>
  <c r="E95" i="13" s="1"/>
  <c r="S104" i="4"/>
  <c r="E104" i="13" s="1"/>
  <c r="F2" i="4"/>
  <c r="G2" i="4"/>
  <c r="H2" i="4"/>
  <c r="I2" i="4"/>
  <c r="J2" i="4"/>
  <c r="K2" i="4"/>
  <c r="L2" i="4"/>
  <c r="M2" i="4"/>
  <c r="N2" i="4"/>
  <c r="O2" i="4"/>
  <c r="P2" i="4"/>
  <c r="Q2" i="4"/>
  <c r="B4" i="4"/>
  <c r="E4" i="4" s="1"/>
  <c r="E8" i="4" s="1"/>
  <c r="B5" i="4"/>
  <c r="E5" i="4" s="1"/>
  <c r="R5" i="4" s="1"/>
  <c r="B6" i="4"/>
  <c r="E6" i="4" s="1"/>
  <c r="R6" i="4" s="1"/>
  <c r="B7" i="4"/>
  <c r="E7" i="4" s="1"/>
  <c r="R7" i="4" s="1"/>
  <c r="F8" i="4"/>
  <c r="G8" i="4"/>
  <c r="G12" i="4" s="1"/>
  <c r="G11" i="4"/>
  <c r="H8" i="4"/>
  <c r="H11" i="4"/>
  <c r="H63" i="4" s="1"/>
  <c r="H96" i="4" s="1"/>
  <c r="H105" i="4" s="1"/>
  <c r="I8" i="4"/>
  <c r="I12" i="4" s="1"/>
  <c r="I11" i="4"/>
  <c r="J8" i="4"/>
  <c r="J11" i="4"/>
  <c r="J12" i="4" s="1"/>
  <c r="J25" i="4"/>
  <c r="J36" i="4"/>
  <c r="J40" i="4"/>
  <c r="J53" i="4"/>
  <c r="J62" i="4"/>
  <c r="J67" i="4"/>
  <c r="J74" i="4"/>
  <c r="J95" i="4"/>
  <c r="J104" i="4"/>
  <c r="K8" i="4"/>
  <c r="K11" i="4"/>
  <c r="L8" i="4"/>
  <c r="L12" i="4" s="1"/>
  <c r="L11" i="4"/>
  <c r="M8" i="4"/>
  <c r="M11" i="4"/>
  <c r="M63" i="4" s="1"/>
  <c r="M96" i="4" s="1"/>
  <c r="N8" i="4"/>
  <c r="O8" i="4"/>
  <c r="Q8" i="4"/>
  <c r="Q11" i="4"/>
  <c r="B9" i="4"/>
  <c r="E9" i="4" s="1"/>
  <c r="E11" i="4" s="1"/>
  <c r="B10" i="4"/>
  <c r="E10" i="4" s="1"/>
  <c r="R10" i="4" s="1"/>
  <c r="F11" i="4"/>
  <c r="F12" i="4" s="1"/>
  <c r="F25" i="4"/>
  <c r="F36" i="4"/>
  <c r="F40" i="4"/>
  <c r="F53" i="4"/>
  <c r="F62" i="4"/>
  <c r="N11" i="4"/>
  <c r="N12" i="4" s="1"/>
  <c r="O11" i="4"/>
  <c r="O12" i="4" s="1"/>
  <c r="B13" i="4"/>
  <c r="E13" i="4" s="1"/>
  <c r="R13" i="4" s="1"/>
  <c r="B14" i="4"/>
  <c r="E14" i="4" s="1"/>
  <c r="R14" i="4" s="1"/>
  <c r="B15" i="4"/>
  <c r="E15" i="4" s="1"/>
  <c r="R15" i="4" s="1"/>
  <c r="B17" i="4"/>
  <c r="B18" i="4"/>
  <c r="B19" i="4"/>
  <c r="B20" i="4"/>
  <c r="B21" i="4"/>
  <c r="B22" i="4"/>
  <c r="B23" i="4"/>
  <c r="B24" i="4"/>
  <c r="E25" i="4"/>
  <c r="G25" i="4"/>
  <c r="H25" i="4"/>
  <c r="I25" i="4"/>
  <c r="I36" i="4"/>
  <c r="I63" i="4" s="1"/>
  <c r="I96" i="4" s="1"/>
  <c r="I105" i="4" s="1"/>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E28" i="4" s="1"/>
  <c r="B29" i="4"/>
  <c r="E29" i="4" s="1"/>
  <c r="R29" i="4" s="1"/>
  <c r="S29" i="4" s="1"/>
  <c r="E29" i="13" s="1"/>
  <c r="B30" i="4"/>
  <c r="E30" i="4" s="1"/>
  <c r="R30" i="4" s="1"/>
  <c r="S30" i="4" s="1"/>
  <c r="E30" i="13" s="1"/>
  <c r="B31" i="4"/>
  <c r="E31" i="4" s="1"/>
  <c r="B32" i="4"/>
  <c r="E32" i="4" s="1"/>
  <c r="R32" i="4" s="1"/>
  <c r="S32" i="4" s="1"/>
  <c r="E32" i="13" s="1"/>
  <c r="B33" i="4"/>
  <c r="E33" i="4" s="1"/>
  <c r="R33" i="4" s="1"/>
  <c r="S33" i="4" s="1"/>
  <c r="E33" i="13" s="1"/>
  <c r="B34" i="4"/>
  <c r="E34" i="4" s="1"/>
  <c r="R34" i="4" s="1"/>
  <c r="S34" i="4" s="1"/>
  <c r="E34" i="13" s="1"/>
  <c r="B35" i="4"/>
  <c r="E35" i="4" s="1"/>
  <c r="R35" i="4" s="1"/>
  <c r="G36" i="4"/>
  <c r="H36" i="4"/>
  <c r="K36" i="4"/>
  <c r="L36" i="4"/>
  <c r="O36" i="4"/>
  <c r="P36" i="4"/>
  <c r="P40" i="4"/>
  <c r="P53" i="4"/>
  <c r="P62" i="4"/>
  <c r="P67" i="4"/>
  <c r="P74" i="4"/>
  <c r="P95" i="4"/>
  <c r="P104" i="4"/>
  <c r="Q36" i="4"/>
  <c r="B38" i="4"/>
  <c r="E38" i="4" s="1"/>
  <c r="R38" i="4" s="1"/>
  <c r="R40" i="4" s="1"/>
  <c r="B39" i="4"/>
  <c r="E39" i="4" s="1"/>
  <c r="R39" i="4" s="1"/>
  <c r="G40" i="4"/>
  <c r="H40" i="4"/>
  <c r="K40" i="4"/>
  <c r="L40" i="4"/>
  <c r="O40" i="4"/>
  <c r="Q40" i="4"/>
  <c r="B41" i="4"/>
  <c r="E41" i="4" s="1"/>
  <c r="B43" i="4"/>
  <c r="E43" i="4" s="1"/>
  <c r="E53" i="4" s="1"/>
  <c r="B44" i="4"/>
  <c r="E44" i="4" s="1"/>
  <c r="R44" i="4" s="1"/>
  <c r="B45" i="4"/>
  <c r="E45" i="4" s="1"/>
  <c r="R45" i="4" s="1"/>
  <c r="B46" i="4"/>
  <c r="E46" i="4" s="1"/>
  <c r="R46" i="4" s="1"/>
  <c r="B47" i="4"/>
  <c r="E47" i="4" s="1"/>
  <c r="B48" i="4"/>
  <c r="E48" i="4" s="1"/>
  <c r="R48" i="4" s="1"/>
  <c r="B49" i="4"/>
  <c r="E49" i="4" s="1"/>
  <c r="R49" i="4" s="1"/>
  <c r="B50" i="4"/>
  <c r="E50" i="4" s="1"/>
  <c r="R50" i="4" s="1"/>
  <c r="B51" i="4"/>
  <c r="E51" i="4" s="1"/>
  <c r="R51" i="4" s="1"/>
  <c r="B52" i="4"/>
  <c r="E52" i="4" s="1"/>
  <c r="R52" i="4" s="1"/>
  <c r="G53" i="4"/>
  <c r="H53" i="4"/>
  <c r="K53" i="4"/>
  <c r="L53" i="4"/>
  <c r="O53" i="4"/>
  <c r="Q53" i="4"/>
  <c r="B55" i="4"/>
  <c r="E55" i="4" s="1"/>
  <c r="R55" i="4" s="1"/>
  <c r="B56" i="4"/>
  <c r="E56" i="4" s="1"/>
  <c r="B57" i="4"/>
  <c r="E57" i="4" s="1"/>
  <c r="R57" i="4" s="1"/>
  <c r="B59" i="4"/>
  <c r="E59" i="4" s="1"/>
  <c r="R59" i="4" s="1"/>
  <c r="B60" i="4"/>
  <c r="E60" i="4" s="1"/>
  <c r="R60" i="4" s="1"/>
  <c r="B61" i="4"/>
  <c r="E61" i="4" s="1"/>
  <c r="G62" i="4"/>
  <c r="H62" i="4"/>
  <c r="K62" i="4"/>
  <c r="L62" i="4"/>
  <c r="O62" i="4"/>
  <c r="O67" i="4"/>
  <c r="O74" i="4"/>
  <c r="O95" i="4"/>
  <c r="O104" i="4"/>
  <c r="Q62" i="4"/>
  <c r="B65" i="4"/>
  <c r="E65" i="4" s="1"/>
  <c r="R65" i="4" s="1"/>
  <c r="B66" i="4"/>
  <c r="E66" i="4" s="1"/>
  <c r="R66" i="4" s="1"/>
  <c r="E67" i="4"/>
  <c r="F67" i="4"/>
  <c r="G67" i="4"/>
  <c r="H67" i="4"/>
  <c r="I67" i="4"/>
  <c r="K67" i="4"/>
  <c r="L67" i="4"/>
  <c r="Q67" i="4"/>
  <c r="B69" i="4"/>
  <c r="E69" i="4" s="1"/>
  <c r="R69" i="4" s="1"/>
  <c r="B70" i="4"/>
  <c r="E70" i="4" s="1"/>
  <c r="R70" i="4" s="1"/>
  <c r="B71" i="4"/>
  <c r="E71" i="4" s="1"/>
  <c r="R71" i="4" s="1"/>
  <c r="B72" i="4"/>
  <c r="E72" i="4" s="1"/>
  <c r="R72" i="4" s="1"/>
  <c r="B73" i="4"/>
  <c r="E73" i="4" s="1"/>
  <c r="R73" i="4" s="1"/>
  <c r="F74" i="4"/>
  <c r="G74" i="4"/>
  <c r="H74" i="4"/>
  <c r="I74" i="4"/>
  <c r="K74" i="4"/>
  <c r="L74" i="4"/>
  <c r="Q74" i="4"/>
  <c r="B76" i="4"/>
  <c r="E76" i="4" s="1"/>
  <c r="R76" i="4" s="1"/>
  <c r="B80" i="4"/>
  <c r="E80" i="4" s="1"/>
  <c r="R80" i="4" s="1"/>
  <c r="B81" i="4"/>
  <c r="E81" i="4" s="1"/>
  <c r="R81" i="4" s="1"/>
  <c r="B82" i="4"/>
  <c r="E82" i="4" s="1"/>
  <c r="B83" i="4"/>
  <c r="E83" i="4" s="1"/>
  <c r="R83" i="4" s="1"/>
  <c r="B84" i="4"/>
  <c r="E84" i="4" s="1"/>
  <c r="R84" i="4" s="1"/>
  <c r="B85" i="4"/>
  <c r="E85" i="4" s="1"/>
  <c r="R85" i="4" s="1"/>
  <c r="B86" i="4"/>
  <c r="E86" i="4" s="1"/>
  <c r="R86" i="4" s="1"/>
  <c r="B87" i="4"/>
  <c r="E87" i="4" s="1"/>
  <c r="R87" i="4" s="1"/>
  <c r="B88" i="4"/>
  <c r="E88" i="4" s="1"/>
  <c r="R88" i="4" s="1"/>
  <c r="B89" i="4"/>
  <c r="E89" i="4" s="1"/>
  <c r="B90" i="4"/>
  <c r="E90" i="4" s="1"/>
  <c r="R90" i="4" s="1"/>
  <c r="B91" i="4"/>
  <c r="E91" i="4" s="1"/>
  <c r="R91" i="4" s="1"/>
  <c r="B92" i="4"/>
  <c r="E92" i="4" s="1"/>
  <c r="R92" i="4" s="1"/>
  <c r="B93" i="4"/>
  <c r="E93" i="4" s="1"/>
  <c r="R93" i="4" s="1"/>
  <c r="B94" i="4"/>
  <c r="E94" i="4" s="1"/>
  <c r="R94" i="4" s="1"/>
  <c r="F95" i="4"/>
  <c r="G95" i="4"/>
  <c r="H95" i="4"/>
  <c r="I95" i="4"/>
  <c r="K95" i="4"/>
  <c r="L95" i="4"/>
  <c r="Q95" i="4"/>
  <c r="B98"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AI712" i="3" s="1"/>
  <c r="Y713" i="3"/>
  <c r="AI713" i="3" s="1"/>
  <c r="Y714" i="3"/>
  <c r="AI714" i="3" s="1"/>
  <c r="Y715" i="3"/>
  <c r="Y716" i="3"/>
  <c r="Y717" i="3"/>
  <c r="Y718" i="3"/>
  <c r="AI718" i="3" s="1"/>
  <c r="Y719" i="3"/>
  <c r="AI719" i="3" s="1"/>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23" i="11"/>
  <c r="D94" i="11"/>
  <c r="D92" i="11"/>
  <c r="D67" i="11"/>
  <c r="D6" i="11"/>
  <c r="D15" i="11"/>
  <c r="D71" i="11"/>
  <c r="D18" i="11"/>
  <c r="D102" i="11"/>
  <c r="C75" i="11"/>
  <c r="D53" i="11"/>
  <c r="D10" i="11"/>
  <c r="D101" i="11"/>
  <c r="D90" i="11"/>
  <c r="D57" i="11"/>
  <c r="D100" i="11"/>
  <c r="D7" i="11"/>
  <c r="D46" i="11"/>
  <c r="D12" i="13"/>
  <c r="B25" i="4"/>
  <c r="D77" i="11"/>
  <c r="D20" i="11"/>
  <c r="D5" i="11"/>
  <c r="D14" i="11"/>
  <c r="B11" i="4"/>
  <c r="B11" i="13"/>
  <c r="R67" i="4" l="1"/>
  <c r="E62" i="4"/>
  <c r="R4" i="4"/>
  <c r="R43" i="4"/>
  <c r="AI720" i="3"/>
  <c r="G63" i="4"/>
  <c r="G96" i="4" s="1"/>
  <c r="G105" i="4" s="1"/>
  <c r="D82" i="11"/>
  <c r="D34" i="11"/>
  <c r="R98" i="4"/>
  <c r="R104" i="4" s="1"/>
  <c r="E98" i="4"/>
  <c r="B105" i="11"/>
  <c r="D36" i="11"/>
  <c r="AI711" i="3"/>
  <c r="H12" i="4"/>
  <c r="D81" i="11"/>
  <c r="D50" i="11"/>
  <c r="D32" i="11"/>
  <c r="D63" i="13"/>
  <c r="D96" i="13" s="1"/>
  <c r="D105" i="13" s="1"/>
  <c r="C55" i="13"/>
  <c r="C62" i="13" s="1"/>
  <c r="D70" i="11"/>
  <c r="AI709" i="3"/>
  <c r="P63" i="4"/>
  <c r="P96" i="4" s="1"/>
  <c r="P105" i="4" s="1"/>
  <c r="Q12" i="4"/>
  <c r="C9" i="11"/>
  <c r="D75" i="11"/>
  <c r="R11" i="4"/>
  <c r="C68" i="11"/>
  <c r="D68" i="11" s="1"/>
  <c r="D47" i="11"/>
  <c r="J63" i="13"/>
  <c r="J96" i="13" s="1"/>
  <c r="J105" i="13" s="1"/>
  <c r="J107" i="13" s="1"/>
  <c r="C6" i="13"/>
  <c r="C8" i="13" s="1"/>
  <c r="C12" i="13" s="1"/>
  <c r="E40" i="4"/>
  <c r="D42" i="11"/>
  <c r="F63" i="13"/>
  <c r="F96" i="13" s="1"/>
  <c r="F105" i="13" s="1"/>
  <c r="F107" i="13" s="1"/>
  <c r="AI717" i="3"/>
  <c r="AI716" i="3"/>
  <c r="E74" i="4"/>
  <c r="M12" i="4"/>
  <c r="D86" i="11"/>
  <c r="C74" i="13"/>
  <c r="D103" i="11"/>
  <c r="D62" i="11"/>
  <c r="I63" i="13"/>
  <c r="I96" i="13" s="1"/>
  <c r="I105" i="13" s="1"/>
  <c r="I107" i="13" s="1"/>
  <c r="C67" i="13"/>
  <c r="R78" i="4"/>
  <c r="D83" i="11"/>
  <c r="C95" i="13"/>
  <c r="B78" i="4"/>
  <c r="E95" i="4"/>
  <c r="E78" i="4"/>
  <c r="E36" i="4"/>
  <c r="C36" i="13"/>
  <c r="R31" i="4"/>
  <c r="S31" i="4" s="1"/>
  <c r="R74" i="4"/>
  <c r="O63" i="4"/>
  <c r="O96" i="4" s="1"/>
  <c r="O105" i="4" s="1"/>
  <c r="E104" i="4"/>
  <c r="C53" i="13"/>
  <c r="D59" i="11"/>
  <c r="L269" i="3"/>
  <c r="AA244" i="3"/>
  <c r="M105" i="4"/>
  <c r="D91" i="11"/>
  <c r="I7" i="8"/>
  <c r="D87" i="11"/>
  <c r="C41" i="11"/>
  <c r="D41" i="11" s="1"/>
  <c r="R62" i="4"/>
  <c r="N63" i="4"/>
  <c r="N96" i="4" s="1"/>
  <c r="N105" i="4" s="1"/>
  <c r="K12" i="4"/>
  <c r="J63" i="4"/>
  <c r="J96" i="4" s="1"/>
  <c r="J105" i="4" s="1"/>
  <c r="B41" i="11"/>
  <c r="B26" i="11"/>
  <c r="B12" i="11"/>
  <c r="B13" i="11" s="1"/>
  <c r="C79" i="11"/>
  <c r="D79" i="11" s="1"/>
  <c r="AI715" i="3"/>
  <c r="L63" i="4"/>
  <c r="L96" i="4" s="1"/>
  <c r="L105" i="4" s="1"/>
  <c r="D95" i="11"/>
  <c r="D88" i="11"/>
  <c r="C63" i="11"/>
  <c r="D30" i="11"/>
  <c r="D35" i="11"/>
  <c r="R25" i="4"/>
  <c r="M38" i="7"/>
  <c r="F63" i="4"/>
  <c r="F96" i="4" s="1"/>
  <c r="F105" i="4" s="1"/>
  <c r="K63" i="4"/>
  <c r="K96" i="4" s="1"/>
  <c r="K105" i="4" s="1"/>
  <c r="R8" i="4"/>
  <c r="R12" i="4" s="1"/>
  <c r="R53" i="4"/>
  <c r="D63" i="4"/>
  <c r="D96" i="4" s="1"/>
  <c r="D105" i="4" s="1"/>
  <c r="D45" i="11"/>
  <c r="D78" i="11"/>
  <c r="B36" i="4"/>
  <c r="C37" i="11"/>
  <c r="D66" i="11"/>
  <c r="B78" i="13"/>
  <c r="B63" i="11"/>
  <c r="B62" i="4"/>
  <c r="D61" i="11"/>
  <c r="C54" i="11"/>
  <c r="B54" i="11"/>
  <c r="B8" i="4"/>
  <c r="B12" i="4" s="1"/>
  <c r="D44" i="11"/>
  <c r="D39" i="11"/>
  <c r="B40" i="4"/>
  <c r="B53" i="4"/>
  <c r="C96" i="11"/>
  <c r="D84" i="11"/>
  <c r="B37" i="11"/>
  <c r="B36" i="13"/>
  <c r="D9" i="11"/>
  <c r="C13" i="11"/>
  <c r="AB48" i="15"/>
  <c r="AG432" i="3"/>
  <c r="AI27" i="15" s="1"/>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D12" i="11"/>
  <c r="C12" i="4"/>
  <c r="B12" i="13" s="1"/>
  <c r="D26" i="11" l="1"/>
  <c r="E63" i="4"/>
  <c r="D63" i="11"/>
  <c r="C63" i="13"/>
  <c r="C96" i="13" s="1"/>
  <c r="C105" i="13" s="1"/>
  <c r="R82" i="4"/>
  <c r="R95" i="4" s="1"/>
  <c r="E96" i="4"/>
  <c r="E105" i="4" s="1"/>
  <c r="S36" i="4"/>
  <c r="E31" i="13"/>
  <c r="D37" i="11"/>
  <c r="R36" i="4"/>
  <c r="R63" i="4" s="1"/>
  <c r="Y27" i="15"/>
  <c r="T27" i="15"/>
  <c r="AQ882" i="3"/>
  <c r="B64" i="11"/>
  <c r="B97" i="11" s="1"/>
  <c r="B106" i="11" s="1"/>
  <c r="D54" i="11"/>
  <c r="B63" i="4"/>
  <c r="D96" i="11"/>
  <c r="D13"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R96" i="4" l="1"/>
  <c r="R105" i="4" s="1"/>
  <c r="E36" i="13"/>
  <c r="S63" i="4"/>
  <c r="AU675" i="3"/>
  <c r="C97" i="11"/>
  <c r="D97" i="11" s="1"/>
  <c r="Z798" i="3"/>
  <c r="V951" i="3"/>
  <c r="AD951" i="3" s="1"/>
  <c r="AD953" i="3" s="1"/>
  <c r="E10" i="7"/>
  <c r="E32" i="7" s="1"/>
  <c r="E40" i="7" s="1"/>
  <c r="E54" i="7" s="1"/>
  <c r="G4" i="7"/>
  <c r="G5" i="7" s="1"/>
  <c r="AV650" i="3"/>
  <c r="AV675" i="3" s="1"/>
  <c r="AD734" i="3" s="1"/>
  <c r="M21" i="7"/>
  <c r="M30" i="7" s="1"/>
  <c r="O14" i="7"/>
  <c r="M8" i="7"/>
  <c r="K9" i="7"/>
  <c r="G7" i="7"/>
  <c r="I6" i="7"/>
  <c r="T107" i="4"/>
  <c r="H107" i="13" s="1"/>
  <c r="H105" i="13"/>
  <c r="AC442" i="3"/>
  <c r="B105" i="13"/>
  <c r="B105" i="4"/>
  <c r="E63" i="13" l="1"/>
  <c r="S96" i="4"/>
  <c r="AD11" i="15"/>
  <c r="AD23" i="15" s="1"/>
  <c r="AD26" i="15" s="1"/>
  <c r="AD28" i="15" s="1"/>
  <c r="AI11" i="15"/>
  <c r="AI23" i="15" s="1"/>
  <c r="AI26" i="15" s="1"/>
  <c r="AI28" i="15" s="1"/>
  <c r="AD1000" i="3"/>
  <c r="AD955" i="3"/>
  <c r="AQ877" i="3" s="1"/>
  <c r="AD988" i="3"/>
  <c r="AD965" i="3"/>
  <c r="AQ879" i="3" s="1"/>
  <c r="AD974" i="3"/>
  <c r="AD996" i="3"/>
  <c r="C106" i="11"/>
  <c r="D106" i="11" s="1"/>
  <c r="B1014" i="3"/>
  <c r="V952" i="3"/>
  <c r="G10" i="7"/>
  <c r="G32" i="7" s="1"/>
  <c r="G44" i="7" s="1"/>
  <c r="E44" i="7"/>
  <c r="I4" i="7"/>
  <c r="I5" i="7" s="1"/>
  <c r="I7" i="7"/>
  <c r="K6" i="7"/>
  <c r="M9" i="7"/>
  <c r="O8" i="7"/>
  <c r="O21" i="7"/>
  <c r="O30" i="7" s="1"/>
  <c r="Q14" i="7"/>
  <c r="E43" i="7"/>
  <c r="E42" i="7"/>
  <c r="AC441" i="3"/>
  <c r="AB47" i="15"/>
  <c r="AB49" i="15" s="1"/>
  <c r="E96" i="13" l="1"/>
  <c r="S105" i="4"/>
  <c r="AD1004" i="3"/>
  <c r="T24" i="15" s="1"/>
  <c r="AM826" i="3"/>
  <c r="AM829" i="3"/>
  <c r="AM834" i="3" s="1"/>
  <c r="AQ885" i="3"/>
  <c r="AQ888" i="3" s="1"/>
  <c r="B1012" i="3" s="1"/>
  <c r="G40" i="7"/>
  <c r="G54" i="7" s="1"/>
  <c r="K4" i="7"/>
  <c r="M4" i="7" s="1"/>
  <c r="M5" i="7" s="1"/>
  <c r="I10" i="7"/>
  <c r="I32" i="7" s="1"/>
  <c r="I44" i="7" s="1"/>
  <c r="Q21" i="7"/>
  <c r="Q30" i="7" s="1"/>
  <c r="S14" i="7"/>
  <c r="M6" i="7"/>
  <c r="K7" i="7"/>
  <c r="O9" i="7"/>
  <c r="Q8" i="7"/>
  <c r="AB54" i="15"/>
  <c r="AB55" i="15" s="1"/>
  <c r="S107" i="4" l="1"/>
  <c r="E105" i="13"/>
  <c r="AQ886" i="3"/>
  <c r="G42" i="7"/>
  <c r="G43" i="7"/>
  <c r="O4" i="7"/>
  <c r="O5" i="7" s="1"/>
  <c r="K5" i="7"/>
  <c r="K10" i="7" s="1"/>
  <c r="K32" i="7" s="1"/>
  <c r="K40" i="7" s="1"/>
  <c r="I40" i="7"/>
  <c r="I42" i="7" s="1"/>
  <c r="U14" i="7"/>
  <c r="S21" i="7"/>
  <c r="S30" i="7" s="1"/>
  <c r="Q9" i="7"/>
  <c r="S8" i="7"/>
  <c r="O6" i="7"/>
  <c r="M7" i="7"/>
  <c r="M10" i="7" s="1"/>
  <c r="M32" i="7" s="1"/>
  <c r="E107" i="13" l="1"/>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Q5" i="7"/>
  <c r="O40" i="7"/>
  <c r="O44" i="7"/>
  <c r="W21" i="7"/>
  <c r="W30" i="7" s="1"/>
  <c r="Y14" i="7"/>
  <c r="W8" i="7"/>
  <c r="U9" i="7"/>
  <c r="M43" i="7"/>
  <c r="M42" i="7"/>
  <c r="M54" i="7"/>
  <c r="U4" i="7"/>
  <c r="S5" i="7"/>
  <c r="Q7" i="7"/>
  <c r="S6" i="7"/>
  <c r="Y64" i="15" l="1"/>
  <c r="Y68" i="15" s="1"/>
  <c r="T26" i="15"/>
  <c r="T28" i="15" s="1"/>
  <c r="T29" i="15" s="1"/>
  <c r="AD38" i="15"/>
  <c r="AD40" i="15" s="1"/>
  <c r="Q10" i="7"/>
  <c r="Q32" i="7" s="1"/>
  <c r="Q44" i="7" s="1"/>
  <c r="W4" i="7"/>
  <c r="U5" i="7"/>
  <c r="Y8" i="7"/>
  <c r="W9" i="7"/>
  <c r="Y21" i="7"/>
  <c r="Y30" i="7" s="1"/>
  <c r="AA14" i="7"/>
  <c r="S7" i="7"/>
  <c r="S10" i="7" s="1"/>
  <c r="S32" i="7" s="1"/>
  <c r="U6" i="7"/>
  <c r="O54" i="7"/>
  <c r="O42" i="7"/>
  <c r="O43" i="7"/>
  <c r="Y38" i="15" l="1"/>
  <c r="Y40" i="15" s="1"/>
  <c r="Y41" i="15" s="1"/>
  <c r="AB56" i="15" s="1"/>
  <c r="M26" i="3" s="1"/>
  <c r="Q40" i="7"/>
  <c r="Q42" i="7" s="1"/>
  <c r="S40" i="7"/>
  <c r="S44" i="7"/>
  <c r="W6" i="7"/>
  <c r="U7" i="7"/>
  <c r="U10" i="7" s="1"/>
  <c r="U32" i="7" s="1"/>
  <c r="Y4" i="7"/>
  <c r="W5" i="7"/>
  <c r="AA21" i="7"/>
  <c r="AA30" i="7" s="1"/>
  <c r="AC14" i="7"/>
  <c r="Y9" i="7"/>
  <c r="AA8" i="7"/>
  <c r="AB57" i="15" l="1"/>
  <c r="AB59" i="15" s="1"/>
  <c r="AB76" i="15" s="1"/>
  <c r="AB77" i="15" s="1"/>
  <c r="AB87" i="15" s="1"/>
  <c r="Q54" i="7"/>
  <c r="Q43" i="7"/>
  <c r="U40" i="7"/>
  <c r="U44" i="7"/>
  <c r="AE14" i="7"/>
  <c r="AC21" i="7"/>
  <c r="AC30" i="7" s="1"/>
  <c r="W7" i="7"/>
  <c r="W10" i="7" s="1"/>
  <c r="W32" i="7" s="1"/>
  <c r="Y6" i="7"/>
  <c r="AA4" i="7"/>
  <c r="Y5" i="7"/>
  <c r="AA9" i="7"/>
  <c r="AC8" i="7"/>
  <c r="S54" i="7"/>
  <c r="S43" i="7"/>
  <c r="S42" i="7"/>
  <c r="M27" i="3" l="1"/>
  <c r="P204" i="3" s="1"/>
  <c r="P203" i="3" s="1"/>
  <c r="AB86" i="15"/>
  <c r="AB78" i="15"/>
  <c r="AB80" i="15" s="1"/>
  <c r="J81" i="15" s="1"/>
  <c r="AA6" i="7"/>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<sst xmlns="http://schemas.openxmlformats.org/spreadsheetml/2006/main" count="3666" uniqueCount="1821">
  <si>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</si>
  <si>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</si>
  <si>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</si>
  <si>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</si>
  <si>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</si>
  <si>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</si>
  <si>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</si>
  <si>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</si>
  <si>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</si>
  <si>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</si>
  <si>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</si>
  <si>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</si>
  <si>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</si>
  <si>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</si>
  <si>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</si>
  <si>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</si>
  <si>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</si>
  <si>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</si>
  <si>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</si>
  <si>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</si>
  <si>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</si>
  <si>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</si>
  <si>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</si>
  <si>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</si>
  <si>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</si>
  <si>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</si>
  <si>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</si>
  <si>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</si>
  <si>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</si>
  <si>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</si>
  <si>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</si>
  <si>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</si>
  <si>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</si>
  <si>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</si>
  <si>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</si>
  <si>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</si>
  <si>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</si>
  <si>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</si>
  <si>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</si>
  <si>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</si>
  <si>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</si>
  <si>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</si>
  <si>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</si>
  <si>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</si>
  <si>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</si>
  <si>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</si>
  <si>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</si>
  <si>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</si>
  <si>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</si>
  <si>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</si>
  <si>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</si>
  <si>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</si>
  <si>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</si>
  <si>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</si>
  <si>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</si>
  <si>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</si>
  <si>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</si>
  <si>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</si>
  <si>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</si>
  <si>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</si>
  <si>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</si>
  <si>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</si>
  <si>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</si>
  <si>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</si>
  <si>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</si>
  <si>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</si>
  <si>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</si>
  <si>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</si>
  <si>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</si>
  <si>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</si>
  <si>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</si>
  <si>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</si>
  <si>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</si>
  <si>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</si>
  <si>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</si>
  <si>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</si>
  <si>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</si>
  <si>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</si>
  <si>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</si>
  <si>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</si>
  <si>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</si>
  <si>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</si>
  <si>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</si>
  <si>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</si>
  <si>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</si>
  <si>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</si>
  <si>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</si>
  <si>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</si>
  <si>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</si>
  <si>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</si>
  <si>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</si>
  <si>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</si>
  <si>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</si>
  <si>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</si>
  <si>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</si>
  <si>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</si>
  <si>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</si>
  <si>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</si>
  <si>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</si>
  <si>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</si>
  <si>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</si>
  <si>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</si>
  <si>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</si>
  <si>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</si>
  <si>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</si>
  <si>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</si>
  <si>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</si>
  <si>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</si>
  <si>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</si>
  <si>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</si>
  <si>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</si>
  <si>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</si>
  <si>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</si>
  <si>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</si>
  <si>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</si>
  <si>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</si>
  <si>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</si>
  <si>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</si>
  <si>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</si>
  <si>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</si>
  <si>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</si>
  <si>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</si>
  <si>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</si>
  <si>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</si>
  <si>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</si>
  <si>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</si>
  <si>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</si>
  <si>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</si>
  <si>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</si>
  <si>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</si>
  <si>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</si>
  <si>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</si>
  <si>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</si>
  <si>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</si>
  <si>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</si>
  <si>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</si>
  <si>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</si>
  <si>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</si>
  <si>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</si>
  <si>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</si>
  <si>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</si>
  <si>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</si>
  <si>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</si>
  <si>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</si>
  <si>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</si>
  <si>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</si>
  <si>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</si>
  <si>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</si>
  <si>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</si>
  <si>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</si>
  <si>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</si>
  <si>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</si>
  <si>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</si>
  <si>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</si>
  <si>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</si>
  <si>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</si>
  <si>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</si>
  <si>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</si>
  <si>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</si>
  <si>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</si>
  <si>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</si>
  <si>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</si>
  <si>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</si>
  <si>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</si>
  <si>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</si>
  <si>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</si>
  <si>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</si>
  <si>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</si>
  <si>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</si>
  <si>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</si>
  <si>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</si>
  <si>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</si>
  <si>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</si>
  <si>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</si>
  <si>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</si>
  <si>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</si>
  <si>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</si>
  <si>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</si>
  <si>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</si>
  <si>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</si>
  <si>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</si>
  <si>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</si>
  <si>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</si>
  <si>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</si>
  <si>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</si>
  <si>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</si>
  <si>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</si>
  <si>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</si>
  <si>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</si>
  <si>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</si>
  <si>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</si>
  <si>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</si>
  <si>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</si>
  <si>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</si>
  <si>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</si>
  <si>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</si>
  <si>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</si>
  <si>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</si>
  <si>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</si>
  <si>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</si>
  <si>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</si>
  <si>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</si>
  <si>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</si>
  <si>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</si>
  <si>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</si>
  <si>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</si>
  <si>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</si>
  <si>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</si>
  <si>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</si>
  <si>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</si>
  <si>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</si>
  <si>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</si>
  <si>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</si>
  <si>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</si>
  <si>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</si>
  <si>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</si>
  <si>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</si>
  <si>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</si>
  <si>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</si>
  <si>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</si>
  <si>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</si>
  <si>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</si>
  <si>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</si>
  <si>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</si>
  <si>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</si>
  <si>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</si>
  <si>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</si>
  <si>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</si>
  <si>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</si>
  <si>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</si>
  <si>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</si>
  <si>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</si>
  <si>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</si>
  <si>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</si>
  <si>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</si>
  <si>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</si>
  <si>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</si>
  <si>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</si>
  <si>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</si>
  <si>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</si>
  <si>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</si>
  <si>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</si>
  <si>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</si>
  <si>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</si>
  <si>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</si>
  <si>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</si>
  <si>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</si>
  <si>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</si>
  <si>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</si>
  <si>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</si>
  <si>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</si>
  <si>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</si>
  <si>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</si>
  <si>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</si>
  <si>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</si>
  <si>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</si>
  <si>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</si>
  <si>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</si>
  <si>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</si>
  <si>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</si>
  <si>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</si>
  <si>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</si>
  <si>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</si>
  <si>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</si>
  <si>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</si>
  <si>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</si>
  <si>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</si>
  <si>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</si>
  <si>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</si>
  <si>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</si>
  <si>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</si>
  <si>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</si>
  <si>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</si>
  <si>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</si>
  <si>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</si>
  <si>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</si>
  <si>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</si>
  <si>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</si>
  <si>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</si>
  <si>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</si>
  <si>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</si>
  <si>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</si>
  <si>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</si>
  <si>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</si>
  <si>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</si>
  <si>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</si>
  <si>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</si>
  <si>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</si>
  <si>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</si>
  <si>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</si>
  <si>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</si>
  <si>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</si>
  <si>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</si>
  <si>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</si>
  <si>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</si>
  <si>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</si>
  <si>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</si>
  <si>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</si>
  <si>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</si>
  <si>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</si>
  <si>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</si>
  <si>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</si>
  <si>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</si>
  <si>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</si>
  <si>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</si>
  <si>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</si>
  <si>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</si>
  <si>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</si>
  <si>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</si>
  <si>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</si>
  <si>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</si>
  <si>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</si>
  <si>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</si>
  <si>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</si>
  <si>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</si>
  <si>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</si>
  <si>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</si>
  <si>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</si>
  <si>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</si>
  <si>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</si>
  <si>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</si>
  <si>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</si>
  <si>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</si>
  <si>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</si>
  <si>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</si>
  <si>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</si>
  <si>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</si>
  <si>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</si>
  <si>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</si>
  <si>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</si>
  <si>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</si>
  <si>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</si>
  <si>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</si>
  <si>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</si>
  <si>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</si>
  <si>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</si>
  <si>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</si>
  <si>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</si>
  <si>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</si>
  <si>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</si>
  <si>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</si>
  <si>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</si>
  <si>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</si>
  <si>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</si>
  <si>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</si>
  <si>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</si>
  <si>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</si>
  <si>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</si>
  <si>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</si>
  <si>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</si>
  <si>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</si>
  <si>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</si>
  <si>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</si>
  <si>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</si>
  <si>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</si>
  <si>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</si>
  <si>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</si>
  <si>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</si>
  <si>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</si>
  <si>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</si>
  <si>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</si>
  <si>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</si>
  <si>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</si>
  <si>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</si>
  <si>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</si>
  <si>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</si>
  <si>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</si>
  <si>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</si>
  <si>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</si>
  <si>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</si>
  <si>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</si>
  <si>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</si>
  <si>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</si>
  <si>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</si>
  <si>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</si>
  <si>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</si>
  <si>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</si>
  <si>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</si>
  <si>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</si>
  <si>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</si>
  <si>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</si>
  <si>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</si>
  <si>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</si>
  <si>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</si>
  <si>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</si>
  <si>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</si>
  <si>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</si>
  <si>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</si>
  <si>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</si>
  <si>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</si>
  <si>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</si>
  <si>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</si>
  <si>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</si>
  <si>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</si>
  <si>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</si>
  <si>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</si>
  <si>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</si>
  <si>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</si>
  <si>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</si>
  <si>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</si>
  <si>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</si>
  <si>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</si>
  <si>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</si>
  <si>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</si>
  <si>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</si>
  <si>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</si>
  <si>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</si>
  <si>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</si>
  <si>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</si>
  <si>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</si>
  <si>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</si>
  <si>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</si>
  <si>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</si>
  <si>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</si>
  <si>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</si>
  <si>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</si>
  <si>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</si>
  <si>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</si>
  <si>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</si>
  <si>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</si>
  <si>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</si>
  <si>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</si>
  <si>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</si>
  <si>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</si>
  <si>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</si>
  <si>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</si>
  <si>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</si>
  <si>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</si>
  <si>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</si>
  <si>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</si>
  <si>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</si>
  <si>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</si>
  <si>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</si>
  <si>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</si>
  <si>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</si>
  <si>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</si>
  <si>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</si>
  <si>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</si>
  <si>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</si>
  <si>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</si>
  <si>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</si>
  <si>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</si>
  <si>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</si>
  <si>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</si>
  <si>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</si>
  <si>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</si>
  <si>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</si>
  <si>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</si>
  <si>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</si>
  <si>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</si>
  <si>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</si>
  <si>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</si>
  <si>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</si>
  <si>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</si>
  <si>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</si>
  <si>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</si>
  <si>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</si>
  <si>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</si>
  <si>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</si>
  <si>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</si>
  <si>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</si>
  <si>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</si>
  <si>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</si>
  <si>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</si>
  <si>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</si>
  <si>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</si>
  <si>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</si>
  <si>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</si>
  <si>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</si>
  <si>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</si>
  <si>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</si>
  <si>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</si>
  <si>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</si>
  <si>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</si>
  <si>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</si>
  <si>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</si>
  <si>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</si>
  <si>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</si>
  <si>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</si>
  <si>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</si>
  <si>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</si>
  <si>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</si>
  <si>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</si>
  <si>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</si>
  <si>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</si>
  <si>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</si>
  <si>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</si>
  <si>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</si>
  <si>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</si>
  <si>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</si>
  <si>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</si>
  <si>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</si>
  <si>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</si>
  <si>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</si>
  <si>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</si>
  <si>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</si>
  <si>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</si>
  <si>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</si>
  <si>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</si>
  <si>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</si>
  <si>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</si>
  <si>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</si>
  <si>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</si>
  <si>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</si>
  <si>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</si>
  <si>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</si>
  <si>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</si>
  <si>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</si>
  <si>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</si>
  <si>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</si>
  <si>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</si>
  <si>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</si>
  <si>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</si>
  <si>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</si>
  <si>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</si>
  <si>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</si>
  <si>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</si>
  <si>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</si>
  <si>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</si>
  <si>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</si>
  <si>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</si>
  <si>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</si>
  <si>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</si>
  <si>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</si>
  <si>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</si>
  <si>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</si>
  <si>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</si>
  <si>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</si>
  <si>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</si>
  <si>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</si>
  <si>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</si>
  <si>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</si>
  <si>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</si>
  <si>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</si>
  <si>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</si>
  <si>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</si>
  <si>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</si>
  <si>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</si>
  <si>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</si>
  <si>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</si>
  <si>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</si>
  <si>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</si>
  <si>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</si>
  <si>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</si>
  <si>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</si>
  <si>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</si>
  <si>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</si>
  <si>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</si>
  <si>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</si>
  <si>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</si>
  <si>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</si>
  <si>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</si>
  <si>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</si>
  <si>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</si>
  <si>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</si>
  <si>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</si>
  <si>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</si>
  <si>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</si>
  <si>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</si>
  <si>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</si>
  <si>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</si>
  <si>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</si>
  <si>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</si>
  <si>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</si>
  <si>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</si>
  <si>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</si>
  <si>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</si>
  <si>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</si>
  <si>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</si>
  <si>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</si>
  <si>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</si>
  <si>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</si>
  <si>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</si>
  <si>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</si>
  <si>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</si>
  <si>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</si>
  <si>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</si>
  <si>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</si>
  <si>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</si>
  <si>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</si>
  <si>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</si>
  <si>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</si>
  <si>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</si>
  <si>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</si>
  <si>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</si>
  <si>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</si>
  <si>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</si>
  <si>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</si>
  <si>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</si>
  <si>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</si>
  <si>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</si>
  <si>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</si>
  <si>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</si>
  <si>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</si>
  <si>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</si>
  <si>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</si>
  <si>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</si>
  <si>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</si>
  <si>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</si>
  <si>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</si>
  <si>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</si>
  <si>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</si>
  <si>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</si>
  <si>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</si>
  <si>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</si>
  <si>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</si>
  <si>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</si>
  <si>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</si>
  <si>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</si>
  <si>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</si>
  <si>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</si>
  <si>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</si>
  <si>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</si>
  <si>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</si>
  <si>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</si>
  <si>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</si>
  <si>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</si>
  <si>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</si>
  <si>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</si>
  <si>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</si>
  <si>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</si>
  <si>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</si>
  <si>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</si>
  <si>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</si>
  <si>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</si>
  <si>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</si>
  <si>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</si>
  <si>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</si>
  <si>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</si>
  <si>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</si>
  <si>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</si>
  <si>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</si>
  <si>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</si>
  <si>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</si>
  <si>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</si>
  <si>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</si>
  <si>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</si>
  <si>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</si>
  <si>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</si>
  <si>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</si>
  <si>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</si>
  <si>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</si>
  <si>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</si>
  <si>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</si>
  <si>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</si>
  <si>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</si>
  <si>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</si>
  <si>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</si>
  <si>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</si>
  <si>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</si>
  <si>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</si>
  <si>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</si>
  <si>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</si>
  <si>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</si>
  <si>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</si>
  <si>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</si>
  <si>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</si>
  <si>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</si>
  <si>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</si>
  <si>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</si>
  <si>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</si>
  <si>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</si>
  <si>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</si>
  <si>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</si>
  <si>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</si>
  <si>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</si>
  <si>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</si>
  <si>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</si>
  <si>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</si>
  <si>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</si>
  <si>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</si>
  <si>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</si>
  <si>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</si>
  <si>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</si>
  <si>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</si>
  <si>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</si>
  <si>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</si>
  <si>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</si>
  <si>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</si>
  <si>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</si>
  <si>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</si>
  <si>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</si>
  <si>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</si>
  <si>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</si>
  <si>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</si>
  <si>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</si>
  <si>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</si>
  <si>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</si>
  <si>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</si>
  <si>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</si>
  <si>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</si>
  <si>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</si>
  <si>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</si>
  <si>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</si>
  <si>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</si>
  <si>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</si>
  <si>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</si>
  <si>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</si>
  <si>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</si>
  <si>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</si>
  <si>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</si>
  <si>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</si>
  <si>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</si>
  <si>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</si>
  <si>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</si>
  <si>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</si>
  <si>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</si>
  <si>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</si>
  <si>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</si>
  <si>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</si>
  <si>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</si>
  <si>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</si>
  <si>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</si>
  <si>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</si>
  <si>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</si>
  <si>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</si>
  <si>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</si>
  <si>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</si>
  <si>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</si>
  <si>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</si>
  <si>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</si>
  <si>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</si>
  <si>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</si>
  <si>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</si>
  <si>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</si>
  <si>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</si>
  <si>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</si>
  <si>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</si>
  <si>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</si>
  <si>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</si>
  <si>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</si>
  <si>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</si>
  <si>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</si>
  <si>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</si>
  <si>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</si>
  <si>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</si>
  <si>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</si>
  <si>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</si>
  <si>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</si>
  <si>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</si>
  <si>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</si>
  <si>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</si>
  <si>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</si>
  <si>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</si>
  <si>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</si>
  <si>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</si>
  <si>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</si>
  <si>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</si>
  <si>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</si>
  <si>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</si>
  <si>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</si>
  <si>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</si>
  <si>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</si>
  <si>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</si>
  <si>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</si>
  <si>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</si>
  <si>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</si>
  <si>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</si>
  <si>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</si>
  <si>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</si>
  <si>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</si>
  <si>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</si>
  <si>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</si>
  <si>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</si>
  <si>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</si>
  <si>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</si>
  <si>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</si>
  <si>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</si>
  <si>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</si>
  <si>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</si>
  <si>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</si>
  <si>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</si>
  <si>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</si>
  <si>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</si>
  <si>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</si>
  <si>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</si>
  <si>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</si>
  <si>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</si>
  <si>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</si>
  <si>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</si>
  <si>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</si>
  <si>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</si>
  <si>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</si>
  <si>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</si>
  <si>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</si>
  <si>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</si>
  <si>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</si>
  <si>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</si>
  <si>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</si>
  <si>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</si>
  <si>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</si>
  <si>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</si>
  <si>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</si>
  <si>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</si>
  <si>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</si>
  <si>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</si>
  <si>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</si>
  <si>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</si>
  <si>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</si>
  <si>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</si>
  <si>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</si>
  <si>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</si>
  <si>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</si>
  <si>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</si>
  <si>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</si>
  <si>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</si>
  <si>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</si>
  <si>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</si>
  <si>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</si>
  <si>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</si>
  <si>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</si>
  <si>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</si>
  <si>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</si>
  <si>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</si>
  <si>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</si>
  <si>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</si>
  <si>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</si>
  <si>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</si>
  <si>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</si>
  <si>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</si>
  <si>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</si>
  <si>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</si>
  <si>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</si>
  <si>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</si>
  <si>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</si>
  <si>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</si>
  <si>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</si>
  <si>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</si>
  <si>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</si>
  <si>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</si>
  <si>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</si>
  <si>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</si>
  <si>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</si>
  <si>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</si>
  <si>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</si>
  <si>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</si>
  <si>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</si>
  <si>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</si>
  <si>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</si>
  <si>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</si>
  <si>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</si>
  <si>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</si>
  <si>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</si>
  <si>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</si>
  <si>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</si>
  <si>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</si>
  <si>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</si>
  <si>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</si>
  <si>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</si>
  <si>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</si>
  <si>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</si>
  <si>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</si>
  <si>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</si>
  <si>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</si>
  <si>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</si>
  <si>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</si>
  <si>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</si>
  <si>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</si>
  <si>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</si>
  <si>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</si>
  <si>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</si>
  <si>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</si>
  <si>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</si>
  <si>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</si>
  <si>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</si>
  <si>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</si>
  <si>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</si>
  <si>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</si>
  <si>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</si>
  <si>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</si>
  <si>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</si>
  <si>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</si>
  <si>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</si>
  <si>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</si>
  <si>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</si>
  <si>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</si>
  <si>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</si>
  <si>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</si>
  <si>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</si>
  <si>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</si>
  <si>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</si>
  <si>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</si>
  <si>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</si>
  <si>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</si>
  <si>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</si>
  <si>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</si>
  <si>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</si>
  <si>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</si>
  <si>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</si>
  <si>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</si>
  <si>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</si>
  <si>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</si>
  <si>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</si>
  <si>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</si>
  <si>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</si>
  <si>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</si>
  <si>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</si>
  <si>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</si>
  <si>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</si>
  <si>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</si>
  <si>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</si>
  <si>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</si>
  <si>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</si>
  <si>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</si>
  <si>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</si>
  <si>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</si>
  <si>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</si>
  <si>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</si>
  <si>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</si>
  <si>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</si>
  <si>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</si>
  <si>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</si>
  <si>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</si>
  <si>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</si>
  <si>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</si>
  <si>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</si>
  <si>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</si>
  <si>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</si>
  <si>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</si>
  <si>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</si>
  <si>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</si>
  <si>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</si>
  <si>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</si>
  <si>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</si>
  <si>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</si>
  <si>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</si>
  <si>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</si>
  <si>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</si>
  <si>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</si>
  <si>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</si>
  <si>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</si>
  <si>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</si>
  <si>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</si>
  <si>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</si>
  <si>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</si>
  <si>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</si>
  <si>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</si>
  <si>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</si>
  <si>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</si>
  <si>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</si>
  <si>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</si>
  <si>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</si>
  <si>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</si>
  <si>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</si>
  <si>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</si>
  <si>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</si>
  <si>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</si>
  <si>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</si>
  <si>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</si>
  <si>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</si>
  <si>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</si>
  <si>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</si>
  <si>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</si>
  <si>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</si>
  <si>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</si>
  <si>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</si>
  <si>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</si>
  <si>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</si>
  <si>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</si>
  <si>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</si>
  <si>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</si>
  <si>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</si>
  <si>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</si>
  <si>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</si>
  <si>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</si>
  <si>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</si>
  <si>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</si>
  <si>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</si>
  <si>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</si>
  <si>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</si>
  <si>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</si>
  <si>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</si>
  <si>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</si>
  <si>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</si>
  <si>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</si>
  <si>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</si>
  <si>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</si>
  <si>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</si>
  <si>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</si>
  <si>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</si>
  <si>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</si>
  <si>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</si>
  <si>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</si>
  <si>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</si>
  <si>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</si>
  <si>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</si>
  <si>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</si>
  <si>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</si>
  <si>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</si>
  <si>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</si>
  <si>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</si>
  <si>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</si>
  <si>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</si>
  <si>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</si>
  <si>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</si>
  <si>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</si>
  <si>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</si>
  <si>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</si>
  <si>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</si>
  <si>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</si>
  <si>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</si>
  <si>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</si>
  <si>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</si>
  <si>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</si>
  <si>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</si>
  <si>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</si>
  <si>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</si>
  <si>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</si>
  <si>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</si>
  <si>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</si>
  <si>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</si>
  <si>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</si>
  <si>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</si>
  <si>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</si>
  <si>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</si>
  <si>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</si>
  <si>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</si>
  <si>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</si>
  <si>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</si>
  <si>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</si>
  <si>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</si>
  <si>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</si>
  <si>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</si>
  <si>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</si>
  <si>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</si>
  <si>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</si>
  <si>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</si>
  <si>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</si>
  <si>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</si>
  <si>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</si>
  <si>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</si>
  <si>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</si>
  <si>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</si>
  <si>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</si>
  <si>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</si>
  <si>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</si>
  <si>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</si>
  <si>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</si>
  <si>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</si>
  <si>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</si>
  <si>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</si>
  <si>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</si>
  <si>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</si>
  <si>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</si>
  <si>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</si>
  <si>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</si>
  <si>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</si>
  <si>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</si>
  <si>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</si>
  <si>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</si>
  <si>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</si>
  <si>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</si>
  <si>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</si>
  <si>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</si>
  <si>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</si>
  <si>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</si>
  <si>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</si>
  <si>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</si>
  <si>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</si>
  <si>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</si>
  <si>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</si>
  <si>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</si>
  <si>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</si>
  <si>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</si>
  <si>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</si>
  <si>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</si>
  <si>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</si>
  <si>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</si>
  <si>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</si>
  <si>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</si>
  <si>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</si>
  <si>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</si>
  <si>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</si>
  <si>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</si>
  <si>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</si>
  <si>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</si>
  <si>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</si>
  <si>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</si>
  <si>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</si>
  <si>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</si>
  <si>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</si>
  <si>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</si>
  <si>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</si>
  <si>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</si>
  <si>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</si>
  <si>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</si>
  <si>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</si>
  <si>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</si>
  <si>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</si>
  <si>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</si>
  <si>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</si>
  <si>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</si>
  <si>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</si>
  <si>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</si>
  <si>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</si>
  <si>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</si>
  <si>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</si>
  <si>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</si>
  <si>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</si>
  <si>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</si>
  <si>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</si>
  <si>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</si>
  <si>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</si>
  <si>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</si>
  <si>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</si>
  <si>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</si>
  <si>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</si>
  <si>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</si>
  <si>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</si>
  <si>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</si>
  <si>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</si>
  <si>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</si>
  <si>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</si>
  <si>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</si>
  <si>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</si>
  <si>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</si>
  <si>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</si>
  <si>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</si>
  <si>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</si>
  <si>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</si>
  <si>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</si>
  <si>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</si>
  <si>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</si>
  <si>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</si>
  <si>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</si>
  <si>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</si>
  <si>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</si>
  <si>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</si>
  <si>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</si>
  <si>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</si>
  <si>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</si>
  <si>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</si>
  <si>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</si>
  <si>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</si>
  <si>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</si>
  <si>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</si>
  <si>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</si>
  <si>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</si>
  <si>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</si>
  <si>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</si>
  <si>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</si>
  <si>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</si>
  <si>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</si>
  <si>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</si>
  <si>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</si>
  <si>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</si>
  <si>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</si>
  <si>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</si>
  <si>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</si>
  <si>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</si>
  <si>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</si>
  <si>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</si>
  <si>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</si>
  <si>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</si>
  <si>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</si>
  <si>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</si>
  <si>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</si>
  <si>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</si>
  <si>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</si>
  <si>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</si>
  <si>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</si>
  <si>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</si>
  <si>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</si>
  <si>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</si>
  <si>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</si>
  <si>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</si>
  <si>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</si>
  <si>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</si>
  <si>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</si>
  <si>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</si>
  <si>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</si>
  <si>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</si>
  <si>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</si>
  <si>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</si>
  <si>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</si>
  <si>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</si>
  <si>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</si>
  <si>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</si>
  <si>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</si>
  <si>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</si>
  <si>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</si>
  <si>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</si>
  <si>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</si>
  <si>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</si>
  <si>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</si>
  <si>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</si>
  <si>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</si>
  <si>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</si>
  <si>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</si>
  <si>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</si>
  <si>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</si>
  <si>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</si>
  <si>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</si>
  <si>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</si>
  <si>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</si>
  <si>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</si>
  <si>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</si>
  <si>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</si>
  <si>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</si>
  <si>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</si>
  <si>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</si>
  <si>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</si>
  <si>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</si>
  <si>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</si>
  <si>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</si>
  <si>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</si>
  <si>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</si>
  <si>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</si>
  <si>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</si>
  <si>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</si>
  <si>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</si>
  <si>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</si>
  <si>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</si>
  <si>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</si>
  <si>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</si>
  <si>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</si>
  <si>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</si>
  <si>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</si>
  <si>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</si>
  <si>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</si>
  <si>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</si>
  <si>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</si>
  <si>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</si>
  <si>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</si>
  <si>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</si>
  <si>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</si>
  <si>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</si>
  <si>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</si>
  <si>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</si>
  <si>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</si>
  <si>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</si>
  <si>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</si>
  <si>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</si>
  <si>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</si>
  <si>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</si>
  <si>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</si>
  <si>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</si>
  <si>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</si>
  <si>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</si>
  <si>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</si>
  <si>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</si>
  <si>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</si>
  <si>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</si>
  <si>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</si>
  <si>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</si>
  <si>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</si>
  <si>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</si>
  <si>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</si>
  <si>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</si>
  <si>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</si>
  <si>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</si>
  <si>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</si>
  <si>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</si>
  <si>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</si>
  <si>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</si>
  <si>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</si>
  <si>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</si>
  <si>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</si>
  <si>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</si>
  <si>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</si>
  <si>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</si>
  <si>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</si>
  <si>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</si>
  <si>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</si>
  <si>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</si>
  <si>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</si>
  <si>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</si>
  <si>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</si>
  <si>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</si>
  <si>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</si>
  <si>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</si>
  <si>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</si>
  <si>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</si>
  <si>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</si>
  <si>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</si>
  <si>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</si>
  <si>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</si>
  <si>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</si>
  <si>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</si>
  <si>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</si>
  <si>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</si>
  <si>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</si>
  <si>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</si>
  <si>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</si>
  <si>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</si>
  <si>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</si>
  <si>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</si>
  <si>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</si>
  <si>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</si>
  <si>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</si>
  <si>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</si>
  <si>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</si>
  <si>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</si>
  <si>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</si>
  <si>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</si>
  <si>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</si>
  <si>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</si>
  <si>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</si>
  <si>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</si>
  <si>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</si>
  <si>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</si>
  <si>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</si>
  <si>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</si>
  <si>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</si>
  <si>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</si>
  <si>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</si>
  <si>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</si>
  <si>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</si>
  <si>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</si>
  <si>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</si>
  <si>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</si>
  <si>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</si>
  <si>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</si>
  <si>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</si>
  <si>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</si>
  <si>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</si>
  <si>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</si>
  <si>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</si>
  <si>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</si>
  <si>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</si>
  <si>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</si>
  <si>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</si>
  <si>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</si>
  <si>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</si>
  <si>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</si>
  <si>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</si>
  <si>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</si>
  <si>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</si>
  <si>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</si>
  <si>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</si>
  <si>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</si>
  <si>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</si>
  <si>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</si>
  <si>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</si>
  <si>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</si>
  <si>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</si>
  <si>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</si>
  <si>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</si>
  <si>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</si>
  <si>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</si>
  <si>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</si>
  <si>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</si>
  <si>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</si>
  <si>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</si>
  <si>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</si>
  <si>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</si>
  <si>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</si>
  <si>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</si>
  <si>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</si>
  <si>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</si>
  <si>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</si>
  <si>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</si>
  <si>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</si>
  <si>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</si>
  <si>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</si>
  <si>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</si>
  <si>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</si>
  <si>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</si>
  <si>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</si>
  <si>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</si>
  <si>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</si>
  <si>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</si>
  <si>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</si>
  <si>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</si>
  <si>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</si>
  <si>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</si>
  <si>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</si>
  <si>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</si>
  <si>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</si>
  <si>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</si>
  <si>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</si>
  <si>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</si>
  <si>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</si>
  <si>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</si>
  <si>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</si>
  <si>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</si>
  <si>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</si>
  <si>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</si>
  <si>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</si>
  <si>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</si>
  <si>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</si>
  <si>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</si>
  <si>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</si>
  <si>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</si>
  <si>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</si>
  <si>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</si>
  <si>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</si>
  <si>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</si>
  <si>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</si>
  <si>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</si>
  <si>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</si>
  <si>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</si>
  <si>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</si>
  <si>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</si>
  <si>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</si>
  <si>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</si>
  <si>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</si>
  <si>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</si>
  <si>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</si>
  <si>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</si>
  <si>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</si>
  <si>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</si>
  <si>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</si>
  <si>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</si>
  <si>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</si>
  <si>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</si>
  <si>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</si>
  <si>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</si>
  <si>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</si>
  <si>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</si>
  <si>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</si>
  <si>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</si>
  <si>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</si>
  <si>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</si>
  <si>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</si>
  <si>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</si>
  <si>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</si>
  <si>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</si>
  <si>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</si>
  <si>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</si>
  <si>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</si>
  <si>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</si>
  <si>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</si>
  <si>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</si>
  <si>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</si>
  <si>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</si>
  <si>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</si>
  <si>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</si>
  <si>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</si>
  <si>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</si>
  <si>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</si>
  <si>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</si>
  <si>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</si>
  <si>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</si>
  <si>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</si>
  <si>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</si>
  <si>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</si>
  <si>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</si>
  <si>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</si>
  <si>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</si>
  <si>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</si>
  <si>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</si>
  <si>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</si>
  <si>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</si>
  <si>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</si>
  <si>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</si>
  <si>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</si>
  <si>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</si>
  <si>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</si>
  <si>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</si>
  <si>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</si>
  <si>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</si>
  <si>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</si>
  <si>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</si>
  <si>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</si>
  <si>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</si>
  <si>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</si>
  <si>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</si>
  <si>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</si>
  <si>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</si>
  <si>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</si>
  <si>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</si>
  <si>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</si>
  <si>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</si>
  <si>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</si>
  <si>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</si>
  <si>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</si>
  <si>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</si>
  <si>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</si>
  <si>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</si>
  <si>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</si>
  <si>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</si>
  <si>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</si>
  <si>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</si>
  <si>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</si>
  <si>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</si>
  <si>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</si>
  <si>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</si>
  <si>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</si>
  <si>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</si>
  <si>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</si>
  <si>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</si>
  <si>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</si>
  <si>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</si>
  <si>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</si>
  <si>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</si>
  <si>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</si>
  <si>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</si>
  <si>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</si>
  <si>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</si>
  <si>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</si>
  <si>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</si>
  <si>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</si>
  <si>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</si>
  <si>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</si>
  <si>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</si>
  <si>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</si>
  <si>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</si>
  <si>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</si>
  <si>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</si>
  <si>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</si>
  <si>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</si>
  <si>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</si>
  <si>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</si>
  <si>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</si>
  <si>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</si>
  <si>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</si>
  <si>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</si>
  <si>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</si>
  <si>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</si>
  <si>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</si>
  <si>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</si>
  <si>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</si>
  <si>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</si>
  <si>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</si>
  <si>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</si>
  <si>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</si>
  <si>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</si>
  <si>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</si>
  <si>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</si>
  <si>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</si>
  <si>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</si>
  <si>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</si>
  <si>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</si>
  <si>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</si>
  <si>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</si>
  <si>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</si>
  <si>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</si>
  <si>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</si>
  <si>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</si>
  <si>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</si>
  <si>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</si>
  <si>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</si>
  <si>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</si>
  <si>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</si>
  <si>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</si>
  <si>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</si>
  <si>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</si>
  <si>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</si>
  <si>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</si>
  <si>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</si>
  <si>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</si>
  <si>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</si>
  <si>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</si>
  <si>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</si>
  <si>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</si>
  <si>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</si>
  <si>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</si>
  <si>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</si>
  <si>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</si>
  <si>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</si>
  <si>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</si>
  <si>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</si>
  <si>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</si>
  <si>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</si>
  <si>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</si>
  <si>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</si>
  <si>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</si>
  <si>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</si>
  <si>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</si>
  <si>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</si>
  <si>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</si>
  <si>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</si>
  <si>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</si>
  <si>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</si>
  <si>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</si>
  <si>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</si>
  <si>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</si>
  <si>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</si>
  <si>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</si>
  <si>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</si>
  <si>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</si>
  <si>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</si>
  <si>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</si>
  <si>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</si>
  <si>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</si>
  <si>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</si>
  <si>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</si>
  <si>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</si>
  <si>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</si>
  <si>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</si>
  <si>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</si>
  <si>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</si>
  <si>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</si>
  <si>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</si>
  <si>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</si>
  <si>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</si>
  <si>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</si>
  <si>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</si>
  <si>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</si>
  <si>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</si>
  <si>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</si>
  <si>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</si>
  <si>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</si>
  <si>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</si>
  <si>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</si>
  <si>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</si>
  <si>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</si>
  <si>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</si>
  <si>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</si>
  <si>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</si>
  <si>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</si>
  <si>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</si>
  <si>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</si>
  <si>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</si>
  <si>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</si>
  <si>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</si>
  <si>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</si>
  <si>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</si>
  <si>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</si>
  <si>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</si>
  <si>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</si>
  <si>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</si>
  <si>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</si>
  <si>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</si>
  <si>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</si>
  <si>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</si>
  <si>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</si>
  <si>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</si>
  <si>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</si>
  <si>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</si>
  <si>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</si>
  <si>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</si>
  <si>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</si>
  <si>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</si>
  <si>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</si>
  <si>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</si>
  <si>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</si>
  <si>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</si>
  <si>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</si>
  <si>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</si>
  <si>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</si>
  <si>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</si>
  <si>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</si>
  <si>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</si>
  <si>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</si>
  <si>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</si>
  <si>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</si>
  <si>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</si>
  <si>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</si>
  <si>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</si>
  <si>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</si>
  <si>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</si>
  <si>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</si>
  <si>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</si>
  <si>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Wakeland Housing and Development Corporation</t>
  </si>
  <si>
    <t>Mission Heritage Plaza</t>
  </si>
  <si>
    <t>City of Riverside</t>
  </si>
  <si>
    <t>Al Zelinka</t>
  </si>
  <si>
    <t>3900 Main Street, 7th Floor</t>
  </si>
  <si>
    <t>951.826.5553</t>
  </si>
  <si>
    <t>azelinka@riversideca.gov</t>
  </si>
  <si>
    <t>CDLAC-TCAC Joint Application (submitting concurrently)</t>
  </si>
  <si>
    <t>3933 Mission Inn Avenue and 3655 Fairmount Blvd</t>
  </si>
  <si>
    <t>212-007; -008;-009; -010; 011; -012; -013; -014</t>
  </si>
  <si>
    <t>40%/60%</t>
  </si>
  <si>
    <t>CA</t>
  </si>
  <si>
    <t>909.771.4462</t>
  </si>
  <si>
    <t>sherold@wakelandhdc.com</t>
  </si>
  <si>
    <t>Wakeland Mission Heritage LLC</t>
  </si>
  <si>
    <t>Managing GP</t>
  </si>
  <si>
    <t>1230 Columbia Street, Suite 950</t>
  </si>
  <si>
    <t>MHP-FH, LLC</t>
  </si>
  <si>
    <t>Administrative GP</t>
  </si>
  <si>
    <t>PO Box 1068</t>
  </si>
  <si>
    <t>Rose Mayes, Execuitive Director</t>
  </si>
  <si>
    <t>951.682.6581</t>
  </si>
  <si>
    <t>rosemayes@fairhousing.net</t>
  </si>
  <si>
    <t>Fair Housing Council of Riverside County</t>
  </si>
  <si>
    <t>Kenneth L. Sauder, President &amp; CEO</t>
  </si>
  <si>
    <t>Shonda Herold, Proejct Manager</t>
  </si>
  <si>
    <t>Project Manager</t>
  </si>
  <si>
    <t>Gonzalez Goodale Architects</t>
  </si>
  <si>
    <t>135 West Green Street, #200</t>
  </si>
  <si>
    <t>San Diego, CA 92101</t>
  </si>
  <si>
    <t>Pasadena, CA 91105</t>
  </si>
  <si>
    <t>Shonda Herold</t>
  </si>
  <si>
    <t>Ali Barar, AIA</t>
  </si>
  <si>
    <t>626.568.1428</t>
  </si>
  <si>
    <t>abarar@ggarch.com</t>
  </si>
  <si>
    <t>Goldfarb &amp; Lipman, LLP</t>
  </si>
  <si>
    <t>Sun Country Builders</t>
  </si>
  <si>
    <t>1300 Clay street, 11th Floor</t>
  </si>
  <si>
    <t>3156 Lionshead Avenue, Suite 2</t>
  </si>
  <si>
    <t>Oakland, CA 94612</t>
  </si>
  <si>
    <t>Carlsbad, CA 92010</t>
  </si>
  <si>
    <t>Healther could</t>
  </si>
  <si>
    <t>Carol Lang</t>
  </si>
  <si>
    <t>510.836.6336</t>
  </si>
  <si>
    <t>760.630.8042</t>
  </si>
  <si>
    <t>hgould@goldfarblipman.com</t>
  </si>
  <si>
    <t>clang@suncountrybuilders.net</t>
  </si>
  <si>
    <t>G.R.E.G. Consulting</t>
  </si>
  <si>
    <t>2647 Gateway Road #105-345</t>
  </si>
  <si>
    <t>Carol Roberts</t>
  </si>
  <si>
    <t>760.630.5310</t>
  </si>
  <si>
    <t>carol@gregconsulting.net</t>
  </si>
  <si>
    <t>Kinetic Valuation Group</t>
  </si>
  <si>
    <t>PO Box 68</t>
  </si>
  <si>
    <t>Corona Del Mar, CA</t>
  </si>
  <si>
    <t>Jay Wortman, MAI</t>
  </si>
  <si>
    <t>818.914.1892</t>
  </si>
  <si>
    <t>jwortmann@kvgteam.com</t>
  </si>
  <si>
    <t>California Municipal Finance Authority</t>
  </si>
  <si>
    <t>ConAm Management Company</t>
  </si>
  <si>
    <t>211 Palomar Airport Rd., Suite 320</t>
  </si>
  <si>
    <t>3990 Ruffin Road, Suite 100</t>
  </si>
  <si>
    <t>Carlsbad, CA 92011</t>
  </si>
  <si>
    <t>San Diego, CA 92123</t>
  </si>
  <si>
    <t>Anthony Stubbs</t>
  </si>
  <si>
    <t>Kaycee Narcisco</t>
  </si>
  <si>
    <t>760.930.1333</t>
  </si>
  <si>
    <t>858.614.7375</t>
  </si>
  <si>
    <t>astubbs@cmfa-ca.com</t>
  </si>
  <si>
    <t>knarisco@conam.com</t>
  </si>
  <si>
    <t>Rose Mayes</t>
  </si>
  <si>
    <t>Executive Director</t>
  </si>
  <si>
    <t>PO Box 1068, Riverside, CA 92505</t>
  </si>
  <si>
    <t>Inner City Infill Site</t>
  </si>
  <si>
    <t>The ground floor of building A will be used as commerical/office space</t>
  </si>
  <si>
    <t>Downtown Specific Plan</t>
  </si>
  <si>
    <t>DSP-RC-CR 60du/ac max</t>
  </si>
  <si>
    <t>0.5 space per unit</t>
  </si>
  <si>
    <t>Housing Authority of the City of Riverside</t>
  </si>
  <si>
    <t>HCD/VHHP</t>
  </si>
  <si>
    <t>State Budget Allocation</t>
  </si>
  <si>
    <t>Fixed</t>
  </si>
  <si>
    <t>City of Riverside TUMF Fee waiver</t>
  </si>
  <si>
    <t>3900 Main Street, 5th Floor</t>
  </si>
  <si>
    <t>Riverside,</t>
  </si>
  <si>
    <t>Jeff McLaughlin</t>
  </si>
  <si>
    <t>951.826.5649</t>
  </si>
  <si>
    <t>PO Box 952054</t>
  </si>
  <si>
    <t>Craig Morrow</t>
  </si>
  <si>
    <t>916.263.6547</t>
  </si>
  <si>
    <t>HCD-VHHP</t>
  </si>
  <si>
    <t>PO Box 252054</t>
  </si>
  <si>
    <t>County of Riverside Housing Authority</t>
  </si>
  <si>
    <t>Riv Pub Util Servie Charge</t>
  </si>
  <si>
    <t>office supplies, phone, internet, misc.</t>
  </si>
  <si>
    <t>payroll taxes, benefits</t>
  </si>
  <si>
    <t>Other (CMFA Bond Monitoring Fee):</t>
  </si>
  <si>
    <t>Other: Commercial TI/Parking</t>
  </si>
  <si>
    <t>Other: (Security during construction)</t>
  </si>
  <si>
    <t>Other: (Construction Lender Expenses/Monitoring)</t>
  </si>
  <si>
    <t xml:space="preserve">HCD AHSC HRI </t>
  </si>
  <si>
    <t>Variable</t>
  </si>
  <si>
    <t>Costs deferred until conversion</t>
  </si>
  <si>
    <t>residual receipts loan</t>
  </si>
  <si>
    <t>accrued interest</t>
  </si>
  <si>
    <t>waived fee</t>
  </si>
  <si>
    <t>Paul Shipstead</t>
  </si>
  <si>
    <t>401 B Street, Suite 1100</t>
  </si>
  <si>
    <t>(619) 699-3135</t>
  </si>
  <si>
    <t xml:space="preserve">Paul Shipstead </t>
  </si>
  <si>
    <t>1230 Columbia Street, #950</t>
  </si>
  <si>
    <t>Peter Armstrong</t>
  </si>
  <si>
    <t>(619) 677-2300</t>
  </si>
  <si>
    <t>1223 University Avenue, Suite 230</t>
  </si>
  <si>
    <t>(951) 369-6644</t>
  </si>
  <si>
    <t>1230 Columbia Street #950</t>
  </si>
  <si>
    <t>deferred developer fee</t>
  </si>
  <si>
    <t>TBD</t>
  </si>
  <si>
    <t>HCD AHSC</t>
  </si>
  <si>
    <t>Deferred developer fee</t>
  </si>
  <si>
    <t>CDLAC Performance Deposit Refund</t>
  </si>
  <si>
    <t>fee waiver</t>
  </si>
  <si>
    <t>accrued/deferred interest</t>
  </si>
  <si>
    <t>residual receipts</t>
  </si>
  <si>
    <t>Mark Rasmussen</t>
  </si>
  <si>
    <t>(818) 550-9807</t>
  </si>
  <si>
    <t>100 West Broadway, Suite 100</t>
  </si>
  <si>
    <t>Glendale</t>
  </si>
  <si>
    <t>developer fee</t>
  </si>
  <si>
    <t>refund</t>
  </si>
  <si>
    <t>Project Based Section 8 Vouchers, AHSC, VHHP</t>
  </si>
  <si>
    <t>veterans</t>
  </si>
  <si>
    <t>Cohn Reznik</t>
  </si>
  <si>
    <t>Laura Wilder</t>
  </si>
  <si>
    <t>(916) 930-5732</t>
  </si>
  <si>
    <t>(916) 930-5202</t>
  </si>
  <si>
    <t>Laura.Wilder@CohnReznik.com</t>
  </si>
  <si>
    <t>400 Capitol Mall, Suite 1200</t>
  </si>
  <si>
    <t>CHPC</t>
  </si>
  <si>
    <t>4231 Balboa Avenue, #1018</t>
  </si>
  <si>
    <t>Diep Do</t>
  </si>
  <si>
    <t>(858) 617-0579</t>
  </si>
  <si>
    <t>ddo@chpc.net</t>
  </si>
  <si>
    <t>2020 W. El Camino Avenue, # 500</t>
  </si>
  <si>
    <t>John Nunn</t>
  </si>
  <si>
    <t>(916) 274-0575</t>
  </si>
  <si>
    <t>HA of the City of Riverside</t>
  </si>
  <si>
    <t>HA of City of Riverside Accrued/Deferred interest</t>
  </si>
  <si>
    <t>(951) 826-5649</t>
  </si>
  <si>
    <t>VHHP Mandatory Interest</t>
  </si>
  <si>
    <t>HCD VHHP; HCD AHSC &amp; State Budget Allocation</t>
  </si>
  <si>
    <t>HA of City of Riverside</t>
  </si>
  <si>
    <t>07/13/17 &amp; 08/12/19</t>
  </si>
  <si>
    <t>Housing Authority</t>
  </si>
  <si>
    <t>Project-based vouchers (PBVs)</t>
  </si>
  <si>
    <t>HCD/AHSC</t>
  </si>
  <si>
    <t>Wells Fargo Taxable Construction Loan</t>
  </si>
  <si>
    <t>Wells Fargo Tax-Exempt Construction Loan</t>
  </si>
  <si>
    <t>LP Equity (Net)</t>
  </si>
  <si>
    <t>CDLAC Performance deposit refund</t>
  </si>
  <si>
    <t>grant contributed as loan</t>
  </si>
  <si>
    <t>tax exempt bond construction loan</t>
  </si>
  <si>
    <t>taxable construction loan</t>
  </si>
  <si>
    <t>state budget funds</t>
  </si>
  <si>
    <t>defered costs</t>
  </si>
  <si>
    <t>CCRC Tax Exempt Permanent Loan</t>
  </si>
  <si>
    <t>GP Equity (Developer Fee)</t>
  </si>
  <si>
    <t>tax exempt bond permanent loan</t>
  </si>
  <si>
    <t>Contracts</t>
  </si>
  <si>
    <t>3rd party construction manager</t>
  </si>
  <si>
    <t>Acquisition Title/Recording/Escrow</t>
  </si>
  <si>
    <t>HCD Transition Reserve &amp; AHSC Transit Passes Reserve</t>
  </si>
  <si>
    <t>Misc. Licenses/Permits</t>
  </si>
  <si>
    <t>HCD AHSC Mandatory Interest</t>
  </si>
  <si>
    <t>Deferred Developer Fee</t>
  </si>
  <si>
    <t>San Diego CA 92101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</si>
</sst>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1" t="s">
        <v>1432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1440</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35" customHeight="1">
      <c r="A14" s="337"/>
      <c r="B14" s="335"/>
      <c r="C14" s="336"/>
      <c r="E14" s="957" t="s">
        <v>1433</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7" t="s">
        <v>1598</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3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35" customHeight="1">
      <c r="A27" s="337"/>
      <c r="B27" s="335"/>
      <c r="C27" s="336"/>
      <c r="E27" s="957" t="s">
        <v>1441</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9" t="s">
        <v>1442</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1507</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1427</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35" customHeight="1">
      <c r="A40" s="152"/>
      <c r="B40"/>
      <c r="C40" s="5"/>
      <c r="D40" s="152"/>
      <c r="E40" s="152" t="s">
        <v>707</v>
      </c>
      <c r="F40" s="957" t="s">
        <v>1400</v>
      </c>
    </row>
    <row r="41" spans="1:38" s="957"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4" t="s">
        <v>1530</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3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1531</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3" t="s">
        <v>1532</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1402</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35" customHeight="1">
      <c r="A67" s="152"/>
      <c r="C67" s="5"/>
      <c r="D67" s="152"/>
      <c r="E67" s="152"/>
      <c r="F67" s="9" t="s">
        <v>556</v>
      </c>
      <c r="G67" s="957" t="s">
        <v>1403</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1404</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1405</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1406</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1407</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1408</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1409</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1410</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1411</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1412</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1387</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1505</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1504</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1562</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14</v>
      </c>
      <c r="C4" s="682">
        <f>Application!K709</f>
        <v>329</v>
      </c>
      <c r="D4" s="683"/>
      <c r="E4" s="493">
        <v>1009</v>
      </c>
      <c r="F4" s="684">
        <f>E4*B4</f>
        <v>14126</v>
      </c>
      <c r="G4" s="685"/>
      <c r="H4" s="682">
        <f>IF(E4=0," ",(E4-C4))</f>
        <v>680</v>
      </c>
      <c r="I4" s="684">
        <f>IF(E4=0," ",(H4*B4))</f>
        <v>9520</v>
      </c>
      <c r="J4" s="335"/>
      <c r="K4" s="490"/>
    </row>
    <row r="5" spans="1:11">
      <c r="A5" s="682" t="str">
        <f>Application!B710</f>
        <v>2 Bedrooms</v>
      </c>
      <c r="B5" s="691">
        <f>Application!G710</f>
        <v>3</v>
      </c>
      <c r="C5" s="682">
        <f>Application!K710</f>
        <v>392</v>
      </c>
      <c r="D5" s="683"/>
      <c r="E5" s="493">
        <v>1262</v>
      </c>
      <c r="F5" s="684">
        <f t="shared" ref="F5:F28" si="0">E5*B5</f>
        <v>3786</v>
      </c>
      <c r="G5" s="685"/>
      <c r="H5" s="682">
        <f t="shared" ref="H5:H28" si="1">IF(E5=0," ",(E5-C5))</f>
        <v>870</v>
      </c>
      <c r="I5" s="684">
        <f t="shared" ref="I5:I28" si="2">IF(E5=0," ",(H5*B5))</f>
        <v>2610</v>
      </c>
      <c r="J5" s="335"/>
      <c r="K5" s="490"/>
    </row>
    <row r="6" spans="1:11">
      <c r="A6" s="682" t="str">
        <f>Application!B711</f>
        <v>3 Bedrooms</v>
      </c>
      <c r="B6" s="691">
        <f>Application!G711</f>
        <v>2</v>
      </c>
      <c r="C6" s="682">
        <f>Application!K711</f>
        <v>448</v>
      </c>
      <c r="D6" s="683"/>
      <c r="E6" s="493">
        <v>1776</v>
      </c>
      <c r="F6" s="684">
        <f t="shared" si="0"/>
        <v>3552</v>
      </c>
      <c r="G6" s="685"/>
      <c r="H6" s="682">
        <f t="shared" si="1"/>
        <v>1328</v>
      </c>
      <c r="I6" s="684">
        <f t="shared" si="2"/>
        <v>2656</v>
      </c>
      <c r="J6" s="335"/>
      <c r="K6" s="490"/>
    </row>
    <row r="7" spans="1:11">
      <c r="A7" s="682" t="str">
        <f>Application!B712</f>
        <v>1 Bedroom</v>
      </c>
      <c r="B7" s="691">
        <f>Application!G712</f>
        <v>2</v>
      </c>
      <c r="C7" s="682">
        <f>Application!K712</f>
        <v>531</v>
      </c>
      <c r="D7" s="683"/>
      <c r="E7" s="493">
        <v>1009</v>
      </c>
      <c r="F7" s="684">
        <f t="shared" si="0"/>
        <v>2018</v>
      </c>
      <c r="G7" s="685"/>
      <c r="H7" s="682">
        <f t="shared" si="1"/>
        <v>478</v>
      </c>
      <c r="I7" s="684">
        <f t="shared" si="2"/>
        <v>956</v>
      </c>
      <c r="J7" s="335"/>
      <c r="K7" s="490"/>
    </row>
    <row r="8" spans="1:11">
      <c r="A8" s="682" t="str">
        <f>Application!B713</f>
        <v>2 Bedrooms</v>
      </c>
      <c r="B8" s="691">
        <f>Application!G713</f>
        <v>7</v>
      </c>
      <c r="C8" s="682">
        <f>Application!K713</f>
        <v>634</v>
      </c>
      <c r="D8" s="683"/>
      <c r="E8" s="493">
        <v>1262</v>
      </c>
      <c r="F8" s="684">
        <f t="shared" si="0"/>
        <v>8834</v>
      </c>
      <c r="G8" s="685"/>
      <c r="H8" s="682">
        <f t="shared" si="1"/>
        <v>628</v>
      </c>
      <c r="I8" s="684">
        <f t="shared" si="2"/>
        <v>4396</v>
      </c>
      <c r="J8" s="335"/>
      <c r="K8" s="490"/>
    </row>
    <row r="9" spans="1:11">
      <c r="A9" s="682" t="str">
        <f>Application!B714</f>
        <v>3 Bedrooms</v>
      </c>
      <c r="B9" s="691">
        <f>Application!G714</f>
        <v>6</v>
      </c>
      <c r="C9" s="682">
        <f>Application!K714</f>
        <v>728</v>
      </c>
      <c r="D9" s="683"/>
      <c r="E9" s="493">
        <v>1776</v>
      </c>
      <c r="F9" s="684">
        <f t="shared" si="0"/>
        <v>10656</v>
      </c>
      <c r="G9" s="685"/>
      <c r="H9" s="682">
        <f t="shared" si="1"/>
        <v>1048</v>
      </c>
      <c r="I9" s="684">
        <f t="shared" si="2"/>
        <v>6288</v>
      </c>
      <c r="J9" s="335"/>
      <c r="K9" s="490"/>
    </row>
    <row r="10" spans="1:11">
      <c r="A10" s="682" t="str">
        <f>Application!B715</f>
        <v>1 Bedroom</v>
      </c>
      <c r="B10" s="691">
        <f>Application!G715</f>
        <v>3</v>
      </c>
      <c r="C10" s="682">
        <f>Application!K715</f>
        <v>598</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5</v>
      </c>
      <c r="C11" s="682">
        <f>Application!K716</f>
        <v>598</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7</v>
      </c>
      <c r="C12" s="682">
        <f>Application!K717</f>
        <v>715</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6</v>
      </c>
      <c r="C13" s="682">
        <f>Application!K718</f>
        <v>821</v>
      </c>
      <c r="D13" s="683"/>
      <c r="E13" s="493"/>
      <c r="F13" s="684">
        <f t="shared" si="0"/>
        <v>0</v>
      </c>
      <c r="G13" s="685"/>
      <c r="H13" s="682" t="str">
        <f t="shared" si="1"/>
        <v xml:space="preserve"> </v>
      </c>
      <c r="I13" s="684" t="str">
        <f t="shared" si="2"/>
        <v xml:space="preserve"> </v>
      </c>
      <c r="J13" s="335"/>
      <c r="K13" s="490"/>
    </row>
    <row r="14" spans="1:11">
      <c r="A14" s="682" t="str">
        <f>Application!B719</f>
        <v>1 Bedroom</v>
      </c>
      <c r="B14" s="691">
        <f>Application!G719</f>
        <v>6</v>
      </c>
      <c r="C14" s="682">
        <f>Application!K719</f>
        <v>733</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6</v>
      </c>
      <c r="C15" s="682">
        <f>Application!K720</f>
        <v>877</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4</v>
      </c>
      <c r="C16" s="682">
        <f>Application!K721</f>
        <v>1008</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44953</v>
      </c>
      <c r="D30" s="683"/>
      <c r="E30" s="683"/>
      <c r="F30" s="688">
        <f>SUM(F4:F28)*12</f>
        <v>515664</v>
      </c>
      <c r="G30" s="689"/>
      <c r="H30" s="687"/>
      <c r="I30" s="688">
        <f>SUM(I4:I28)*12</f>
        <v>317112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907749</v>
      </c>
      <c r="C5" s="438">
        <f>'Sources and Uses Budget'!$C4</f>
        <v>907749</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240170</v>
      </c>
      <c r="C6" s="438">
        <f>'Sources and Uses Budget'!$C5</f>
        <v>240170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1147919</v>
      </c>
      <c r="C9" s="442">
        <f>SUM(C5:C8)</f>
        <v>1147919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1147919</v>
      </c>
      <c r="C13" s="442">
        <f>SUM(C9+C12)</f>
        <v>1147919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148176</v>
      </c>
      <c r="C14" s="438">
        <f>'Sources and Uses Budget'!$C13</f>
        <v>148176</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23500000</v>
      </c>
      <c r="C30" s="438">
        <f>'Sources and Uses Budget'!$C29</f>
        <v>23500000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881785</v>
      </c>
      <c r="C31" s="438">
        <f>'Sources and Uses Budget'!$C30</f>
        <v>881785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925685</v>
      </c>
      <c r="C32" s="438">
        <f>'Sources and Uses Budget'!$C31</f>
        <v>925685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925685</v>
      </c>
      <c r="C33" s="438">
        <f>'Sources and Uses Budget'!$C32</f>
        <v>925685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279270</v>
      </c>
      <c r="C35" s="438">
        <f>'Sources and Uses Budget'!$C34</f>
        <v>279270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26512425</v>
      </c>
      <c r="C37" s="442">
        <f>SUM(C29:C36)</f>
        <v>26512425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1578780</v>
      </c>
      <c r="C39" s="438">
        <f>'Sources and Uses Budget'!$C38</f>
        <v>1578780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1578780</v>
      </c>
      <c r="C41" s="442">
        <f>SUM(C39:C40)</f>
        <v>1578780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591156</v>
      </c>
      <c r="C42" s="438">
        <f>'Sources and Uses Budget'!$C41</f>
        <v>591156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1487158</v>
      </c>
      <c r="C44" s="438">
        <f>'Sources and Uses Budget'!$C43</f>
        <v>1487158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192781</v>
      </c>
      <c r="C45" s="438">
        <f>'Sources and Uses Budget'!$C44</f>
        <v>192781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6174</v>
      </c>
      <c r="C47" s="438">
        <f>'Sources and Uses Budget'!$C46</f>
        <v>6174</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301218</v>
      </c>
      <c r="C48" s="438">
        <f>'Sources and Uses Budget'!$C47</f>
        <v>301218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57330</v>
      </c>
      <c r="C49" s="438">
        <f>'Sources and Uses Budget'!$C48</f>
        <v>57330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44100</v>
      </c>
      <c r="C50" s="438">
        <f>'Sources and Uses Budget'!$C49</f>
        <v>44100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195913</v>
      </c>
      <c r="C51" s="438">
        <f>'Sources and Uses Budget'!$C50</f>
        <v>195913</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35280</v>
      </c>
      <c r="C52" s="438">
        <f>'Sources and Uses Budget'!$C51</f>
        <v>35280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107263</v>
      </c>
      <c r="C53" s="438">
        <f>'Sources and Uses Budget'!$C52</f>
        <v>107263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2427217</v>
      </c>
      <c r="C54" s="445">
        <f>SUM(C44:C53)</f>
        <v>2427217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32405673</v>
      </c>
      <c r="C64" s="442">
        <f>SUM(C9+C12+C14+C15+C17+C26+C27+C37+C41+C42+C54+C63)</f>
        <v>32405673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101430</v>
      </c>
      <c r="C66" s="438">
        <f>'Sources and Uses Budget'!$C65</f>
        <v>101430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101430</v>
      </c>
      <c r="C68" s="442">
        <f>SUM(C66:C67)</f>
        <v>101430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206457</v>
      </c>
      <c r="C73" s="438">
        <f>'Sources and Uses Budget'!$C72</f>
        <v>206457</v>
      </c>
      <c r="D73" s="442">
        <f t="shared" si="0"/>
        <v>0</v>
      </c>
      <c r="E73" s="440"/>
      <c r="F73" s="439"/>
      <c r="G73" s="577"/>
    </row>
    <row r="74" spans="1:253" s="571" customFormat="1">
      <c r="A74" s="444" t="s">
        <v>37</v>
      </c>
      <c r="B74" s="438">
        <f>'Sources and Uses Budget'!$C73</f>
        <v>669646</v>
      </c>
      <c r="C74" s="438">
        <f>'Sources and Uses Budget'!$C73</f>
        <v>669646</v>
      </c>
      <c r="D74" s="442">
        <f t="shared" si="0"/>
        <v>0</v>
      </c>
      <c r="E74" s="440"/>
      <c r="F74" s="439"/>
      <c r="G74" s="577"/>
    </row>
    <row r="75" spans="1:253" s="571" customFormat="1">
      <c r="A75" s="443" t="s">
        <v>657</v>
      </c>
      <c r="B75" s="442">
        <f>SUM(B70:B74)</f>
        <v>876103</v>
      </c>
      <c r="C75" s="442">
        <f>SUM(C70:C74)</f>
        <v>876103</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1410314</v>
      </c>
      <c r="C77" s="438">
        <f>'Sources and Uses Budget'!$C76</f>
        <v>1410314</v>
      </c>
      <c r="D77" s="442">
        <f t="shared" si="1"/>
        <v>0</v>
      </c>
      <c r="E77" s="440"/>
      <c r="F77" s="439"/>
      <c r="G77" s="577"/>
    </row>
    <row r="78" spans="1:253" s="571" customFormat="1">
      <c r="A78" s="893" t="s">
        <v>63</v>
      </c>
      <c r="B78" s="438">
        <f>'Sources and Uses Budget'!$C77</f>
        <v>285558</v>
      </c>
      <c r="C78" s="438">
        <f>'Sources and Uses Budget'!$C77</f>
        <v>285558</v>
      </c>
      <c r="D78" s="442">
        <f t="shared" ref="D78" si="2">C78-B78</f>
        <v>0</v>
      </c>
      <c r="E78" s="440"/>
      <c r="F78" s="439"/>
      <c r="G78" s="577"/>
    </row>
    <row r="79" spans="1:253" s="571" customFormat="1">
      <c r="A79" s="443" t="s">
        <v>1468</v>
      </c>
      <c r="B79" s="442">
        <f>SUM(B77:B78)</f>
        <v>1695872</v>
      </c>
      <c r="C79" s="442">
        <f>SUM(C77:C78)</f>
        <v>1695872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63410</v>
      </c>
      <c r="C81" s="438">
        <f>'Sources and Uses Budget'!$C80</f>
        <v>63410</v>
      </c>
      <c r="D81" s="442">
        <f t="shared" si="1"/>
        <v>0</v>
      </c>
      <c r="E81" s="440"/>
      <c r="F81" s="439"/>
      <c r="G81" s="577"/>
    </row>
    <row r="82" spans="1:7" s="571" customFormat="1">
      <c r="A82" s="441" t="s">
        <v>846</v>
      </c>
      <c r="B82" s="438">
        <f>'Sources and Uses Budget'!$C81</f>
        <v>13230</v>
      </c>
      <c r="C82" s="438">
        <f>'Sources and Uses Budget'!$C81</f>
        <v>13230</v>
      </c>
      <c r="D82" s="442">
        <f t="shared" si="1"/>
        <v>0</v>
      </c>
      <c r="E82" s="440"/>
      <c r="F82" s="439"/>
      <c r="G82" s="577"/>
    </row>
    <row r="83" spans="1:7" s="571" customFormat="1">
      <c r="A83" s="441" t="s">
        <v>847</v>
      </c>
      <c r="B83" s="438">
        <f>'Sources and Uses Budget'!$C82</f>
        <v>1299052</v>
      </c>
      <c r="C83" s="438">
        <f>'Sources and Uses Budget'!$C82</f>
        <v>1299052</v>
      </c>
      <c r="D83" s="442">
        <f t="shared" si="1"/>
        <v>0</v>
      </c>
      <c r="E83" s="440"/>
      <c r="F83" s="439"/>
      <c r="G83" s="577"/>
    </row>
    <row r="84" spans="1:7" s="571" customFormat="1">
      <c r="A84" s="441" t="s">
        <v>848</v>
      </c>
      <c r="B84" s="438">
        <f>'Sources and Uses Budget'!$C83</f>
        <v>220500</v>
      </c>
      <c r="C84" s="438">
        <f>'Sources and Uses Budget'!$C83</f>
        <v>220500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75000</v>
      </c>
      <c r="C86" s="438">
        <f>'Sources and Uses Budget'!$C85</f>
        <v>75000</v>
      </c>
      <c r="D86" s="442">
        <f t="shared" si="1"/>
        <v>0</v>
      </c>
      <c r="E86" s="440"/>
      <c r="F86" s="439"/>
      <c r="G86" s="577"/>
    </row>
    <row r="87" spans="1:7" s="571" customFormat="1">
      <c r="A87" s="441" t="s">
        <v>851</v>
      </c>
      <c r="B87" s="438">
        <f>'Sources and Uses Budget'!$C86</f>
        <v>88000</v>
      </c>
      <c r="C87" s="438">
        <f>'Sources and Uses Budget'!$C86</f>
        <v>88000</v>
      </c>
      <c r="D87" s="442">
        <f t="shared" si="1"/>
        <v>0</v>
      </c>
      <c r="E87" s="440"/>
      <c r="F87" s="439"/>
      <c r="G87" s="577"/>
    </row>
    <row r="88" spans="1:7" s="571" customFormat="1">
      <c r="A88" s="441" t="s">
        <v>852</v>
      </c>
      <c r="B88" s="438">
        <f>'Sources and Uses Budget'!$C87</f>
        <v>54500</v>
      </c>
      <c r="C88" s="438">
        <f>'Sources and Uses Budget'!$C87</f>
        <v>54500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37926</v>
      </c>
      <c r="C90" s="438">
        <f>'Sources and Uses Budget'!$C89</f>
        <v>37926</v>
      </c>
      <c r="D90" s="442">
        <f t="shared" si="1"/>
        <v>0</v>
      </c>
      <c r="E90" s="440"/>
      <c r="F90" s="439"/>
      <c r="G90" s="577"/>
    </row>
    <row r="91" spans="1:7" s="571" customFormat="1">
      <c r="A91" s="444" t="s">
        <v>37</v>
      </c>
      <c r="B91" s="438">
        <f>'Sources and Uses Budget'!$C90</f>
        <v>88200</v>
      </c>
      <c r="C91" s="438">
        <f>'Sources and Uses Budget'!$C90</f>
        <v>88200</v>
      </c>
      <c r="D91" s="442">
        <f t="shared" si="1"/>
        <v>0</v>
      </c>
      <c r="E91" s="440"/>
      <c r="F91" s="439"/>
      <c r="G91" s="577"/>
    </row>
    <row r="92" spans="1:7" s="571" customFormat="1">
      <c r="A92" s="444" t="s">
        <v>37</v>
      </c>
      <c r="B92" s="438">
        <f>'Sources and Uses Budget'!$C91</f>
        <v>242550</v>
      </c>
      <c r="C92" s="438">
        <f>'Sources and Uses Budget'!$C91</f>
        <v>242550</v>
      </c>
      <c r="D92" s="442">
        <f t="shared" si="1"/>
        <v>0</v>
      </c>
      <c r="E92" s="440"/>
      <c r="F92" s="439"/>
      <c r="G92" s="577"/>
    </row>
    <row r="93" spans="1:7" s="571" customFormat="1">
      <c r="A93" s="444" t="s">
        <v>37</v>
      </c>
      <c r="B93" s="438">
        <f>'Sources and Uses Budget'!$C92</f>
        <v>19860</v>
      </c>
      <c r="C93" s="438">
        <f>'Sources and Uses Budget'!$C92</f>
        <v>19860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2202228</v>
      </c>
      <c r="C96" s="442">
        <f>SUM(C81:C95)</f>
        <v>2202228</v>
      </c>
      <c r="D96" s="442">
        <f t="shared" si="1"/>
        <v>0</v>
      </c>
      <c r="E96" s="440"/>
      <c r="F96" s="439"/>
      <c r="G96" s="577"/>
    </row>
    <row r="97" spans="1:7" s="571" customFormat="1">
      <c r="A97" s="443" t="s">
        <v>854</v>
      </c>
      <c r="B97" s="442">
        <f>SUM(B64+B68+B75+B79+B96)</f>
        <v>37281306</v>
      </c>
      <c r="C97" s="442">
        <f>SUM(C64+C68+C75+C79+C96)</f>
        <v>37281306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4538230</v>
      </c>
      <c r="C99" s="438">
        <f>'Sources and Uses Budget'!$C98</f>
        <v>4538230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4538230</v>
      </c>
      <c r="C105" s="442">
        <f>SUM(C99:C104)</f>
        <v>4538230</v>
      </c>
      <c r="D105" s="442">
        <f t="shared" si="1"/>
        <v>0</v>
      </c>
      <c r="E105" s="440"/>
      <c r="F105" s="439"/>
      <c r="G105" s="575"/>
    </row>
    <row r="106" spans="1:7" s="570" customFormat="1">
      <c r="A106" s="443" t="s">
        <v>862</v>
      </c>
      <c r="B106" s="445">
        <f>SUM(B97+B105)</f>
        <v>41819536</v>
      </c>
      <c r="C106" s="445">
        <f>SUM(C97+C105)</f>
        <v>41819536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1198</v>
      </c>
      <c r="B2" s="1007"/>
      <c r="C2" s="1008"/>
      <c r="D2" s="1008"/>
      <c r="E2" s="1008"/>
      <c r="F2" s="1008"/>
      <c r="G2" s="1008"/>
    </row>
    <row r="3" spans="1:9" s="265" customFormat="1">
      <c r="A3" s="1007" t="s">
        <v>1125</v>
      </c>
      <c r="B3" s="1007"/>
      <c r="C3" s="1008"/>
      <c r="D3" s="1008"/>
      <c r="E3" s="1008"/>
      <c r="F3" s="1008"/>
      <c r="G3" s="1008"/>
      <c r="I3" s="701" t="s">
        <v>329</v>
      </c>
    </row>
    <row r="4" spans="1:9">
      <c r="I4" s="702" t="s">
        <v>1199</v>
      </c>
    </row>
    <row r="5" spans="1:9" s="39" customFormat="1">
      <c r="A5" s="1011" t="s">
        <v>1126</v>
      </c>
      <c r="B5" s="1011"/>
      <c r="C5" s="1012"/>
      <c r="D5" s="1012"/>
      <c r="E5" s="1012"/>
      <c r="F5" s="1012"/>
      <c r="G5" s="1012"/>
      <c r="I5" s="702" t="s">
        <v>1200</v>
      </c>
    </row>
    <row r="6" spans="1:9" s="39" customFormat="1">
      <c r="A6" s="1011" t="s">
        <v>904</v>
      </c>
      <c r="B6" s="1011"/>
      <c r="C6" s="1012"/>
      <c r="D6" s="1012"/>
      <c r="E6" s="1012"/>
      <c r="F6" s="1012"/>
      <c r="G6" s="1012"/>
      <c r="I6" s="701" t="s">
        <v>642</v>
      </c>
    </row>
    <row r="7" spans="1:9" ht="11.85" customHeight="1"/>
    <row r="8" spans="1:9" s="39" customFormat="1">
      <c r="A8" s="1009" t="s">
        <v>1295</v>
      </c>
      <c r="B8" s="1009"/>
      <c r="C8" s="1010"/>
      <c r="D8" s="1010"/>
      <c r="E8" s="1010"/>
      <c r="F8" s="1010"/>
      <c r="G8" s="1010"/>
    </row>
    <row r="9" spans="1:9" s="39" customFormat="1">
      <c r="A9" s="1009" t="s">
        <v>1296</v>
      </c>
      <c r="B9" s="1009"/>
      <c r="C9" s="1010"/>
      <c r="D9" s="1010"/>
      <c r="E9" s="1010"/>
      <c r="F9" s="1010"/>
      <c r="G9" s="1010"/>
    </row>
    <row r="10" spans="1:9">
      <c r="A10" s="267"/>
      <c r="B10" s="267"/>
      <c r="C10" s="264"/>
      <c r="D10" s="264"/>
      <c r="E10" s="264"/>
      <c r="F10" s="264"/>
    </row>
    <row r="11" spans="1:9">
      <c r="A11" s="1013" t="s">
        <v>1298</v>
      </c>
      <c r="B11" s="1013"/>
      <c r="C11" s="1013"/>
      <c r="D11" s="1013"/>
      <c r="E11" s="1013"/>
      <c r="F11" s="1013"/>
      <c r="G11" s="1013"/>
    </row>
    <row r="12" spans="1:9">
      <c r="A12" s="264"/>
      <c r="B12" s="697"/>
      <c r="E12" s="50"/>
    </row>
    <row r="13" spans="1:9" ht="13.35" customHeight="1">
      <c r="C13" s="264"/>
      <c r="D13" s="985" t="s">
        <v>1297</v>
      </c>
      <c r="E13" s="985"/>
      <c r="F13" s="985"/>
    </row>
    <row r="14" spans="1:9">
      <c r="C14" s="264"/>
      <c r="D14" s="985"/>
      <c r="E14" s="985"/>
      <c r="F14" s="985"/>
    </row>
    <row r="15" spans="1:9">
      <c r="A15" s="269"/>
      <c r="B15" s="269"/>
      <c r="C15" s="269"/>
      <c r="D15" s="982" t="s">
        <v>1280</v>
      </c>
      <c r="E15" s="982"/>
      <c r="F15" s="982"/>
    </row>
    <row r="16" spans="1:9">
      <c r="A16" s="269"/>
      <c r="B16" s="269"/>
      <c r="C16" s="269"/>
      <c r="D16" s="337"/>
    </row>
    <row r="17" spans="1:7" ht="14.25">
      <c r="A17" s="270"/>
      <c r="B17" s="703" t="s">
        <v>329</v>
      </c>
      <c r="C17" s="323"/>
      <c r="D17" s="957" t="s">
        <v>1281</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1282</v>
      </c>
      <c r="E21" s="986"/>
      <c r="F21" s="986"/>
    </row>
    <row r="22" spans="1:7" ht="14.25">
      <c r="A22" s="270"/>
      <c r="B22" s="270"/>
      <c r="D22" s="138"/>
    </row>
    <row r="23" spans="1:7" ht="14.25">
      <c r="A23" s="270"/>
      <c r="B23" s="703" t="s">
        <v>329</v>
      </c>
      <c r="D23" s="957" t="s">
        <v>1283</v>
      </c>
      <c r="E23" s="957"/>
      <c r="F23" s="957"/>
    </row>
    <row r="24" spans="1:7" ht="14.25">
      <c r="A24" s="270"/>
      <c r="B24" s="270"/>
      <c r="D24" s="957"/>
      <c r="E24" s="957"/>
      <c r="F24" s="957"/>
    </row>
    <row r="25" spans="1:7"/>
    <row r="26" spans="1:7" ht="14.25">
      <c r="A26" s="270"/>
      <c r="B26" s="703" t="s">
        <v>329</v>
      </c>
      <c r="D26" s="980" t="s">
        <v>1284</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1285</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1286</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1287</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1288</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1289</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1290</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1291</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1292</v>
      </c>
      <c r="E61" s="959"/>
      <c r="F61" s="959"/>
    </row>
    <row r="62" spans="1:7">
      <c r="D62" s="959"/>
      <c r="E62" s="959"/>
      <c r="F62" s="959"/>
    </row>
    <row r="63" spans="1:7"/>
    <row r="64" spans="1:7" ht="14.25">
      <c r="A64" s="270"/>
      <c r="B64" s="703" t="s">
        <v>329</v>
      </c>
      <c r="D64" s="959" t="s">
        <v>1293</v>
      </c>
      <c r="E64" s="959"/>
      <c r="F64" s="959"/>
    </row>
    <row r="65" spans="1:7">
      <c r="D65" s="959"/>
      <c r="E65" s="959"/>
      <c r="F65" s="959"/>
    </row>
    <row r="66" spans="1:7">
      <c r="A66" s="579"/>
      <c r="C66" s="579"/>
      <c r="D66" s="959"/>
      <c r="E66" s="959"/>
      <c r="F66" s="959"/>
    </row>
    <row r="67" spans="1:7">
      <c r="D67" s="12"/>
    </row>
    <row r="68" spans="1:7" ht="14.25">
      <c r="A68" s="270"/>
      <c r="B68" s="703" t="s">
        <v>329</v>
      </c>
      <c r="D68" s="957" t="s">
        <v>1294</v>
      </c>
      <c r="E68" s="957"/>
      <c r="F68" s="957"/>
    </row>
    <row r="69" spans="1:7">
      <c r="D69" s="957"/>
      <c r="E69" s="957"/>
      <c r="F69" s="957"/>
    </row>
    <row r="70" spans="1:7" ht="14.25">
      <c r="A70" s="270"/>
      <c r="B70" s="270"/>
      <c r="D70" s="138"/>
    </row>
    <row r="71" spans="1:7">
      <c r="A71" s="983" t="s">
        <v>1201</v>
      </c>
      <c r="B71" s="983"/>
      <c r="C71" s="983"/>
      <c r="D71" s="983"/>
      <c r="E71" s="983"/>
      <c r="F71" s="983"/>
      <c r="G71" s="983"/>
    </row>
    <row r="72" spans="1:7"/>
    <row r="73" spans="1:7">
      <c r="C73" s="271"/>
      <c r="D73" s="999" t="s">
        <v>1299</v>
      </c>
      <c r="E73" s="999"/>
      <c r="F73" s="999"/>
    </row>
    <row r="74" spans="1:7">
      <c r="A74" s="138"/>
      <c r="B74" s="138"/>
      <c r="D74" s="957" t="s">
        <v>1326</v>
      </c>
      <c r="E74" s="957"/>
      <c r="F74" s="957"/>
    </row>
    <row r="75" spans="1:7">
      <c r="A75" s="138"/>
      <c r="B75" s="138"/>
    </row>
    <row r="76" spans="1:7" ht="14.25">
      <c r="A76" s="270"/>
      <c r="B76" s="703" t="s">
        <v>329</v>
      </c>
      <c r="D76" s="957" t="s">
        <v>1300</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1399</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1301</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1302</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1303</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1304</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1305</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1413</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1306</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1307</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19" t="s">
        <v>1311</v>
      </c>
      <c r="E174" s="1019"/>
      <c r="F174" s="1019"/>
      <c r="G174" s="57"/>
    </row>
    <row r="175" spans="1:7">
      <c r="A175" s="273"/>
      <c r="B175" s="273"/>
      <c r="C175" s="274"/>
      <c r="D175" s="1019"/>
      <c r="E175" s="1019"/>
      <c r="F175" s="1019"/>
      <c r="G175" s="57"/>
    </row>
    <row r="176" spans="1:7" s="743" customFormat="1">
      <c r="A176" s="745"/>
      <c r="B176" s="745"/>
      <c r="C176" s="274"/>
      <c r="D176" s="1020" t="s">
        <v>1312</v>
      </c>
      <c r="E176" s="1020"/>
      <c r="F176" s="1020"/>
      <c r="G176" s="57"/>
    </row>
    <row r="177" spans="1:7" ht="12" customHeight="1">
      <c r="A177" s="273"/>
      <c r="B177" s="273"/>
      <c r="C177" s="274"/>
      <c r="D177" s="57"/>
      <c r="E177" s="49"/>
      <c r="F177" s="57"/>
      <c r="G177" s="57"/>
    </row>
    <row r="178" spans="1:7" ht="14.25">
      <c r="A178" s="270"/>
      <c r="B178" s="703" t="s">
        <v>329</v>
      </c>
      <c r="C178" s="274"/>
      <c r="D178" s="1018" t="s">
        <v>1310</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1219</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1309</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1333</v>
      </c>
      <c r="E194" s="990"/>
      <c r="F194" s="990"/>
    </row>
    <row r="195" spans="1:6" ht="12" customHeight="1">
      <c r="A195" s="23"/>
      <c r="B195" s="699"/>
      <c r="C195" s="23"/>
    </row>
    <row r="196" spans="1:6" ht="13.35" customHeight="1">
      <c r="A196" s="23"/>
      <c r="C196" s="23"/>
      <c r="D196" s="981" t="s">
        <v>593</v>
      </c>
      <c r="E196" s="981"/>
      <c r="F196" s="981"/>
    </row>
    <row r="197" spans="1:6" ht="14.25">
      <c r="A197" s="270"/>
      <c r="B197" s="703" t="s">
        <v>329</v>
      </c>
      <c r="D197" s="957" t="s">
        <v>1327</v>
      </c>
      <c r="E197" s="957"/>
      <c r="F197" s="957"/>
    </row>
    <row r="198" spans="1:6" ht="14.25">
      <c r="A198" s="270"/>
      <c r="B198" s="270"/>
      <c r="D198" s="957"/>
      <c r="E198" s="957"/>
      <c r="F198" s="957"/>
    </row>
    <row r="199" spans="1:6"/>
    <row r="200" spans="1:6" ht="14.25">
      <c r="A200" s="270"/>
      <c r="B200" s="703" t="s">
        <v>329</v>
      </c>
      <c r="D200" s="957" t="s">
        <v>1328</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1329</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1330</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1332</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1331</v>
      </c>
      <c r="E220" s="957"/>
      <c r="F220" s="957"/>
    </row>
    <row r="221" spans="1:7" ht="14.25">
      <c r="A221" s="270"/>
      <c r="B221" s="270"/>
      <c r="D221" s="957"/>
      <c r="E221" s="957"/>
      <c r="F221" s="957"/>
    </row>
    <row r="222" spans="1:7">
      <c r="D222" s="29"/>
    </row>
    <row r="223" spans="1:7">
      <c r="A223" s="983" t="s">
        <v>1205</v>
      </c>
      <c r="B223" s="983"/>
      <c r="C223" s="983"/>
      <c r="D223" s="983"/>
      <c r="E223" s="983"/>
      <c r="F223" s="983"/>
      <c r="G223" s="983"/>
    </row>
    <row r="224" spans="1:7">
      <c r="D224" s="29"/>
    </row>
    <row r="225" spans="1:6">
      <c r="C225" s="271"/>
      <c r="D225" s="981" t="s">
        <v>1334</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1335</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1336</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1337</v>
      </c>
      <c r="E241" s="957"/>
      <c r="F241" s="957"/>
    </row>
    <row r="242" spans="1:7">
      <c r="D242" s="957"/>
      <c r="E242" s="957"/>
      <c r="F242" s="957"/>
    </row>
    <row r="243" spans="1:7">
      <c r="D243" s="957"/>
      <c r="E243" s="957"/>
      <c r="F243" s="957"/>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999" t="s">
        <v>1339</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1340</v>
      </c>
      <c r="E251" s="987"/>
      <c r="F251" s="987"/>
    </row>
    <row r="252" spans="1:7">
      <c r="E252" s="138"/>
      <c r="F252" s="138"/>
    </row>
    <row r="253" spans="1:7" ht="14.25">
      <c r="A253" s="270"/>
      <c r="B253" s="703" t="s">
        <v>329</v>
      </c>
      <c r="D253" s="957" t="s">
        <v>1341</v>
      </c>
      <c r="E253" s="957"/>
      <c r="F253" s="957"/>
    </row>
    <row r="254" spans="1:7" ht="14.25">
      <c r="A254" s="270"/>
      <c r="B254" s="270"/>
      <c r="D254" s="957"/>
      <c r="E254" s="957"/>
      <c r="F254" s="957"/>
    </row>
    <row r="255" spans="1:7">
      <c r="D255" s="138"/>
      <c r="E255" s="138"/>
      <c r="F255" s="138"/>
    </row>
    <row r="256" spans="1:7" ht="14.25">
      <c r="A256" s="270"/>
      <c r="B256" s="703" t="s">
        <v>329</v>
      </c>
      <c r="D256" s="978" t="s">
        <v>1342</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1343</v>
      </c>
      <c r="E260" s="957"/>
      <c r="F260" s="957"/>
    </row>
    <row r="261" spans="1:7" ht="14.25">
      <c r="A261" s="270"/>
      <c r="B261" s="270"/>
      <c r="D261" s="957"/>
      <c r="E261" s="957"/>
      <c r="F261" s="957"/>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1344</v>
      </c>
      <c r="E266" s="982"/>
      <c r="F266" s="982"/>
    </row>
    <row r="267" spans="1:7">
      <c r="C267" s="23"/>
      <c r="D267" s="268"/>
    </row>
    <row r="268" spans="1:7">
      <c r="A268" s="282"/>
      <c r="B268" s="703" t="s">
        <v>329</v>
      </c>
      <c r="D268" s="982" t="s">
        <v>1345</v>
      </c>
      <c r="E268" s="982"/>
      <c r="F268" s="982"/>
    </row>
    <row r="269" spans="1:7" s="39" customFormat="1" ht="14.25">
      <c r="A269" s="420"/>
      <c r="B269" s="420"/>
      <c r="C269" s="282"/>
      <c r="D269" s="514"/>
      <c r="E269" s="515"/>
      <c r="F269" s="515"/>
      <c r="G269" s="133"/>
    </row>
    <row r="270" spans="1:7" s="39" customFormat="1" ht="13.35" customHeight="1">
      <c r="A270" s="282"/>
      <c r="B270" s="703" t="s">
        <v>329</v>
      </c>
      <c r="C270" s="282"/>
      <c r="D270" s="1032" t="s">
        <v>1346</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35" customHeight="1">
      <c r="A276" s="282"/>
      <c r="B276" s="703" t="s">
        <v>329</v>
      </c>
      <c r="C276" s="282"/>
      <c r="D276" s="1032" t="s">
        <v>1347</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1348</v>
      </c>
      <c r="E279" s="982"/>
      <c r="F279" s="982"/>
    </row>
    <row r="280" spans="1:7">
      <c r="E280" s="138"/>
      <c r="F280" s="138"/>
    </row>
    <row r="281" spans="1:7" ht="14.25">
      <c r="A281" s="270"/>
      <c r="B281" s="703" t="s">
        <v>329</v>
      </c>
      <c r="D281" s="978" t="s">
        <v>1349</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1351</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1093</v>
      </c>
      <c r="E314" s="1028"/>
      <c r="F314" s="1028"/>
      <c r="G314" s="12"/>
    </row>
    <row r="315" spans="1:7" s="743" customFormat="1" ht="13.5" thickTop="1">
      <c r="A315" s="755"/>
      <c r="B315" s="755"/>
      <c r="C315" s="755"/>
      <c r="D315" s="1029" t="s">
        <v>1352</v>
      </c>
      <c r="E315" s="1029"/>
      <c r="F315" s="1029"/>
    </row>
    <row r="316" spans="1:7">
      <c r="A316" s="335"/>
      <c r="B316" s="335"/>
      <c r="C316" s="335"/>
      <c r="D316" s="484"/>
      <c r="E316" s="484"/>
      <c r="F316" s="138"/>
      <c r="G316" s="12"/>
    </row>
    <row r="317" spans="1:7" ht="14.25">
      <c r="A317" s="270"/>
      <c r="B317" s="703" t="s">
        <v>329</v>
      </c>
      <c r="C317" s="335"/>
      <c r="D317" s="1030" t="s">
        <v>1353</v>
      </c>
      <c r="E317" s="1030"/>
      <c r="F317" s="1030"/>
      <c r="G317" s="12"/>
    </row>
    <row r="318" spans="1:7">
      <c r="A318" s="335"/>
      <c r="B318" s="335"/>
      <c r="C318" s="335"/>
      <c r="D318" s="484"/>
      <c r="E318" s="484"/>
      <c r="F318" s="138"/>
      <c r="G318" s="12"/>
    </row>
    <row r="319" spans="1:7">
      <c r="A319" s="335"/>
      <c r="B319" s="703" t="s">
        <v>329</v>
      </c>
      <c r="C319" s="335"/>
      <c r="D319" s="1014" t="s">
        <v>1354</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1355</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1356</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35" customHeight="1">
      <c r="A345" s="335"/>
      <c r="B345" s="335"/>
      <c r="C345" s="335"/>
      <c r="D345" s="1026" t="s">
        <v>1357</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1358</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1359</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1360</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1361</v>
      </c>
      <c r="E405" s="982"/>
      <c r="F405" s="982"/>
    </row>
    <row r="406" spans="1:7">
      <c r="D406" s="1027" t="s">
        <v>1118</v>
      </c>
      <c r="E406" s="1027"/>
      <c r="F406" s="1027"/>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1363</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1364</v>
      </c>
      <c r="E416" s="978"/>
      <c r="F416" s="978"/>
      <c r="G416" s="12"/>
    </row>
    <row r="417" spans="1:7">
      <c r="D417" s="978"/>
      <c r="E417" s="978"/>
      <c r="F417" s="978"/>
      <c r="G417" s="12"/>
    </row>
    <row r="418" spans="1:7">
      <c r="D418" s="138"/>
      <c r="E418" s="138"/>
      <c r="F418" s="138"/>
      <c r="G418" s="12"/>
    </row>
    <row r="419" spans="1:7" ht="14.25">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1367</v>
      </c>
      <c r="E440" s="989"/>
      <c r="F440" s="989"/>
    </row>
    <row r="441" spans="1:7">
      <c r="A441" s="138"/>
      <c r="B441" s="138"/>
    </row>
    <row r="442" spans="1:7">
      <c r="A442" s="983" t="s">
        <v>1208</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1368</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1369</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1370</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1371</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1372</v>
      </c>
      <c r="E459" s="982"/>
      <c r="F459" s="982"/>
      <c r="G459" s="12"/>
    </row>
    <row r="460" spans="1:7" ht="14.25">
      <c r="A460" s="270"/>
      <c r="B460" s="270"/>
      <c r="D460" s="754"/>
      <c r="E460" s="6"/>
      <c r="F460" s="6"/>
      <c r="G460" s="12"/>
    </row>
    <row r="461" spans="1:7" ht="14.25">
      <c r="A461" s="270"/>
      <c r="B461" s="703" t="s">
        <v>329</v>
      </c>
      <c r="D461" s="957" t="s">
        <v>1373</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1374</v>
      </c>
      <c r="E464" s="982"/>
      <c r="F464" s="982"/>
      <c r="G464" s="12"/>
    </row>
    <row r="465" spans="1:7" ht="14.25">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35" customHeight="1">
      <c r="A469" s="269"/>
      <c r="B469" s="269"/>
      <c r="C469" s="323"/>
      <c r="D469" s="1038" t="s">
        <v>1252</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1243</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1246</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1244</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1245</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35" customHeight="1">
      <c r="A500" s="504"/>
      <c r="B500" s="703" t="s">
        <v>329</v>
      </c>
      <c r="C500" s="503"/>
      <c r="D500" s="1017" t="s">
        <v>1389</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1247</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1211</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1268</v>
      </c>
      <c r="E517" s="982"/>
      <c r="F517" s="982"/>
      <c r="G517" s="7"/>
    </row>
    <row r="518" spans="1:7" s="706" customFormat="1">
      <c r="A518" s="723"/>
      <c r="B518" s="723"/>
      <c r="C518" s="275"/>
      <c r="D518" s="728"/>
      <c r="E518" s="728"/>
      <c r="F518" s="728"/>
      <c r="G518" s="7"/>
    </row>
    <row r="519" spans="1:7" ht="13.35" customHeight="1">
      <c r="A519" s="270"/>
      <c r="B519" s="703" t="s">
        <v>329</v>
      </c>
      <c r="C519" s="275"/>
      <c r="D519" s="982" t="s">
        <v>979</v>
      </c>
      <c r="E519" s="982"/>
      <c r="F519" s="982"/>
      <c r="G519" s="12"/>
    </row>
    <row r="520" spans="1:7" ht="13.35" customHeight="1">
      <c r="A520" s="275"/>
      <c r="B520" s="275"/>
      <c r="C520" s="275"/>
      <c r="D520" s="728"/>
      <c r="E520" s="701"/>
      <c r="F520" s="701"/>
      <c r="G520" s="12"/>
    </row>
    <row r="521" spans="1:7" ht="14.25">
      <c r="A521" s="270"/>
      <c r="B521" s="703" t="s">
        <v>329</v>
      </c>
      <c r="C521" s="275"/>
      <c r="D521" s="957" t="s">
        <v>1269</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1270</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1271</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1272</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1390</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1273</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1274</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1275</v>
      </c>
      <c r="E543" s="982"/>
      <c r="F543" s="982"/>
      <c r="G543" s="57"/>
    </row>
    <row r="544" spans="1:7">
      <c r="A544" s="23"/>
      <c r="B544" s="699"/>
      <c r="C544" s="275"/>
      <c r="D544" s="982" t="s">
        <v>905</v>
      </c>
      <c r="E544" s="982"/>
      <c r="F544" s="982"/>
      <c r="G544" s="57"/>
    </row>
    <row r="545" spans="1:7">
      <c r="A545" s="23"/>
      <c r="B545" s="699"/>
      <c r="C545" s="275"/>
      <c r="D545" s="6"/>
      <c r="E545" s="987" t="s">
        <v>1276</v>
      </c>
      <c r="F545" s="987"/>
      <c r="G545" s="57"/>
    </row>
    <row r="546" spans="1:7" ht="14.25">
      <c r="A546" s="270"/>
      <c r="B546" s="270"/>
      <c r="C546" s="275"/>
      <c r="E546" s="138"/>
      <c r="F546" s="138"/>
      <c r="G546" s="57"/>
    </row>
    <row r="547" spans="1:7" ht="14.25">
      <c r="A547" s="270"/>
      <c r="B547" s="703" t="s">
        <v>329</v>
      </c>
      <c r="C547" s="275"/>
      <c r="D547" s="988" t="s">
        <v>1277</v>
      </c>
      <c r="E547" s="988"/>
      <c r="F547" s="988"/>
      <c r="G547" s="57"/>
    </row>
    <row r="548" spans="1:7">
      <c r="C548" s="275"/>
      <c r="D548" s="957" t="s">
        <v>1278</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1279</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1229</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1230</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1231</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1213</v>
      </c>
      <c r="B588" s="983"/>
      <c r="C588" s="983"/>
      <c r="D588" s="983"/>
      <c r="E588" s="983"/>
      <c r="F588" s="983"/>
      <c r="G588" s="983"/>
    </row>
    <row r="589" spans="1:7"/>
    <row r="590" spans="1:7">
      <c r="D590" s="973" t="s">
        <v>1313</v>
      </c>
      <c r="E590" s="973"/>
      <c r="F590" s="973"/>
    </row>
    <row r="591" spans="1:7">
      <c r="D591" s="974" t="s">
        <v>1314</v>
      </c>
      <c r="E591" s="974"/>
      <c r="F591" s="974"/>
    </row>
    <row r="592" spans="1:7" s="743" customFormat="1">
      <c r="A592" s="729"/>
      <c r="B592" s="729"/>
      <c r="C592" s="729"/>
      <c r="D592" s="747"/>
      <c r="E592" s="746"/>
      <c r="F592" s="746"/>
      <c r="G592" s="7"/>
    </row>
    <row r="593" spans="1:7" s="39" customFormat="1" ht="14.25">
      <c r="A593" s="420"/>
      <c r="B593" s="703" t="s">
        <v>329</v>
      </c>
      <c r="C593" s="282"/>
      <c r="D593" s="975" t="s">
        <v>1315</v>
      </c>
      <c r="E593" s="975"/>
      <c r="F593" s="975"/>
      <c r="G593" s="133"/>
    </row>
    <row r="594" spans="1:7">
      <c r="D594" s="975"/>
      <c r="E594" s="975"/>
      <c r="F594" s="975"/>
    </row>
    <row r="595" spans="1:7">
      <c r="D595" s="975"/>
      <c r="E595" s="975"/>
      <c r="F595" s="975"/>
    </row>
    <row r="596" spans="1:7"/>
    <row r="597" spans="1:7">
      <c r="A597" s="983" t="s">
        <v>1214</v>
      </c>
      <c r="B597" s="983"/>
      <c r="C597" s="983"/>
      <c r="D597" s="983"/>
      <c r="E597" s="983"/>
      <c r="F597" s="983"/>
      <c r="G597" s="983"/>
    </row>
    <row r="598" spans="1:7">
      <c r="A598" s="138"/>
      <c r="B598" s="138"/>
      <c r="G598" s="57"/>
    </row>
    <row r="599" spans="1:7">
      <c r="A599" s="266"/>
      <c r="B599" s="698"/>
      <c r="C599" s="264"/>
      <c r="D599" s="976" t="s">
        <v>1316</v>
      </c>
      <c r="E599" s="976"/>
      <c r="F599" s="976"/>
      <c r="G599" s="57"/>
    </row>
    <row r="600" spans="1:7">
      <c r="A600" s="266"/>
      <c r="B600" s="698"/>
      <c r="C600" s="264"/>
      <c r="D600" s="976"/>
      <c r="E600" s="976"/>
      <c r="F600" s="976"/>
      <c r="G600" s="57"/>
    </row>
    <row r="601" spans="1:7">
      <c r="C601" s="269"/>
      <c r="D601" s="974" t="s">
        <v>1317</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1318</v>
      </c>
      <c r="E605" s="977"/>
      <c r="F605" s="977"/>
      <c r="G605" s="57"/>
    </row>
    <row r="606" spans="1:7">
      <c r="D606" s="977"/>
      <c r="E606" s="977"/>
      <c r="F606" s="977"/>
      <c r="G606" s="57"/>
    </row>
    <row r="607" spans="1:7">
      <c r="D607" s="12"/>
      <c r="G607" s="57"/>
    </row>
    <row r="608" spans="1:7">
      <c r="B608" s="703" t="s">
        <v>329</v>
      </c>
      <c r="D608" s="977" t="s">
        <v>1319</v>
      </c>
      <c r="E608" s="977"/>
      <c r="F608" s="977"/>
      <c r="G608" s="57"/>
    </row>
    <row r="609" spans="1:7">
      <c r="C609" s="277"/>
      <c r="D609" s="977"/>
      <c r="E609" s="977"/>
      <c r="F609" s="977"/>
      <c r="G609" s="57"/>
    </row>
    <row r="610" spans="1:7">
      <c r="C610" s="277"/>
      <c r="G610" s="57"/>
    </row>
    <row r="611" spans="1:7">
      <c r="B611" s="703" t="s">
        <v>329</v>
      </c>
      <c r="C611" s="277"/>
      <c r="D611" s="977" t="s">
        <v>1320</v>
      </c>
      <c r="E611" s="977"/>
      <c r="F611" s="977"/>
      <c r="G611" s="57"/>
    </row>
    <row r="612" spans="1:7">
      <c r="C612" s="277"/>
      <c r="D612" s="977"/>
      <c r="E612" s="977"/>
      <c r="F612" s="977"/>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973" t="s">
        <v>1321</v>
      </c>
      <c r="E616" s="973"/>
      <c r="F616" s="973"/>
      <c r="G616" s="57"/>
    </row>
    <row r="617" spans="1:7">
      <c r="A617" s="23"/>
      <c r="B617" s="699"/>
      <c r="C617" s="274"/>
      <c r="D617" s="50"/>
      <c r="G617" s="57"/>
    </row>
    <row r="618" spans="1:7" ht="14.25">
      <c r="A618" s="270"/>
      <c r="B618" s="703" t="s">
        <v>329</v>
      </c>
      <c r="C618" s="274"/>
      <c r="D618" s="1018" t="s">
        <v>1322</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1323</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1324</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1325</v>
      </c>
      <c r="E633" s="1023"/>
      <c r="F633" s="102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24" t="s">
        <v>1375</v>
      </c>
      <c r="E637" s="1024"/>
      <c r="F637" s="1024"/>
      <c r="G637" s="57"/>
    </row>
    <row r="638" spans="1:7">
      <c r="A638" s="269"/>
      <c r="B638" s="269"/>
      <c r="C638" s="269"/>
      <c r="D638" s="1025" t="s">
        <v>1376</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1377</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1227</v>
      </c>
      <c r="E646" s="1001"/>
      <c r="F646" s="1001"/>
      <c r="G646" s="57"/>
    </row>
    <row r="647" spans="1:11" s="706" customFormat="1" ht="14.25">
      <c r="A647" s="270"/>
      <c r="B647" s="270"/>
      <c r="C647" s="275"/>
      <c r="D647" s="1002" t="s">
        <v>1378</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1379</v>
      </c>
      <c r="E652" s="1003"/>
      <c r="F652" s="1003"/>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1253</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1254</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1255</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1256</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1266</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1257</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1267</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1264</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1265</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1258</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1259</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1260</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1393</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1261</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1218</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35" customHeight="1">
      <c r="C728" s="269"/>
      <c r="D728" s="999" t="s">
        <v>1234</v>
      </c>
      <c r="E728" s="999"/>
      <c r="F728" s="999"/>
      <c r="G728" s="280"/>
      <c r="H728" s="278"/>
      <c r="I728" s="278"/>
      <c r="J728" s="278"/>
      <c r="K728" s="278"/>
    </row>
    <row r="729" spans="1:11">
      <c r="A729" s="269"/>
      <c r="B729" s="269"/>
      <c r="C729" s="269"/>
      <c r="D729" s="986" t="s">
        <v>1235</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1236</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1237</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1238</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1239</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1240</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1241</v>
      </c>
      <c r="B754" s="994"/>
      <c r="C754" s="994"/>
      <c r="D754" s="994"/>
      <c r="E754" s="994"/>
      <c r="F754" s="994"/>
      <c r="G754" s="994"/>
    </row>
    <row r="755" spans="1:11">
      <c r="A755" s="269"/>
      <c r="B755" s="269"/>
      <c r="C755" s="269"/>
      <c r="D755" s="285"/>
      <c r="F755" s="150"/>
      <c r="G755" s="280"/>
    </row>
    <row r="756" spans="1:11">
      <c r="A756" s="282"/>
      <c r="B756" s="282"/>
      <c r="C756" s="459"/>
      <c r="D756" s="995" t="s">
        <v>1225</v>
      </c>
      <c r="E756" s="995"/>
      <c r="F756" s="995"/>
      <c r="G756" s="280"/>
    </row>
    <row r="757" spans="1:11">
      <c r="A757" s="523"/>
      <c r="B757" s="523"/>
      <c r="C757" s="522"/>
      <c r="D757" s="996" t="s">
        <v>1242</v>
      </c>
      <c r="E757" s="996"/>
      <c r="F757" s="996"/>
      <c r="G757" s="280"/>
    </row>
    <row r="758" spans="1:11">
      <c r="A758" s="282"/>
      <c r="B758" s="282"/>
      <c r="C758" s="459"/>
      <c r="D758" s="717"/>
      <c r="E758" s="717"/>
      <c r="F758" s="717"/>
      <c r="G758" s="280"/>
    </row>
    <row r="759" spans="1:11" ht="14.25">
      <c r="A759" s="270"/>
      <c r="B759" s="703" t="s">
        <v>329</v>
      </c>
      <c r="C759" s="459"/>
      <c r="D759" s="997" t="s">
        <v>1103</v>
      </c>
      <c r="E759" s="997"/>
      <c r="F759" s="997"/>
      <c r="G759" s="280"/>
    </row>
    <row r="760" spans="1:11">
      <c r="A760" s="282"/>
      <c r="B760" s="282"/>
      <c r="C760" s="459"/>
      <c r="D760" s="716"/>
      <c r="E760" s="998" t="s">
        <v>1226</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1102</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5" t="s">
        <v>1132</v>
      </c>
      <c r="B76" s="965"/>
      <c r="C76" s="965"/>
      <c r="D76" s="965"/>
      <c r="E76" s="965"/>
    </row>
    <row r="77" spans="1:9" ht="12.75">
      <c r="A77" s="965" t="s">
        <v>1439</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2" t="s">
        <v>1561</v>
      </c>
      <c r="B2" s="1072"/>
      <c r="C2" s="1073"/>
      <c r="D2" s="1073"/>
      <c r="E2" s="1073"/>
      <c r="F2" s="1073"/>
      <c r="G2" s="1073"/>
    </row>
    <row r="3" spans="1:9">
      <c r="A3" s="1079" t="s">
        <v>1564</v>
      </c>
      <c r="B3" s="1079"/>
      <c r="C3" s="1080"/>
      <c r="D3" s="1080"/>
      <c r="E3" s="1080"/>
      <c r="F3" s="1080"/>
      <c r="G3" s="1080"/>
      <c r="I3" s="717" t="s">
        <v>1199</v>
      </c>
    </row>
    <row r="4" spans="1:9">
      <c r="A4" s="1076" t="s">
        <v>1563</v>
      </c>
      <c r="B4" s="1076"/>
      <c r="C4" s="1081"/>
      <c r="D4" s="1081"/>
      <c r="E4" s="1081"/>
      <c r="F4" s="1081"/>
      <c r="G4" s="1081"/>
      <c r="I4" s="717"/>
    </row>
    <row r="5" spans="1:9" s="816" customFormat="1">
      <c r="A5" s="1076"/>
      <c r="B5" s="1076"/>
      <c r="C5" s="1077"/>
      <c r="D5" s="1077"/>
      <c r="E5" s="1077"/>
      <c r="F5" s="1077"/>
      <c r="G5" s="1077"/>
      <c r="I5" s="717" t="s">
        <v>1200</v>
      </c>
    </row>
    <row r="6" spans="1:9" s="816" customFormat="1">
      <c r="A6" s="1074" t="s">
        <v>1295</v>
      </c>
      <c r="B6" s="1074"/>
      <c r="C6" s="1075"/>
      <c r="D6" s="1075"/>
      <c r="E6" s="1075"/>
      <c r="F6" s="1075"/>
      <c r="G6" s="1075"/>
    </row>
    <row r="7" spans="1:9" s="816" customFormat="1">
      <c r="A7" s="1074" t="s">
        <v>1296</v>
      </c>
      <c r="B7" s="1074"/>
      <c r="C7" s="1075"/>
      <c r="D7" s="1075"/>
      <c r="E7" s="1075"/>
      <c r="F7" s="1075"/>
      <c r="G7" s="1075"/>
    </row>
    <row r="8" spans="1:9">
      <c r="A8" s="817"/>
      <c r="B8" s="817"/>
      <c r="C8" s="818"/>
      <c r="D8" s="818"/>
      <c r="E8" s="818"/>
      <c r="F8" s="818"/>
    </row>
    <row r="9" spans="1:9">
      <c r="A9" s="1013" t="s">
        <v>1298</v>
      </c>
      <c r="B9" s="1013"/>
      <c r="C9" s="1013"/>
      <c r="D9" s="1013"/>
      <c r="E9" s="1013"/>
      <c r="F9" s="1013"/>
      <c r="G9" s="1013"/>
    </row>
    <row r="10" spans="1:9">
      <c r="A10" s="818"/>
      <c r="B10" s="818"/>
      <c r="E10" s="819"/>
    </row>
    <row r="11" spans="1:9" ht="13.7" customHeight="1">
      <c r="C11" s="818"/>
      <c r="D11" s="1061" t="s">
        <v>1297</v>
      </c>
      <c r="E11" s="1061"/>
      <c r="F11" s="1061"/>
    </row>
    <row r="12" spans="1:9">
      <c r="C12" s="818"/>
      <c r="D12" s="1061"/>
      <c r="E12" s="1061"/>
      <c r="F12" s="1061"/>
    </row>
    <row r="13" spans="1:9">
      <c r="A13" s="820"/>
      <c r="B13" s="820"/>
      <c r="C13" s="820"/>
      <c r="D13" s="1023" t="s">
        <v>1280</v>
      </c>
      <c r="E13" s="1023"/>
      <c r="F13" s="1023"/>
    </row>
    <row r="14" spans="1:9">
      <c r="A14" s="820"/>
      <c r="B14" s="820"/>
      <c r="C14" s="820"/>
      <c r="D14" s="821"/>
    </row>
    <row r="15" spans="1:9" ht="14.25">
      <c r="A15" s="822"/>
      <c r="B15" s="823" t="s">
        <v>329</v>
      </c>
      <c r="C15" s="824"/>
      <c r="D15" s="1018" t="s">
        <v>1281</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1282</v>
      </c>
      <c r="E19" s="997"/>
      <c r="F19" s="997"/>
    </row>
    <row r="20" spans="1:7" ht="14.25">
      <c r="A20" s="822"/>
      <c r="B20" s="822"/>
      <c r="D20" s="825"/>
    </row>
    <row r="21" spans="1:7" ht="14.25">
      <c r="A21" s="822"/>
      <c r="B21" s="823" t="s">
        <v>329</v>
      </c>
      <c r="D21" s="1018" t="s">
        <v>1283</v>
      </c>
      <c r="E21" s="1018"/>
      <c r="F21" s="1018"/>
    </row>
    <row r="22" spans="1:7" ht="14.25">
      <c r="A22" s="822"/>
      <c r="B22" s="822"/>
      <c r="D22" s="1018"/>
      <c r="E22" s="1018"/>
      <c r="F22" s="1018"/>
    </row>
    <row r="23" spans="1:7"/>
    <row r="24" spans="1:7" ht="14.25">
      <c r="A24" s="822"/>
      <c r="B24" s="823" t="s">
        <v>329</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1285</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1474</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1287</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1288</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1289</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1290</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1291</v>
      </c>
      <c r="E56" s="975"/>
      <c r="F56" s="975"/>
    </row>
    <row r="57" spans="1:7">
      <c r="D57" s="975"/>
      <c r="E57" s="975"/>
      <c r="F57" s="975"/>
    </row>
    <row r="58" spans="1:7">
      <c r="D58" s="975"/>
      <c r="E58" s="975"/>
      <c r="F58" s="975"/>
    </row>
    <row r="59" spans="1:7">
      <c r="D59" s="717"/>
    </row>
    <row r="60" spans="1:7" ht="14.25">
      <c r="A60" s="822"/>
      <c r="B60" s="823" t="s">
        <v>329</v>
      </c>
      <c r="D60" s="975" t="s">
        <v>1292</v>
      </c>
      <c r="E60" s="975"/>
      <c r="F60" s="975"/>
    </row>
    <row r="61" spans="1:7">
      <c r="D61" s="975"/>
      <c r="E61" s="975"/>
      <c r="F61" s="975"/>
    </row>
    <row r="62" spans="1:7"/>
    <row r="63" spans="1:7" ht="14.25">
      <c r="A63" s="822"/>
      <c r="B63" s="823" t="s">
        <v>329</v>
      </c>
      <c r="D63" s="975" t="s">
        <v>1293</v>
      </c>
      <c r="E63" s="975"/>
      <c r="F63" s="975"/>
    </row>
    <row r="64" spans="1:7">
      <c r="D64" s="975"/>
      <c r="E64" s="975"/>
      <c r="F64" s="975"/>
    </row>
    <row r="65" spans="1:7">
      <c r="D65" s="975"/>
      <c r="E65" s="975"/>
      <c r="F65" s="975"/>
    </row>
    <row r="66" spans="1:7">
      <c r="D66" s="815"/>
    </row>
    <row r="67" spans="1:7" ht="14.25">
      <c r="A67" s="822"/>
      <c r="B67" s="823" t="s">
        <v>329</v>
      </c>
      <c r="D67" s="1018" t="s">
        <v>1294</v>
      </c>
      <c r="E67" s="1018"/>
      <c r="F67" s="1018"/>
    </row>
    <row r="68" spans="1:7">
      <c r="D68" s="1018"/>
      <c r="E68" s="1018"/>
      <c r="F68" s="1018"/>
    </row>
    <row r="69" spans="1:7" ht="14.25">
      <c r="A69" s="822"/>
      <c r="B69" s="822"/>
      <c r="D69" s="825"/>
    </row>
    <row r="70" spans="1:7">
      <c r="A70" s="983" t="s">
        <v>1201</v>
      </c>
      <c r="B70" s="983"/>
      <c r="C70" s="983"/>
      <c r="D70" s="983"/>
      <c r="E70" s="983"/>
      <c r="F70" s="983"/>
      <c r="G70" s="983"/>
    </row>
    <row r="71" spans="1:7"/>
    <row r="72" spans="1:7">
      <c r="C72" s="832"/>
      <c r="D72" s="1060" t="s">
        <v>1299</v>
      </c>
      <c r="E72" s="1060"/>
      <c r="F72" s="1060"/>
    </row>
    <row r="73" spans="1:7">
      <c r="A73" s="825"/>
      <c r="B73" s="825"/>
      <c r="D73" s="1018" t="s">
        <v>1326</v>
      </c>
      <c r="E73" s="1018"/>
      <c r="F73" s="1018"/>
    </row>
    <row r="74" spans="1:7">
      <c r="A74" s="825"/>
      <c r="B74" s="825"/>
    </row>
    <row r="75" spans="1:7" ht="13.7" customHeight="1">
      <c r="A75" s="822"/>
      <c r="B75" s="823" t="s">
        <v>329</v>
      </c>
      <c r="D75" s="1018" t="s">
        <v>1528</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1446</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1301</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1303</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1304</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1305</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1413</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1456</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1488</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1307</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1311</v>
      </c>
      <c r="E170" s="1019"/>
      <c r="F170" s="1019"/>
      <c r="G170" s="844"/>
    </row>
    <row r="171" spans="1:7">
      <c r="A171" s="842"/>
      <c r="B171" s="842"/>
      <c r="C171" s="843"/>
      <c r="D171" s="1019"/>
      <c r="E171" s="1019"/>
      <c r="F171" s="1019"/>
      <c r="G171" s="844"/>
    </row>
    <row r="172" spans="1:7">
      <c r="A172" s="842"/>
      <c r="B172" s="842"/>
      <c r="C172" s="843"/>
      <c r="D172" s="1020" t="s">
        <v>1447</v>
      </c>
      <c r="E172" s="1020"/>
      <c r="F172" s="1020"/>
      <c r="G172" s="844"/>
    </row>
    <row r="173" spans="1:7" ht="12" customHeight="1">
      <c r="A173" s="842"/>
      <c r="B173" s="842"/>
      <c r="C173" s="843"/>
      <c r="D173" s="844"/>
      <c r="E173" s="845"/>
      <c r="F173" s="844"/>
      <c r="G173" s="844"/>
    </row>
    <row r="174" spans="1:7" ht="14.25">
      <c r="A174" s="822"/>
      <c r="B174" s="823" t="s">
        <v>329</v>
      </c>
      <c r="C174" s="843"/>
      <c r="D174" s="1018" t="s">
        <v>1310</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1219</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1476</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1333</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1328</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1329</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1330</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1332</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1331</v>
      </c>
      <c r="E213" s="1018"/>
      <c r="F213" s="1018"/>
    </row>
    <row r="214" spans="1:7" ht="14.25">
      <c r="A214" s="822"/>
      <c r="B214" s="822"/>
      <c r="D214" s="1018"/>
      <c r="E214" s="1018"/>
      <c r="F214" s="1018"/>
    </row>
    <row r="215" spans="1:7">
      <c r="D215" s="846"/>
    </row>
    <row r="216" spans="1:7">
      <c r="A216" s="983" t="s">
        <v>1205</v>
      </c>
      <c r="B216" s="983"/>
      <c r="C216" s="983"/>
      <c r="D216" s="983"/>
      <c r="E216" s="983"/>
      <c r="F216" s="983"/>
      <c r="G216" s="983"/>
    </row>
    <row r="217" spans="1:7">
      <c r="D217" s="846"/>
    </row>
    <row r="218" spans="1:7">
      <c r="C218" s="832"/>
      <c r="D218" s="973" t="s">
        <v>1334</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1448</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1449</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1337</v>
      </c>
      <c r="E231" s="1018"/>
      <c r="F231" s="1018"/>
    </row>
    <row r="232" spans="1:7">
      <c r="D232" s="1018"/>
      <c r="E232" s="1018"/>
      <c r="F232" s="1018"/>
    </row>
    <row r="233" spans="1:7">
      <c r="D233" s="1018"/>
      <c r="E233" s="1018"/>
      <c r="F233" s="1018"/>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60" t="s">
        <v>1339</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1340</v>
      </c>
      <c r="E241" s="1058"/>
      <c r="F241" s="1058"/>
    </row>
    <row r="242" spans="1:7">
      <c r="E242" s="825"/>
      <c r="F242" s="825"/>
    </row>
    <row r="243" spans="1:7" ht="14.25">
      <c r="A243" s="822"/>
      <c r="B243" s="823" t="s">
        <v>329</v>
      </c>
      <c r="D243" s="1018" t="s">
        <v>1341</v>
      </c>
      <c r="E243" s="1018"/>
      <c r="F243" s="1018"/>
    </row>
    <row r="244" spans="1:7" ht="14.25">
      <c r="A244" s="822"/>
      <c r="B244" s="822"/>
      <c r="D244" s="1018"/>
      <c r="E244" s="1018"/>
      <c r="F244" s="1018"/>
    </row>
    <row r="245" spans="1:7">
      <c r="D245" s="825"/>
      <c r="E245" s="825"/>
      <c r="F245" s="825"/>
    </row>
    <row r="246" spans="1:7" ht="14.25">
      <c r="A246" s="822"/>
      <c r="B246" s="823" t="s">
        <v>329</v>
      </c>
      <c r="D246" s="1057" t="s">
        <v>1342</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1343</v>
      </c>
      <c r="E250" s="1018"/>
      <c r="F250" s="1018"/>
    </row>
    <row r="251" spans="1:7" ht="14.25">
      <c r="A251" s="822"/>
      <c r="B251" s="822"/>
      <c r="D251" s="1018"/>
      <c r="E251" s="1018"/>
      <c r="F251" s="1018"/>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1344</v>
      </c>
      <c r="E256" s="1023"/>
      <c r="F256" s="1023"/>
    </row>
    <row r="257" spans="1:7">
      <c r="C257" s="841"/>
      <c r="D257" s="848"/>
    </row>
    <row r="258" spans="1:7">
      <c r="A258" s="826"/>
      <c r="B258" s="823" t="s">
        <v>329</v>
      </c>
      <c r="D258" s="1023" t="s">
        <v>1345</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1481</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1347</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1348</v>
      </c>
      <c r="E269" s="1023"/>
      <c r="F269" s="1023"/>
    </row>
    <row r="270" spans="1:7">
      <c r="E270" s="825"/>
      <c r="F270" s="825"/>
    </row>
    <row r="271" spans="1:7" ht="14.25">
      <c r="A271" s="822"/>
      <c r="B271" s="823" t="s">
        <v>329</v>
      </c>
      <c r="D271" s="1057" t="s">
        <v>1511</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1350</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1582</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1093</v>
      </c>
      <c r="E304" s="1068"/>
      <c r="F304" s="1068"/>
      <c r="G304" s="815"/>
    </row>
    <row r="305" spans="1:7" ht="13.5" thickTop="1">
      <c r="D305" s="1063" t="s">
        <v>1352</v>
      </c>
      <c r="E305" s="1063"/>
      <c r="F305" s="1063"/>
      <c r="G305" s="815"/>
    </row>
    <row r="306" spans="1:7">
      <c r="A306" s="839"/>
      <c r="B306" s="839"/>
      <c r="C306" s="839"/>
      <c r="D306" s="811"/>
      <c r="E306" s="811"/>
      <c r="F306" s="825"/>
      <c r="G306" s="815"/>
    </row>
    <row r="307" spans="1:7" ht="14.25">
      <c r="A307" s="822"/>
      <c r="B307" s="823" t="s">
        <v>329</v>
      </c>
      <c r="C307" s="839"/>
      <c r="D307" s="1030" t="s">
        <v>1353</v>
      </c>
      <c r="E307" s="1030"/>
      <c r="F307" s="1030"/>
      <c r="G307" s="815"/>
    </row>
    <row r="308" spans="1:7">
      <c r="A308" s="839"/>
      <c r="B308" s="839"/>
      <c r="C308" s="839"/>
      <c r="D308" s="811"/>
      <c r="E308" s="811"/>
      <c r="F308" s="825"/>
      <c r="G308" s="815"/>
    </row>
    <row r="309" spans="1:7">
      <c r="A309" s="839"/>
      <c r="B309" s="823" t="s">
        <v>329</v>
      </c>
      <c r="C309" s="839"/>
      <c r="D309" s="1014" t="s">
        <v>1485</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6" customHeight="1">
      <c r="A321" s="839"/>
      <c r="B321" s="823" t="s">
        <v>329</v>
      </c>
      <c r="C321" s="839"/>
      <c r="D321" s="1064" t="s">
        <v>1486</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1355</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1356</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1357</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1358</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1605</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1512</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1583</v>
      </c>
      <c r="E372" s="1014"/>
      <c r="F372" s="1014"/>
      <c r="G372" s="815"/>
    </row>
    <row r="373" spans="1:7">
      <c r="D373" s="825"/>
      <c r="E373" s="825"/>
      <c r="F373" s="825"/>
      <c r="G373" s="815"/>
    </row>
    <row r="374" spans="1:7" ht="14.25">
      <c r="A374" s="822"/>
      <c r="B374" s="823" t="s">
        <v>329</v>
      </c>
      <c r="C374" s="854"/>
      <c r="D374" s="1018" t="s">
        <v>1360</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1361</v>
      </c>
      <c r="E406" s="1023"/>
      <c r="F406" s="1023"/>
    </row>
    <row r="407" spans="1:7">
      <c r="D407" s="1027" t="s">
        <v>1509</v>
      </c>
      <c r="E407" s="1027"/>
      <c r="F407" s="1027"/>
    </row>
    <row r="408" spans="1:7">
      <c r="D408" s="1057" t="s">
        <v>1508</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1363</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1450</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1365</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1366</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1367</v>
      </c>
      <c r="E440" s="1056"/>
      <c r="F440" s="1056"/>
    </row>
    <row r="441" spans="1:7">
      <c r="A441" s="825"/>
      <c r="B441" s="825"/>
    </row>
    <row r="442" spans="1:7">
      <c r="A442" s="983" t="s">
        <v>1208</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1368</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1369</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1584</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1372</v>
      </c>
      <c r="E455" s="1023"/>
      <c r="F455" s="1023"/>
      <c r="G455" s="815"/>
    </row>
    <row r="456" spans="1:7" ht="14.25">
      <c r="A456" s="822"/>
      <c r="B456" s="822"/>
      <c r="D456" s="810"/>
      <c r="E456" s="696"/>
      <c r="F456" s="696"/>
      <c r="G456" s="815"/>
    </row>
    <row r="457" spans="1:7" ht="14.25">
      <c r="A457" s="822"/>
      <c r="B457" s="823" t="s">
        <v>329</v>
      </c>
      <c r="D457" s="1018" t="s">
        <v>1373</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1374</v>
      </c>
      <c r="E460" s="1023"/>
      <c r="F460" s="1023"/>
      <c r="G460" s="815"/>
    </row>
    <row r="461" spans="1:7" ht="14.25">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1452</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1629</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1246</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1244</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1245</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1389</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35" customHeight="1">
      <c r="A502" s="820"/>
      <c r="B502" s="823" t="s">
        <v>329</v>
      </c>
      <c r="C502" s="824"/>
      <c r="D502" s="1053" t="s">
        <v>1273</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1247</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1211</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1268</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1269</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1270</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1271</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1272</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1274</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1275</v>
      </c>
      <c r="E539" s="1023"/>
      <c r="F539" s="1023"/>
      <c r="G539" s="844"/>
    </row>
    <row r="540" spans="1:7">
      <c r="A540" s="841"/>
      <c r="B540" s="841"/>
      <c r="C540" s="854"/>
      <c r="D540" s="1023" t="s">
        <v>905</v>
      </c>
      <c r="E540" s="1023"/>
      <c r="F540" s="1023"/>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329</v>
      </c>
      <c r="C543" s="854"/>
      <c r="D543" s="1055" t="s">
        <v>1277</v>
      </c>
      <c r="E543" s="1055"/>
      <c r="F543" s="1055"/>
      <c r="G543" s="844"/>
    </row>
    <row r="544" spans="1:7">
      <c r="C544" s="854"/>
      <c r="D544" s="1018" t="s">
        <v>1278</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1279</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1229</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1230</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1231</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1213</v>
      </c>
      <c r="B577" s="983"/>
      <c r="C577" s="983"/>
      <c r="D577" s="983"/>
      <c r="E577" s="983"/>
      <c r="F577" s="983"/>
      <c r="G577" s="983"/>
    </row>
    <row r="578" spans="1:7"/>
    <row r="579" spans="1:7">
      <c r="D579" s="973" t="s">
        <v>1313</v>
      </c>
      <c r="E579" s="973"/>
      <c r="F579" s="973"/>
    </row>
    <row r="580" spans="1:7">
      <c r="D580" s="974" t="s">
        <v>1314</v>
      </c>
      <c r="E580" s="974"/>
      <c r="F580" s="974"/>
    </row>
    <row r="581" spans="1:7">
      <c r="D581" s="804"/>
      <c r="E581" s="746"/>
      <c r="F581" s="746"/>
    </row>
    <row r="582" spans="1:7" s="816" customFormat="1" ht="14.25">
      <c r="A582" s="830"/>
      <c r="B582" s="823" t="s">
        <v>329</v>
      </c>
      <c r="C582" s="826"/>
      <c r="D582" s="975" t="s">
        <v>1315</v>
      </c>
      <c r="E582" s="975"/>
      <c r="F582" s="975"/>
      <c r="G582" s="827"/>
    </row>
    <row r="583" spans="1:7">
      <c r="D583" s="975"/>
      <c r="E583" s="975"/>
      <c r="F583" s="975"/>
    </row>
    <row r="584" spans="1:7">
      <c r="D584" s="975"/>
      <c r="E584" s="975"/>
      <c r="F584" s="975"/>
    </row>
    <row r="585" spans="1:7"/>
    <row r="586" spans="1:7">
      <c r="A586" s="983" t="s">
        <v>1214</v>
      </c>
      <c r="B586" s="983"/>
      <c r="C586" s="983"/>
      <c r="D586" s="983"/>
      <c r="E586" s="983"/>
      <c r="F586" s="983"/>
      <c r="G586" s="983"/>
    </row>
    <row r="587" spans="1:7">
      <c r="A587" s="825"/>
      <c r="B587" s="825"/>
      <c r="G587" s="844"/>
    </row>
    <row r="588" spans="1:7">
      <c r="A588" s="865"/>
      <c r="B588" s="865"/>
      <c r="C588" s="818"/>
      <c r="D588" s="976" t="s">
        <v>1316</v>
      </c>
      <c r="E588" s="976"/>
      <c r="F588" s="976"/>
      <c r="G588" s="844"/>
    </row>
    <row r="589" spans="1:7">
      <c r="A589" s="865"/>
      <c r="B589" s="865"/>
      <c r="C589" s="818"/>
      <c r="D589" s="976"/>
      <c r="E589" s="976"/>
      <c r="F589" s="976"/>
      <c r="G589" s="844"/>
    </row>
    <row r="590" spans="1:7">
      <c r="C590" s="820"/>
      <c r="D590" s="974" t="s">
        <v>1317</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1318</v>
      </c>
      <c r="E594" s="977"/>
      <c r="F594" s="977"/>
      <c r="G594" s="844"/>
    </row>
    <row r="595" spans="1:7">
      <c r="D595" s="977"/>
      <c r="E595" s="977"/>
      <c r="F595" s="977"/>
      <c r="G595" s="844"/>
    </row>
    <row r="596" spans="1:7">
      <c r="D596" s="815"/>
      <c r="G596" s="844"/>
    </row>
    <row r="597" spans="1:7">
      <c r="B597" s="823" t="s">
        <v>329</v>
      </c>
      <c r="D597" s="977" t="s">
        <v>1319</v>
      </c>
      <c r="E597" s="977"/>
      <c r="F597" s="977"/>
      <c r="G597" s="844"/>
    </row>
    <row r="598" spans="1:7">
      <c r="C598" s="866"/>
      <c r="D598" s="977"/>
      <c r="E598" s="977"/>
      <c r="F598" s="977"/>
      <c r="G598" s="844"/>
    </row>
    <row r="599" spans="1:7">
      <c r="C599" s="866"/>
      <c r="G599" s="844"/>
    </row>
    <row r="600" spans="1:7">
      <c r="B600" s="823" t="s">
        <v>329</v>
      </c>
      <c r="C600" s="866"/>
      <c r="D600" s="977" t="s">
        <v>1320</v>
      </c>
      <c r="E600" s="977"/>
      <c r="F600" s="977"/>
      <c r="G600" s="844"/>
    </row>
    <row r="601" spans="1:7">
      <c r="C601" s="866"/>
      <c r="D601" s="977"/>
      <c r="E601" s="977"/>
      <c r="F601" s="977"/>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973" t="s">
        <v>1321</v>
      </c>
      <c r="E605" s="973"/>
      <c r="F605" s="973"/>
      <c r="G605" s="844"/>
    </row>
    <row r="606" spans="1:7">
      <c r="A606" s="841"/>
      <c r="B606" s="841"/>
      <c r="C606" s="843"/>
      <c r="D606" s="819"/>
      <c r="G606" s="844"/>
    </row>
    <row r="607" spans="1:7" ht="14.25">
      <c r="A607" s="822"/>
      <c r="B607" s="823" t="s">
        <v>329</v>
      </c>
      <c r="C607" s="843"/>
      <c r="D607" s="1018" t="s">
        <v>1567</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1323</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1493</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1325</v>
      </c>
      <c r="E620" s="1023"/>
      <c r="F620" s="102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66" t="s">
        <v>1375</v>
      </c>
      <c r="E624" s="1066"/>
      <c r="F624" s="1066"/>
      <c r="G624" s="844"/>
    </row>
    <row r="625" spans="1:7">
      <c r="A625" s="820"/>
      <c r="B625" s="820"/>
      <c r="C625" s="820"/>
      <c r="D625" s="1067" t="s">
        <v>1376</v>
      </c>
      <c r="E625" s="1067"/>
      <c r="F625" s="1067"/>
      <c r="G625" s="844"/>
    </row>
    <row r="626" spans="1:7">
      <c r="A626" s="820"/>
      <c r="B626" s="820"/>
      <c r="C626" s="820"/>
      <c r="D626" s="751"/>
      <c r="E626" s="751"/>
      <c r="F626" s="751"/>
      <c r="G626" s="844"/>
    </row>
    <row r="627" spans="1:7" ht="12.75" customHeight="1">
      <c r="B627" s="823" t="s">
        <v>329</v>
      </c>
      <c r="C627" s="854"/>
      <c r="D627" s="1052" t="s">
        <v>1601</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1604</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1602</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1603</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1227</v>
      </c>
      <c r="E653" s="1070"/>
      <c r="F653" s="1070"/>
      <c r="G653" s="844"/>
    </row>
    <row r="654" spans="1:7" ht="14.25">
      <c r="A654" s="822"/>
      <c r="B654" s="822"/>
      <c r="C654" s="854"/>
      <c r="D654" s="977" t="s">
        <v>1378</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1566</v>
      </c>
      <c r="E659" s="1003"/>
      <c r="F659" s="1003"/>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1253</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1254</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1455</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1266</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1257</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1264</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1265</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1258</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1259</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1260</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1393</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1261</v>
      </c>
      <c r="E730" s="991"/>
      <c r="F730" s="991"/>
      <c r="G730" s="844"/>
      <c r="H730" s="869"/>
      <c r="I730" s="869"/>
      <c r="J730" s="869"/>
      <c r="K730" s="869"/>
    </row>
    <row r="731" spans="1:11">
      <c r="A731" s="820"/>
      <c r="B731" s="820"/>
      <c r="C731" s="820"/>
      <c r="D731" s="806"/>
      <c r="G731" s="844"/>
      <c r="H731" s="869"/>
      <c r="I731" s="869"/>
      <c r="J731" s="869"/>
      <c r="K731" s="869"/>
    </row>
    <row r="732" spans="1:11">
      <c r="A732" s="984" t="s">
        <v>1218</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1234</v>
      </c>
      <c r="E734" s="1060"/>
      <c r="F734" s="1060"/>
      <c r="G734" s="874"/>
      <c r="H734" s="869"/>
      <c r="I734" s="869"/>
      <c r="J734" s="869"/>
      <c r="K734" s="869"/>
    </row>
    <row r="735" spans="1:11">
      <c r="A735" s="820"/>
      <c r="B735" s="820"/>
      <c r="C735" s="820"/>
      <c r="D735" s="997" t="s">
        <v>1235</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1236</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1513</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1514</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1451</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1475</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1572</v>
      </c>
      <c r="B760" s="994"/>
      <c r="C760" s="994"/>
      <c r="D760" s="994"/>
      <c r="E760" s="994"/>
      <c r="F760" s="994"/>
      <c r="G760" s="994"/>
    </row>
    <row r="761" spans="1:11">
      <c r="A761" s="820"/>
      <c r="B761" s="820"/>
      <c r="C761" s="820"/>
      <c r="D761" s="881"/>
      <c r="F761" s="868"/>
      <c r="G761" s="874"/>
    </row>
    <row r="762" spans="1:11">
      <c r="A762" s="826"/>
      <c r="B762" s="826"/>
      <c r="C762" s="831"/>
      <c r="D762" s="995" t="s">
        <v>1580</v>
      </c>
      <c r="E762" s="995"/>
      <c r="F762" s="995"/>
      <c r="G762" s="874"/>
    </row>
    <row r="763" spans="1:11">
      <c r="A763" s="882"/>
      <c r="B763" s="882"/>
      <c r="C763" s="883"/>
      <c r="D763" s="996" t="s">
        <v>1568</v>
      </c>
      <c r="E763" s="996"/>
      <c r="F763" s="996"/>
      <c r="G763" s="874"/>
    </row>
    <row r="764" spans="1:11">
      <c r="A764" s="882"/>
      <c r="B764" s="882"/>
      <c r="C764" s="883"/>
      <c r="D764" s="920"/>
      <c r="E764" s="920"/>
      <c r="F764" s="920"/>
      <c r="G764" s="874"/>
    </row>
    <row r="765" spans="1:11">
      <c r="A765" s="826"/>
      <c r="C765" s="831"/>
      <c r="D765" s="995" t="s">
        <v>1565</v>
      </c>
      <c r="E765" s="995"/>
      <c r="F765" s="995"/>
      <c r="G765" s="874"/>
    </row>
    <row r="766" spans="1:11" ht="14.25">
      <c r="A766" s="822"/>
      <c r="B766" s="823" t="s">
        <v>329</v>
      </c>
      <c r="C766" s="831"/>
      <c r="D766" s="997" t="s">
        <v>1103</v>
      </c>
      <c r="E766" s="997"/>
      <c r="F766" s="997"/>
      <c r="G766" s="874"/>
    </row>
    <row r="767" spans="1:11" ht="14.25">
      <c r="A767" s="822"/>
      <c r="B767" s="815"/>
      <c r="C767" s="831"/>
      <c r="D767" s="921"/>
      <c r="E767" s="998" t="s">
        <v>1226</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1581</v>
      </c>
      <c r="E770" s="995"/>
      <c r="F770" s="995"/>
      <c r="G770" s="874"/>
    </row>
    <row r="771" spans="1:7" ht="14.25">
      <c r="A771" s="822"/>
      <c r="B771" s="823" t="s">
        <v>329</v>
      </c>
      <c r="C771" s="831"/>
      <c r="D771" s="1084" t="s">
        <v>1577</v>
      </c>
      <c r="E771" s="1084"/>
      <c r="F771" s="1084"/>
      <c r="G771" s="815"/>
    </row>
    <row r="772" spans="1:7" ht="14.25">
      <c r="A772" s="822"/>
      <c r="B772" s="815"/>
      <c r="C772" s="831"/>
      <c r="D772" s="1084" t="s">
        <v>1578</v>
      </c>
      <c r="E772" s="1084"/>
      <c r="F772" s="1084"/>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1102</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38" zoomScale="110" zoomScaleNormal="110" zoomScaleSheetLayoutView="100" workbookViewId="0">
      <selection activeCell="Z670" sqref="Z670:AE67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0" t="s">
        <v>107</v>
      </c>
      <c r="B8" s="1580"/>
      <c r="C8" s="1580"/>
      <c r="D8" s="1580"/>
      <c r="E8" s="1580"/>
      <c r="F8" s="1580"/>
      <c r="G8" s="1580"/>
      <c r="H8" s="1580"/>
      <c r="I8" s="1580"/>
      <c r="J8" s="1580"/>
      <c r="K8" s="1580"/>
      <c r="L8" s="1580"/>
      <c r="M8" s="1580"/>
      <c r="N8" s="1580"/>
      <c r="O8" s="1580"/>
      <c r="P8" s="1580"/>
      <c r="Q8" s="1580"/>
      <c r="R8" s="1580"/>
      <c r="S8" s="1580"/>
      <c r="T8" s="1580"/>
      <c r="U8" s="1580"/>
      <c r="V8" s="1580"/>
      <c r="W8" s="1580"/>
      <c r="X8" s="1580"/>
      <c r="Y8" s="1580"/>
      <c r="Z8" s="1580"/>
      <c r="AA8" s="1580"/>
      <c r="AB8" s="1580"/>
      <c r="AC8" s="1580"/>
      <c r="AD8" s="1580"/>
      <c r="AE8" s="1580"/>
      <c r="AF8" s="1580"/>
      <c r="AG8" s="1580"/>
      <c r="AH8" s="1580"/>
      <c r="AI8" s="1580"/>
      <c r="AJ8" s="1580"/>
      <c r="AK8" s="1580"/>
      <c r="AL8" s="1580"/>
    </row>
    <row r="9" spans="1:38" ht="15" customHeight="1">
      <c r="A9" s="1330" t="s">
        <v>1570</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79" t="s">
        <v>1571</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row>
    <row r="11" spans="1:38" ht="15" customHeight="1">
      <c r="A11" s="1579" t="s">
        <v>1569</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row>
    <row r="12" spans="1:38" ht="12.75">
      <c r="A12" s="1310" t="s">
        <v>1630</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row>
    <row r="13" spans="1:38" ht="12.75">
      <c r="A13" s="969" t="s">
        <v>1428</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7" t="s">
        <v>1645</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row>
    <row r="17" spans="1:39" ht="12.75" customHeight="1"/>
    <row r="18" spans="1:39" ht="12.75" customHeight="1">
      <c r="A18" s="137" t="s">
        <v>108</v>
      </c>
      <c r="C18" s="7"/>
      <c r="D18" s="7"/>
      <c r="E18" s="7"/>
      <c r="F18" s="7"/>
      <c r="G18" s="7"/>
      <c r="H18" s="1175" t="s">
        <v>1646</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8" t="s">
        <v>1154</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5">
        <f>'Basis &amp; Credits'!AB56</f>
        <v>1614989</v>
      </c>
      <c r="N26" s="1315"/>
      <c r="O26" s="1315"/>
      <c r="P26" s="1315"/>
      <c r="Q26" s="13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9">
        <f>'Basis &amp; Credits'!AB77</f>
        <v>3456662</v>
      </c>
      <c r="N27" s="1379"/>
      <c r="O27" s="1379"/>
      <c r="P27" s="1379"/>
      <c r="Q27" s="1379"/>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5" t="s">
        <v>592</v>
      </c>
      <c r="P33" s="1115"/>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2"/>
      <c r="H122" s="1312"/>
      <c r="I122" s="247" t="s">
        <v>195</v>
      </c>
      <c r="L122" s="1312"/>
      <c r="M122" s="1312"/>
      <c r="N122" s="1312"/>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9"/>
      <c r="D124" s="1309"/>
      <c r="E124" s="1309"/>
      <c r="F124" s="1309"/>
      <c r="G124" s="1309"/>
      <c r="H124" s="1309"/>
      <c r="I124" s="1309"/>
      <c r="J124" s="1309"/>
      <c r="K124" s="130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2"/>
      <c r="Z126" s="1312"/>
      <c r="AA126" s="1312"/>
      <c r="AB126" s="1312"/>
      <c r="AC126" s="1312"/>
      <c r="AD126" s="1312"/>
      <c r="AE126" s="1312"/>
      <c r="AF126" s="1312"/>
      <c r="AG126" s="1312"/>
      <c r="AH126" s="1312"/>
      <c r="AI126" s="1312"/>
      <c r="AJ126" s="1312"/>
      <c r="AK126" s="1312"/>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3"/>
      <c r="Z129" s="1313"/>
      <c r="AA129" s="1313"/>
      <c r="AB129" s="1313"/>
      <c r="AC129" s="1313"/>
      <c r="AD129" s="1313"/>
      <c r="AE129" s="1313"/>
      <c r="AF129" s="1313"/>
      <c r="AG129" s="1313"/>
      <c r="AH129" s="1313"/>
      <c r="AI129" s="1313"/>
      <c r="AJ129" s="1313"/>
      <c r="AK129" s="1313"/>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3"/>
      <c r="Z132" s="1313"/>
      <c r="AA132" s="1313"/>
      <c r="AB132" s="1313"/>
      <c r="AC132" s="1313"/>
      <c r="AD132" s="1313"/>
      <c r="AE132" s="1313"/>
      <c r="AF132" s="1313"/>
      <c r="AG132" s="1313"/>
      <c r="AH132" s="1313"/>
      <c r="AI132" s="1313"/>
      <c r="AJ132" s="1313"/>
      <c r="AK132" s="13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75" t="s">
        <v>1647</v>
      </c>
      <c r="P153" s="1146"/>
      <c r="Q153" s="1146"/>
      <c r="R153" s="1146"/>
      <c r="S153" s="1146"/>
      <c r="T153" s="1146"/>
      <c r="U153" s="1146"/>
      <c r="V153" s="1146"/>
      <c r="W153" s="1146"/>
      <c r="X153" s="1146"/>
      <c r="Y153" s="1146"/>
      <c r="Z153" s="1146"/>
      <c r="AA153" s="1146"/>
      <c r="AB153" s="1146"/>
      <c r="AC153" s="1146"/>
      <c r="AD153" s="1146"/>
      <c r="AE153" s="1146"/>
      <c r="AF153" s="1146"/>
      <c r="AG153" s="1146"/>
      <c r="AH153" s="1146"/>
    </row>
    <row r="154" spans="1:59" ht="12.75" customHeight="1">
      <c r="D154" s="483" t="s">
        <v>476</v>
      </c>
      <c r="F154" s="32"/>
      <c r="G154" s="32"/>
      <c r="H154" s="32"/>
      <c r="I154" s="32"/>
      <c r="J154" s="32"/>
      <c r="K154" s="32"/>
      <c r="L154" s="32"/>
      <c r="M154" s="32"/>
      <c r="N154" s="32"/>
      <c r="O154" s="1177" t="s">
        <v>1648</v>
      </c>
      <c r="P154" s="1151"/>
      <c r="Q154" s="1151"/>
      <c r="R154" s="1151"/>
      <c r="S154" s="1151"/>
      <c r="T154" s="1151"/>
      <c r="U154" s="1151"/>
      <c r="V154" s="1151"/>
      <c r="W154" s="1151"/>
      <c r="X154" s="1151"/>
      <c r="Y154" s="1151"/>
      <c r="Z154" s="1151"/>
      <c r="AA154" s="1151"/>
      <c r="AB154" s="1151"/>
      <c r="AC154" s="1151"/>
      <c r="AD154" s="1151"/>
      <c r="AE154" s="1151"/>
      <c r="AF154" s="1151"/>
      <c r="AG154" s="1151"/>
      <c r="AH154" s="1151"/>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087"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75" t="s">
        <v>72</v>
      </c>
      <c r="P157" s="1146"/>
      <c r="Q157" s="1146"/>
      <c r="R157" s="1146"/>
      <c r="S157" s="1146"/>
      <c r="T157" s="1146"/>
      <c r="U157" s="1146"/>
      <c r="V157" s="1146"/>
      <c r="W157" s="1146"/>
      <c r="X157" s="114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8">
        <v>92522</v>
      </c>
      <c r="P158" s="1538"/>
      <c r="Q158" s="1538"/>
      <c r="R158" s="153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8" t="s">
        <v>1650</v>
      </c>
      <c r="P159" s="1328"/>
      <c r="Q159" s="1328"/>
      <c r="R159" s="1328"/>
      <c r="S159" s="1328"/>
      <c r="T159" s="1328"/>
      <c r="V159" s="149" t="s">
        <v>287</v>
      </c>
      <c r="W159" s="1539"/>
      <c r="X159" s="153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4" t="s">
        <v>1651</v>
      </c>
      <c r="P161" s="1314"/>
      <c r="Q161" s="1314"/>
      <c r="R161" s="1314"/>
      <c r="S161" s="1314"/>
      <c r="T161" s="1314"/>
      <c r="U161" s="1314"/>
      <c r="V161" s="1314"/>
      <c r="W161" s="1314"/>
      <c r="X161" s="1314"/>
      <c r="Y161" s="1314"/>
      <c r="Z161" s="1314"/>
      <c r="AA161" s="1314"/>
      <c r="AB161" s="1314"/>
      <c r="AC161" s="1314"/>
      <c r="AD161" s="1314"/>
      <c r="AE161" s="1314"/>
      <c r="AF161" s="1314"/>
      <c r="AG161" s="1314"/>
      <c r="AH161" s="131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1510</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8" t="s">
        <v>586</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727</v>
      </c>
      <c r="BG169" s="12" t="s">
        <v>535</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7" t="s">
        <v>1652</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5" t="s">
        <v>723</v>
      </c>
      <c r="S177" s="111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7"/>
      <c r="AG178" s="1587"/>
      <c r="AH178" s="4" t="s">
        <v>328</v>
      </c>
      <c r="AI178" s="1541"/>
      <c r="AJ178" s="1541"/>
      <c r="AK178" s="154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5" t="s">
        <v>723</v>
      </c>
      <c r="Y180" s="111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4" t="str">
        <f>H18</f>
        <v>Mission Heritage Plaza</v>
      </c>
      <c r="J186" s="1174"/>
      <c r="K186" s="1174"/>
      <c r="L186" s="1174"/>
      <c r="M186" s="1174"/>
      <c r="N186" s="1174"/>
      <c r="O186" s="1174"/>
      <c r="P186" s="1174"/>
      <c r="Q186" s="1174"/>
      <c r="R186" s="1174"/>
      <c r="S186" s="1174"/>
      <c r="T186" s="1174"/>
      <c r="U186" s="1174"/>
      <c r="V186" s="1174"/>
      <c r="W186" s="1174"/>
      <c r="X186" s="1174"/>
      <c r="Y186" s="1174"/>
      <c r="Z186" s="1174"/>
      <c r="AA186" s="1174"/>
      <c r="AB186" s="1174"/>
      <c r="AC186" s="1174"/>
      <c r="AD186" s="1174"/>
      <c r="AE186" s="1174"/>
      <c r="AF186" s="25"/>
      <c r="AH186" s="25"/>
      <c r="AJ186" s="3"/>
      <c r="AK186" s="3"/>
      <c r="AL186" s="3"/>
      <c r="BA186" s="36" t="s">
        <v>247</v>
      </c>
      <c r="BG186" s="12" t="s">
        <v>69</v>
      </c>
    </row>
    <row r="187" spans="1:59" ht="12.75">
      <c r="A187" s="25"/>
      <c r="C187" s="45"/>
      <c r="D187" s="25" t="s">
        <v>630</v>
      </c>
      <c r="E187" s="25"/>
      <c r="F187" s="25"/>
      <c r="G187" s="25"/>
      <c r="H187" s="25"/>
      <c r="I187" s="1086" t="s">
        <v>1653</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686</v>
      </c>
      <c r="BG190" s="12" t="s">
        <v>73</v>
      </c>
    </row>
    <row r="191" spans="1:59" ht="12.75">
      <c r="A191" s="25"/>
      <c r="C191" s="45"/>
      <c r="D191" s="25" t="s">
        <v>631</v>
      </c>
      <c r="E191" s="25"/>
      <c r="I191" s="1087" t="s">
        <v>72</v>
      </c>
      <c r="J191" s="1087"/>
      <c r="K191" s="1087"/>
      <c r="L191" s="1087"/>
      <c r="M191" s="1087"/>
      <c r="N191" s="1087"/>
      <c r="O191" s="1087"/>
      <c r="P191" s="1087"/>
      <c r="Q191" s="25" t="s">
        <v>633</v>
      </c>
      <c r="T191" s="1087" t="s">
        <v>72</v>
      </c>
      <c r="U191" s="1087"/>
      <c r="V191" s="1087"/>
      <c r="W191" s="1087"/>
      <c r="X191" s="1087"/>
      <c r="Y191" s="1087"/>
      <c r="Z191" s="1087"/>
      <c r="AA191" s="1087"/>
      <c r="AB191" s="1087"/>
      <c r="AC191" s="1087"/>
      <c r="AD191" s="1087"/>
      <c r="AE191" s="1087"/>
      <c r="AH191" s="25"/>
      <c r="AJ191" s="3"/>
      <c r="AK191" s="3"/>
      <c r="AL191" s="3"/>
      <c r="AP191" s="12" t="s">
        <v>1194</v>
      </c>
      <c r="BA191" s="36" t="s">
        <v>743</v>
      </c>
      <c r="BG191" s="12" t="s">
        <v>789</v>
      </c>
    </row>
    <row r="192" spans="1:59" ht="12.75">
      <c r="A192" s="25"/>
      <c r="C192" s="46"/>
      <c r="D192" s="25" t="s">
        <v>634</v>
      </c>
      <c r="E192" s="25"/>
      <c r="F192" s="25"/>
      <c r="G192" s="25"/>
      <c r="I192" s="1086">
        <v>92501</v>
      </c>
      <c r="J192" s="1086"/>
      <c r="K192" s="1086"/>
      <c r="L192" s="1086"/>
      <c r="M192" s="1086"/>
      <c r="N192" s="1086"/>
      <c r="O192" s="25" t="s">
        <v>636</v>
      </c>
      <c r="P192" s="25"/>
      <c r="Q192" s="25"/>
      <c r="R192" s="25"/>
      <c r="S192" s="25"/>
      <c r="T192" s="1335">
        <v>6065030300</v>
      </c>
      <c r="U192" s="1335"/>
      <c r="V192" s="1335"/>
      <c r="W192" s="1335"/>
      <c r="X192" s="1335"/>
      <c r="Y192" s="1335"/>
      <c r="Z192" s="1335"/>
      <c r="AA192" s="1335"/>
      <c r="AB192" s="1335"/>
      <c r="AC192" s="1335"/>
      <c r="AD192" s="1335"/>
      <c r="AE192" s="133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8" t="s">
        <v>1654</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5" t="s">
        <v>723</v>
      </c>
      <c r="U195" s="1115"/>
      <c r="W195" s="25" t="s">
        <v>739</v>
      </c>
      <c r="X195" s="25"/>
      <c r="Y195" s="25"/>
      <c r="Z195" s="25"/>
      <c r="AA195" s="25"/>
      <c r="AB195" s="25"/>
      <c r="AC195" s="25"/>
      <c r="AD195" s="25"/>
      <c r="AE195" s="25"/>
      <c r="AF195" s="25"/>
      <c r="AG195" s="25"/>
      <c r="AH195" s="1115">
        <v>41</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592</v>
      </c>
      <c r="U196" s="1118"/>
      <c r="W196" s="25" t="s">
        <v>740</v>
      </c>
      <c r="X196" s="25"/>
      <c r="Y196" s="25"/>
      <c r="Z196" s="25"/>
      <c r="AA196" s="25"/>
      <c r="AB196" s="25"/>
      <c r="AC196" s="25"/>
      <c r="AD196" s="25"/>
      <c r="AE196" s="25"/>
      <c r="AF196" s="25"/>
      <c r="AG196" s="25"/>
      <c r="AH196" s="1115">
        <v>31</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723</v>
      </c>
      <c r="U197" s="1118"/>
      <c r="V197" s="12"/>
      <c r="W197" s="25" t="s">
        <v>741</v>
      </c>
      <c r="X197" s="25"/>
      <c r="Y197" s="25"/>
      <c r="Z197" s="25"/>
      <c r="AA197" s="25"/>
      <c r="AB197" s="25"/>
      <c r="AC197" s="25"/>
      <c r="AD197" s="25"/>
      <c r="AE197" s="25"/>
      <c r="AF197" s="25"/>
      <c r="AG197" s="25"/>
      <c r="AH197" s="1115">
        <v>61</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723</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4" t="s">
        <v>417</v>
      </c>
      <c r="E203" s="1174"/>
      <c r="F203" s="1174"/>
      <c r="G203" s="1174"/>
      <c r="H203" s="1174"/>
      <c r="I203" s="1174"/>
      <c r="J203" s="1174"/>
      <c r="K203" s="1174"/>
      <c r="L203" s="1174"/>
      <c r="M203" s="1174"/>
      <c r="P203" s="1331">
        <f>M26</f>
        <v>1614989</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0" t="s">
        <v>1533</v>
      </c>
      <c r="E204" s="1174"/>
      <c r="F204" s="1174"/>
      <c r="G204" s="1174"/>
      <c r="H204" s="1174"/>
      <c r="I204" s="1174"/>
      <c r="J204" s="1174"/>
      <c r="K204" s="1174"/>
      <c r="L204" s="1174"/>
      <c r="M204" s="1174"/>
      <c r="P204" s="1332">
        <f>M27</f>
        <v>3456662</v>
      </c>
      <c r="Q204" s="1332"/>
      <c r="R204" s="1332"/>
      <c r="S204" s="1332"/>
      <c r="T204" s="1332"/>
      <c r="U204" s="1332"/>
      <c r="V204" s="47"/>
      <c r="W204" s="25" t="s">
        <v>1534</v>
      </c>
      <c r="X204" s="25"/>
      <c r="Y204" s="25"/>
      <c r="Z204" s="25"/>
      <c r="AA204" s="25"/>
      <c r="AB204" s="25"/>
      <c r="AC204" s="25"/>
      <c r="AD204" s="25"/>
      <c r="AE204" s="25"/>
      <c r="AF204" s="1115" t="s">
        <v>723</v>
      </c>
      <c r="AG204" s="1115"/>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6" t="s">
        <v>1655</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6" t="s">
        <v>1194</v>
      </c>
      <c r="E210" s="1146"/>
      <c r="F210" s="1146"/>
      <c r="G210" s="1146"/>
      <c r="H210" s="1146"/>
      <c r="I210" s="1146"/>
      <c r="J210" s="1146"/>
      <c r="K210" s="1146"/>
      <c r="L210" s="1146"/>
      <c r="M210" s="1146"/>
      <c r="N210" s="12" t="s">
        <v>1518</v>
      </c>
      <c r="O210" s="743"/>
      <c r="P210" s="743"/>
      <c r="Q210" s="743"/>
      <c r="R210" s="743"/>
      <c r="S210" s="743"/>
      <c r="T210" s="743"/>
      <c r="U210" s="743"/>
      <c r="V210" s="743"/>
      <c r="W210" s="743"/>
      <c r="X210" s="743"/>
      <c r="Y210" s="743"/>
      <c r="Z210" s="743"/>
      <c r="AH210" s="1115">
        <v>22</v>
      </c>
      <c r="AI210" s="111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6" t="s">
        <v>1221</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8" t="s">
        <v>587</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409</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642</v>
      </c>
      <c r="AJ221" s="111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592</v>
      </c>
      <c r="AJ222" s="111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592</v>
      </c>
      <c r="AJ223" s="111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Wakeland Housing and Development Corporation</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175" t="s">
        <v>1661</v>
      </c>
      <c r="N228" s="1146"/>
      <c r="O228" s="1146"/>
      <c r="P228" s="1146"/>
      <c r="Q228" s="1146"/>
      <c r="R228" s="1146"/>
      <c r="S228" s="1146"/>
      <c r="T228" s="1146"/>
      <c r="U228" s="1146"/>
      <c r="V228" s="1146"/>
      <c r="W228" s="1146"/>
      <c r="X228" s="1146"/>
      <c r="Y228" s="1146"/>
      <c r="Z228" s="1146"/>
      <c r="AA228" s="1146"/>
      <c r="AB228" s="1146"/>
      <c r="AC228" s="1146"/>
      <c r="AD228" s="1146"/>
      <c r="AE228" s="1146"/>
      <c r="AM228" s="7"/>
      <c r="AO228" s="344" t="s">
        <v>585</v>
      </c>
      <c r="AT228" s="405">
        <f>IF(AND(AND($M$244="for profit",$M$252="nonprofit",$M$260="nonprofit")),2,0)</f>
        <v>0</v>
      </c>
      <c r="BB228" s="61"/>
    </row>
    <row r="229" spans="1:59" ht="12.75">
      <c r="D229" s="57" t="s">
        <v>631</v>
      </c>
      <c r="E229" s="57"/>
      <c r="M229" s="1175" t="s">
        <v>791</v>
      </c>
      <c r="N229" s="1146"/>
      <c r="O229" s="1146"/>
      <c r="P229" s="1146"/>
      <c r="Q229" s="1146"/>
      <c r="R229" s="1146"/>
      <c r="S229" s="1146"/>
      <c r="T229" s="1146"/>
      <c r="V229" s="59" t="s">
        <v>93</v>
      </c>
      <c r="W229" s="1177" t="s">
        <v>1656</v>
      </c>
      <c r="X229" s="1151"/>
      <c r="Y229" s="57" t="s">
        <v>634</v>
      </c>
      <c r="AC229" s="1146">
        <v>92101</v>
      </c>
      <c r="AD229" s="1146"/>
      <c r="AE229" s="1146"/>
      <c r="AO229" s="402"/>
      <c r="AT229" s="403"/>
    </row>
    <row r="230" spans="1:59" ht="12.75">
      <c r="D230" s="60" t="s">
        <v>94</v>
      </c>
      <c r="E230" s="7"/>
      <c r="F230" s="7"/>
      <c r="G230" s="7"/>
      <c r="H230" s="7"/>
      <c r="I230" s="7"/>
      <c r="J230" s="7"/>
      <c r="K230" s="29"/>
      <c r="M230" s="1175" t="s">
        <v>1669</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584</v>
      </c>
      <c r="AT230" s="406">
        <f>IF(AND(AND($M$244="nonprofit",$M$252="nonprofit",$M$260="(select one)")),1,0)</f>
        <v>0</v>
      </c>
    </row>
    <row r="231" spans="1:59" ht="12.75">
      <c r="D231" s="60" t="s">
        <v>95</v>
      </c>
      <c r="E231" s="7"/>
      <c r="F231" s="7"/>
      <c r="M231" s="1176" t="s">
        <v>1657</v>
      </c>
      <c r="N231" s="1121"/>
      <c r="O231" s="1121"/>
      <c r="P231" s="1121"/>
      <c r="Q231" s="1121"/>
      <c r="R231" s="1121"/>
      <c r="S231" s="7" t="s">
        <v>220</v>
      </c>
      <c r="T231" s="7"/>
      <c r="U231" s="1151"/>
      <c r="V231" s="1151"/>
      <c r="W231" s="1151"/>
      <c r="X231" s="7" t="s">
        <v>96</v>
      </c>
      <c r="Z231" s="1121"/>
      <c r="AA231" s="1121"/>
      <c r="AB231" s="1121"/>
      <c r="AC231" s="1121"/>
      <c r="AD231" s="1121"/>
      <c r="AE231" s="1121"/>
      <c r="AO231" s="400" t="s">
        <v>584</v>
      </c>
      <c r="AT231" s="406">
        <f>IF(AND(AND($M$244="nonprofit",$M$252="nonprofit",$M$260="nonprofit")),1,0)</f>
        <v>0</v>
      </c>
    </row>
    <row r="232" spans="1:59" ht="12.75">
      <c r="D232" s="60" t="s">
        <v>97</v>
      </c>
      <c r="E232" s="7"/>
      <c r="F232" s="7"/>
      <c r="M232" s="1314" t="s">
        <v>1658</v>
      </c>
      <c r="N232" s="1314"/>
      <c r="O232" s="1314"/>
      <c r="P232" s="1314"/>
      <c r="Q232" s="1314"/>
      <c r="R232" s="1314"/>
      <c r="S232" s="1314"/>
      <c r="T232" s="1314"/>
      <c r="U232" s="1314"/>
      <c r="V232" s="1314"/>
      <c r="W232" s="1314"/>
      <c r="X232" s="1314"/>
      <c r="Y232" s="1314"/>
      <c r="Z232" s="1314"/>
      <c r="AA232" s="1314"/>
      <c r="AB232" s="1314"/>
      <c r="AC232" s="1314"/>
      <c r="AD232" s="1314"/>
      <c r="AE232" s="131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573</v>
      </c>
      <c r="N233" s="1086"/>
      <c r="O233" s="1086"/>
      <c r="P233" s="1086"/>
      <c r="Q233" s="1086"/>
      <c r="R233" s="1086"/>
      <c r="S233" s="1086"/>
      <c r="T233" s="1086"/>
      <c r="U233" s="404" t="s">
        <v>1005</v>
      </c>
      <c r="V233" s="335"/>
      <c r="W233" s="335"/>
      <c r="X233" s="335"/>
      <c r="Y233" s="335"/>
      <c r="Z233" s="335"/>
      <c r="AA233" s="1320" t="s">
        <v>642</v>
      </c>
      <c r="AB233" s="1321"/>
      <c r="AC233" s="1321"/>
      <c r="AD233" s="1321"/>
      <c r="AE233" s="1321"/>
      <c r="AF233" s="1321"/>
      <c r="AG233" s="1321"/>
      <c r="AH233" s="1321"/>
      <c r="AI233" s="1321"/>
      <c r="AJ233" s="1321"/>
      <c r="AK233" s="1321"/>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7" t="s">
        <v>1659</v>
      </c>
      <c r="N238" s="1316"/>
      <c r="O238" s="1316"/>
      <c r="P238" s="1316"/>
      <c r="Q238" s="1316"/>
      <c r="R238" s="1316"/>
      <c r="S238" s="1316"/>
      <c r="T238" s="1316"/>
      <c r="U238" s="1316"/>
      <c r="V238" s="1316"/>
      <c r="W238" s="1316"/>
      <c r="X238" s="1316"/>
      <c r="Y238" s="1316"/>
      <c r="Z238" s="1316"/>
      <c r="AA238" s="1316"/>
      <c r="AB238" s="1316"/>
      <c r="AC238" s="1316"/>
      <c r="AD238" s="1316"/>
      <c r="AE238" s="1316"/>
      <c r="AF238" s="1316" t="s">
        <v>1660</v>
      </c>
      <c r="AG238" s="1316"/>
      <c r="AH238" s="1316"/>
      <c r="AI238" s="1316"/>
      <c r="AJ238" s="1316"/>
      <c r="AK238" s="1316"/>
      <c r="AT238" s="12">
        <v>1</v>
      </c>
      <c r="AU238" s="12" t="s">
        <v>581</v>
      </c>
      <c r="AZ238" s="25"/>
      <c r="BA238" s="3"/>
      <c r="BB238" s="3"/>
    </row>
    <row r="239" spans="1:59" ht="12.75">
      <c r="A239" s="29"/>
      <c r="B239" s="7"/>
      <c r="C239" s="7"/>
      <c r="D239" s="57" t="s">
        <v>92</v>
      </c>
      <c r="E239" s="57"/>
      <c r="F239" s="57"/>
      <c r="G239" s="57"/>
      <c r="H239" s="57"/>
      <c r="I239" s="57"/>
      <c r="J239" s="57"/>
      <c r="K239" s="57"/>
      <c r="L239" s="7"/>
      <c r="M239" s="1146" t="str">
        <f>M228</f>
        <v>1230 Columbia Street, Suite 950</v>
      </c>
      <c r="N239" s="1146"/>
      <c r="O239" s="1146"/>
      <c r="P239" s="1146"/>
      <c r="Q239" s="1146"/>
      <c r="R239" s="1146"/>
      <c r="S239" s="1146"/>
      <c r="T239" s="1146"/>
      <c r="U239" s="1146"/>
      <c r="V239" s="1146"/>
      <c r="W239" s="1146"/>
      <c r="X239" s="1146"/>
      <c r="Y239" s="1146"/>
      <c r="Z239" s="1146"/>
      <c r="AA239" s="1146"/>
      <c r="AB239" s="1146"/>
      <c r="AC239" s="1146"/>
      <c r="AD239" s="1146"/>
      <c r="AE239" s="1146"/>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46" t="str">
        <f>M229</f>
        <v>San Diego</v>
      </c>
      <c r="N240" s="1146"/>
      <c r="O240" s="1146"/>
      <c r="P240" s="1146"/>
      <c r="Q240" s="1146"/>
      <c r="R240" s="1146"/>
      <c r="S240" s="1146"/>
      <c r="T240" s="1146"/>
      <c r="V240" s="59" t="s">
        <v>93</v>
      </c>
      <c r="W240" s="1151" t="str">
        <f>W229</f>
        <v>CA</v>
      </c>
      <c r="X240" s="1151"/>
      <c r="Y240" s="57" t="s">
        <v>634</v>
      </c>
      <c r="AC240" s="1146">
        <f>AC229</f>
        <v>92101</v>
      </c>
      <c r="AD240" s="1146"/>
      <c r="AE240" s="114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6" t="str">
        <f>M230</f>
        <v>Kenneth L. Sauder, President &amp; CEO</v>
      </c>
      <c r="N241" s="1146"/>
      <c r="O241" s="1146"/>
      <c r="P241" s="1146"/>
      <c r="Q241" s="1146"/>
      <c r="R241" s="1146"/>
      <c r="S241" s="1146"/>
      <c r="T241" s="1146"/>
      <c r="U241" s="1146"/>
      <c r="V241" s="1146"/>
      <c r="W241" s="1146"/>
      <c r="X241" s="1146"/>
      <c r="Y241" s="1146"/>
      <c r="Z241" s="1146"/>
      <c r="AA241" s="1146"/>
      <c r="AB241" s="1146"/>
      <c r="AC241" s="1146"/>
      <c r="AD241" s="1146"/>
      <c r="AE241" s="1146"/>
      <c r="AH241" s="1125">
        <v>51</v>
      </c>
      <c r="AI241" s="1125"/>
      <c r="AJ241" s="1125"/>
      <c r="AK241" s="1125"/>
      <c r="AL241" s="7"/>
      <c r="AN241" s="7" t="s">
        <v>296</v>
      </c>
      <c r="BA241" s="61"/>
    </row>
    <row r="242" spans="1:53" ht="12.75">
      <c r="A242" s="29"/>
      <c r="B242" s="7"/>
      <c r="C242" s="7"/>
      <c r="D242" s="60" t="s">
        <v>95</v>
      </c>
      <c r="E242" s="7"/>
      <c r="F242" s="7"/>
      <c r="M242" s="1121" t="str">
        <f>M231</f>
        <v>909.771.4462</v>
      </c>
      <c r="N242" s="1121"/>
      <c r="O242" s="1121"/>
      <c r="P242" s="1121"/>
      <c r="Q242" s="1121"/>
      <c r="R242" s="1121"/>
      <c r="S242" s="7" t="s">
        <v>220</v>
      </c>
      <c r="T242" s="7"/>
      <c r="U242" s="1151"/>
      <c r="V242" s="1151"/>
      <c r="W242" s="1151"/>
      <c r="X242" s="7" t="s">
        <v>96</v>
      </c>
      <c r="Z242" s="1121"/>
      <c r="AA242" s="1121"/>
      <c r="AB242" s="1121"/>
      <c r="AC242" s="1121"/>
      <c r="AD242" s="1121"/>
      <c r="AE242" s="1121"/>
      <c r="AN242" s="7" t="s">
        <v>186</v>
      </c>
      <c r="BA242" s="61"/>
    </row>
    <row r="243" spans="1:53" ht="12.75">
      <c r="A243" s="29"/>
      <c r="B243" s="7"/>
      <c r="C243" s="7"/>
      <c r="D243" s="60" t="s">
        <v>97</v>
      </c>
      <c r="E243" s="7"/>
      <c r="F243" s="7"/>
      <c r="M243" s="1314" t="str">
        <f>M232</f>
        <v>sherold@wakelandhdc.com</v>
      </c>
      <c r="N243" s="1314"/>
      <c r="O243" s="1314"/>
      <c r="P243" s="1314"/>
      <c r="Q243" s="1314"/>
      <c r="R243" s="1314"/>
      <c r="S243" s="1314"/>
      <c r="T243" s="1314"/>
      <c r="U243" s="1314"/>
      <c r="V243" s="1314"/>
      <c r="W243" s="1314"/>
      <c r="X243" s="1314"/>
      <c r="Y243" s="1314"/>
      <c r="Z243" s="1314"/>
      <c r="AA243" s="1314"/>
      <c r="AB243" s="1314"/>
      <c r="AC243" s="1314"/>
      <c r="AD243" s="1314"/>
      <c r="AE243" s="1314"/>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21" t="str">
        <f>M227</f>
        <v>Wakeland Housing and Development Corporation</v>
      </c>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7" t="s">
        <v>1662</v>
      </c>
      <c r="N246" s="1316"/>
      <c r="O246" s="1316"/>
      <c r="P246" s="1316"/>
      <c r="Q246" s="1316"/>
      <c r="R246" s="1316"/>
      <c r="S246" s="1316"/>
      <c r="T246" s="1316"/>
      <c r="U246" s="1316"/>
      <c r="V246" s="1316"/>
      <c r="W246" s="1316"/>
      <c r="X246" s="1316"/>
      <c r="Y246" s="1316"/>
      <c r="Z246" s="1316"/>
      <c r="AA246" s="1316"/>
      <c r="AB246" s="1316"/>
      <c r="AC246" s="1316"/>
      <c r="AD246" s="1316"/>
      <c r="AE246" s="1316"/>
      <c r="AF246" s="1316" t="s">
        <v>1663</v>
      </c>
      <c r="AG246" s="1316"/>
      <c r="AH246" s="1316"/>
      <c r="AI246" s="1316"/>
      <c r="AJ246" s="1316"/>
      <c r="AK246" s="1316"/>
      <c r="BA246" s="61"/>
    </row>
    <row r="247" spans="1:53" ht="12.75">
      <c r="A247" s="29"/>
      <c r="B247" s="7"/>
      <c r="C247" s="7"/>
      <c r="D247" s="57" t="s">
        <v>92</v>
      </c>
      <c r="E247" s="57"/>
      <c r="F247" s="57"/>
      <c r="G247" s="57"/>
      <c r="H247" s="57"/>
      <c r="I247" s="57"/>
      <c r="J247" s="57"/>
      <c r="K247" s="57"/>
      <c r="L247" s="7"/>
      <c r="M247" s="1175" t="s">
        <v>1664</v>
      </c>
      <c r="N247" s="1146"/>
      <c r="O247" s="1146"/>
      <c r="P247" s="1146"/>
      <c r="Q247" s="1146"/>
      <c r="R247" s="1146"/>
      <c r="S247" s="1146"/>
      <c r="T247" s="1146"/>
      <c r="U247" s="1146"/>
      <c r="V247" s="1146"/>
      <c r="W247" s="1146"/>
      <c r="X247" s="1146"/>
      <c r="Y247" s="1146"/>
      <c r="Z247" s="1146"/>
      <c r="AA247" s="1146"/>
      <c r="AB247" s="1146"/>
      <c r="AC247" s="1146"/>
      <c r="AD247" s="1146"/>
      <c r="AE247" s="1146"/>
      <c r="AF247" s="58" t="s">
        <v>1419</v>
      </c>
      <c r="AG247" s="743"/>
      <c r="AH247" s="743"/>
      <c r="AI247" s="743"/>
      <c r="AJ247" s="743"/>
      <c r="AK247" s="743"/>
      <c r="AL247" s="7"/>
      <c r="BA247" s="61"/>
    </row>
    <row r="248" spans="1:53" ht="12.75">
      <c r="A248" s="29"/>
      <c r="B248" s="7"/>
      <c r="C248" s="7"/>
      <c r="D248" s="57" t="s">
        <v>631</v>
      </c>
      <c r="E248" s="57"/>
      <c r="M248" s="1175" t="s">
        <v>72</v>
      </c>
      <c r="N248" s="1146"/>
      <c r="O248" s="1146"/>
      <c r="P248" s="1146"/>
      <c r="Q248" s="1146"/>
      <c r="R248" s="1146"/>
      <c r="S248" s="1146"/>
      <c r="T248" s="1146"/>
      <c r="V248" s="59" t="s">
        <v>93</v>
      </c>
      <c r="W248" s="1177" t="s">
        <v>1656</v>
      </c>
      <c r="X248" s="1151"/>
      <c r="Y248" s="57" t="s">
        <v>634</v>
      </c>
      <c r="AC248" s="1146">
        <v>92502</v>
      </c>
      <c r="AD248" s="1146"/>
      <c r="AE248" s="114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75" t="s">
        <v>1665</v>
      </c>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v>49</v>
      </c>
      <c r="AI249" s="1125"/>
      <c r="AJ249" s="1125"/>
      <c r="AK249" s="1125"/>
      <c r="AL249" s="7"/>
      <c r="BA249" s="61"/>
    </row>
    <row r="250" spans="1:53" ht="12.75">
      <c r="A250" s="29"/>
      <c r="B250" s="7"/>
      <c r="C250" s="7"/>
      <c r="D250" s="60" t="s">
        <v>95</v>
      </c>
      <c r="E250" s="7"/>
      <c r="F250" s="7"/>
      <c r="M250" s="1176" t="s">
        <v>1666</v>
      </c>
      <c r="N250" s="1121"/>
      <c r="O250" s="1121"/>
      <c r="P250" s="1121"/>
      <c r="Q250" s="1121"/>
      <c r="R250" s="1121"/>
      <c r="S250" s="7" t="s">
        <v>220</v>
      </c>
      <c r="T250" s="7"/>
      <c r="U250" s="1151"/>
      <c r="V250" s="1151"/>
      <c r="W250" s="1151"/>
      <c r="X250" s="7" t="s">
        <v>96</v>
      </c>
      <c r="Z250" s="1121"/>
      <c r="AA250" s="1121"/>
      <c r="AB250" s="1121"/>
      <c r="AC250" s="1121"/>
      <c r="AD250" s="1121"/>
      <c r="AE250" s="1121"/>
      <c r="BA250" s="61"/>
    </row>
    <row r="251" spans="1:53" ht="12.75" customHeight="1">
      <c r="A251" s="29"/>
      <c r="B251" s="7"/>
      <c r="C251" s="7"/>
      <c r="D251" s="60" t="s">
        <v>97</v>
      </c>
      <c r="E251" s="7"/>
      <c r="F251" s="7"/>
      <c r="M251" s="1314" t="s">
        <v>1667</v>
      </c>
      <c r="N251" s="1314"/>
      <c r="O251" s="1314"/>
      <c r="P251" s="1314"/>
      <c r="Q251" s="1314"/>
      <c r="R251" s="1314"/>
      <c r="S251" s="1314"/>
      <c r="T251" s="1314"/>
      <c r="U251" s="1314"/>
      <c r="V251" s="1314"/>
      <c r="W251" s="1314"/>
      <c r="X251" s="1314"/>
      <c r="Y251" s="1314"/>
      <c r="Z251" s="1314"/>
      <c r="AA251" s="1314"/>
      <c r="AB251" s="1314"/>
      <c r="AC251" s="1314"/>
      <c r="AD251" s="1314"/>
      <c r="AE251" s="131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20" t="s">
        <v>1668</v>
      </c>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6"/>
      <c r="N254" s="1316"/>
      <c r="O254" s="1316"/>
      <c r="P254" s="1316"/>
      <c r="Q254" s="1316"/>
      <c r="R254" s="1316"/>
      <c r="S254" s="1316"/>
      <c r="T254" s="1316"/>
      <c r="U254" s="1316"/>
      <c r="V254" s="1316"/>
      <c r="W254" s="1316"/>
      <c r="X254" s="1316"/>
      <c r="Y254" s="1316"/>
      <c r="Z254" s="1316"/>
      <c r="AA254" s="1316"/>
      <c r="AB254" s="1316"/>
      <c r="AC254" s="1316"/>
      <c r="AD254" s="1316"/>
      <c r="AE254" s="1316"/>
      <c r="AF254" s="1316" t="s">
        <v>329</v>
      </c>
      <c r="AG254" s="1316"/>
      <c r="AH254" s="1316"/>
      <c r="AI254" s="1316"/>
      <c r="AJ254" s="1316"/>
      <c r="AK254" s="1316"/>
      <c r="AL254" s="58"/>
      <c r="BA254" s="61"/>
    </row>
    <row r="255" spans="1:53" ht="12.7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1419</v>
      </c>
      <c r="AG255" s="743"/>
      <c r="AH255" s="743"/>
      <c r="AI255" s="743"/>
      <c r="AJ255" s="743"/>
      <c r="AK255" s="743"/>
      <c r="AL255" s="58"/>
      <c r="BA255" s="61"/>
    </row>
    <row r="256" spans="1:53" ht="12.75">
      <c r="A256" s="23"/>
      <c r="B256" s="7"/>
      <c r="C256" s="7"/>
      <c r="D256" s="57" t="s">
        <v>631</v>
      </c>
      <c r="E256" s="57"/>
      <c r="M256" s="1146"/>
      <c r="N256" s="1146"/>
      <c r="O256" s="1146"/>
      <c r="P256" s="1146"/>
      <c r="Q256" s="1146"/>
      <c r="R256" s="1146"/>
      <c r="S256" s="1146"/>
      <c r="T256" s="1146"/>
      <c r="V256" s="59" t="s">
        <v>93</v>
      </c>
      <c r="W256" s="1151"/>
      <c r="X256" s="1151"/>
      <c r="Y256" s="57" t="s">
        <v>634</v>
      </c>
      <c r="AC256" s="1146"/>
      <c r="AD256" s="1146"/>
      <c r="AE256" s="114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220</v>
      </c>
      <c r="T258" s="7"/>
      <c r="U258" s="1151"/>
      <c r="V258" s="1151"/>
      <c r="W258" s="1151"/>
      <c r="X258" s="7" t="s">
        <v>96</v>
      </c>
      <c r="Z258" s="1121"/>
      <c r="AA258" s="1121"/>
      <c r="AB258" s="1121"/>
      <c r="AC258" s="1121"/>
      <c r="AD258" s="1121"/>
      <c r="AE258" s="1121"/>
      <c r="AL258" s="58"/>
      <c r="BA258" s="61"/>
    </row>
    <row r="259" spans="1:53" ht="12.75">
      <c r="A259" s="23"/>
      <c r="B259" s="7"/>
      <c r="C259" s="7"/>
      <c r="D259" s="60" t="s">
        <v>97</v>
      </c>
      <c r="E259" s="7"/>
      <c r="F259" s="7"/>
      <c r="M259" s="1314"/>
      <c r="N259" s="1314"/>
      <c r="O259" s="1314"/>
      <c r="P259" s="1314"/>
      <c r="Q259" s="1314"/>
      <c r="R259" s="1314"/>
      <c r="S259" s="1314"/>
      <c r="T259" s="1314"/>
      <c r="U259" s="1314"/>
      <c r="V259" s="1314"/>
      <c r="W259" s="1314"/>
      <c r="X259" s="1314"/>
      <c r="Y259" s="1314"/>
      <c r="Z259" s="1314"/>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6" t="s">
        <v>296</v>
      </c>
      <c r="E265" s="1146"/>
      <c r="F265" s="1146"/>
      <c r="G265" s="1146"/>
      <c r="H265" s="1146"/>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6" t="str">
        <f>M227</f>
        <v>Wakeland Housing and Development Corporation</v>
      </c>
      <c r="M269" s="1316"/>
      <c r="N269" s="1316"/>
      <c r="O269" s="1316"/>
      <c r="P269" s="1316"/>
      <c r="Q269" s="1316"/>
      <c r="R269" s="1316"/>
      <c r="S269" s="1316"/>
      <c r="T269" s="1316"/>
      <c r="U269" s="1316"/>
      <c r="V269" s="1316"/>
      <c r="W269" s="1316"/>
      <c r="X269" s="1316"/>
      <c r="Y269" s="1316"/>
      <c r="Z269" s="1316"/>
      <c r="AA269" s="1316"/>
      <c r="AB269" s="1316"/>
      <c r="AC269" s="1316"/>
      <c r="AD269" s="1316"/>
      <c r="AE269" s="1316"/>
      <c r="AF269" s="1316"/>
      <c r="AG269" s="1316"/>
      <c r="AH269" s="1316"/>
      <c r="AI269" s="1316"/>
      <c r="AJ269" s="1316"/>
      <c r="AK269" s="58"/>
      <c r="AL269" s="58"/>
      <c r="BA269" s="61"/>
    </row>
    <row r="270" spans="1:53" ht="12.75" customHeight="1">
      <c r="D270" s="57" t="s">
        <v>92</v>
      </c>
      <c r="E270" s="57"/>
      <c r="F270" s="57"/>
      <c r="G270" s="57"/>
      <c r="H270" s="57"/>
      <c r="I270" s="57"/>
      <c r="J270" s="57"/>
      <c r="K270" s="7"/>
      <c r="L270" s="1146" t="str">
        <f>M239</f>
        <v>1230 Columbia Street, Suite 950</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75">
      <c r="D271" s="57" t="s">
        <v>631</v>
      </c>
      <c r="E271" s="57"/>
      <c r="L271" s="1146" t="str">
        <f>M240</f>
        <v>San Diego</v>
      </c>
      <c r="M271" s="1146"/>
      <c r="N271" s="1146"/>
      <c r="O271" s="1146"/>
      <c r="P271" s="1146"/>
      <c r="Q271" s="1146"/>
      <c r="R271" s="1146"/>
      <c r="S271" s="1146"/>
      <c r="U271" s="59" t="s">
        <v>93</v>
      </c>
      <c r="V271" s="1151" t="str">
        <f>W240</f>
        <v>CA</v>
      </c>
      <c r="W271" s="1151"/>
      <c r="X271" s="57" t="s">
        <v>634</v>
      </c>
      <c r="AB271" s="1146">
        <f>AC240</f>
        <v>92101</v>
      </c>
      <c r="AC271" s="1146"/>
      <c r="AD271" s="1146"/>
      <c r="AK271" s="58"/>
      <c r="AL271" s="58"/>
      <c r="BA271" s="61"/>
    </row>
    <row r="272" spans="1:53" ht="12.75">
      <c r="D272" s="60" t="s">
        <v>94</v>
      </c>
      <c r="E272" s="7"/>
      <c r="F272" s="7"/>
      <c r="G272" s="7"/>
      <c r="H272" s="7"/>
      <c r="I272" s="7"/>
      <c r="J272" s="7"/>
      <c r="K272" s="29"/>
      <c r="L272" s="1175" t="s">
        <v>1670</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75">
      <c r="D273" s="60" t="s">
        <v>95</v>
      </c>
      <c r="E273" s="7"/>
      <c r="F273" s="7"/>
      <c r="L273" s="1176" t="s">
        <v>1657</v>
      </c>
      <c r="M273" s="1121"/>
      <c r="N273" s="1121"/>
      <c r="O273" s="1121"/>
      <c r="P273" s="1121"/>
      <c r="Q273" s="1121"/>
      <c r="R273" s="7" t="s">
        <v>220</v>
      </c>
      <c r="S273" s="7"/>
      <c r="T273" s="1151"/>
      <c r="U273" s="1151"/>
      <c r="V273" s="1151"/>
      <c r="W273" s="7" t="s">
        <v>96</v>
      </c>
      <c r="Y273" s="1121"/>
      <c r="Z273" s="1121"/>
      <c r="AA273" s="1121"/>
      <c r="AB273" s="1121"/>
      <c r="AC273" s="1121"/>
      <c r="AD273" s="1121"/>
      <c r="BA273" s="61"/>
    </row>
    <row r="274" spans="1:53" ht="12.75">
      <c r="D274" s="60" t="s">
        <v>97</v>
      </c>
      <c r="E274" s="7"/>
      <c r="F274" s="7"/>
      <c r="L274" s="1314" t="s">
        <v>1658</v>
      </c>
      <c r="M274" s="1314"/>
      <c r="N274" s="1314"/>
      <c r="O274" s="1314"/>
      <c r="P274" s="1314"/>
      <c r="Q274" s="1314"/>
      <c r="R274" s="1314"/>
      <c r="S274" s="1314"/>
      <c r="T274" s="1314"/>
      <c r="U274" s="1314"/>
      <c r="V274" s="1314"/>
      <c r="W274" s="1314"/>
      <c r="X274" s="1314"/>
      <c r="Y274" s="1314"/>
      <c r="Z274" s="1314"/>
      <c r="AA274" s="1314"/>
      <c r="AB274" s="1314"/>
      <c r="AC274" s="1314"/>
      <c r="AD274" s="1314"/>
      <c r="AF274" s="7"/>
      <c r="AG274" s="7"/>
      <c r="AH274" s="7"/>
      <c r="AI274" s="7"/>
      <c r="AJ274" s="7"/>
      <c r="BA274" s="61"/>
    </row>
    <row r="275" spans="1:53" ht="12.75">
      <c r="D275" s="58" t="s">
        <v>674</v>
      </c>
      <c r="E275" s="58"/>
      <c r="F275" s="58"/>
      <c r="G275" s="58"/>
      <c r="H275" s="58"/>
      <c r="I275" s="58"/>
      <c r="L275" s="1177" t="s">
        <v>1671</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75">
      <c r="L276" s="35" t="s">
        <v>675</v>
      </c>
      <c r="BA276" s="61"/>
    </row>
    <row r="277" spans="1:53" ht="12.75">
      <c r="A277" s="1148" t="s">
        <v>588</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1645</v>
      </c>
      <c r="I282" s="1087"/>
      <c r="J282" s="1087"/>
      <c r="K282" s="1087"/>
      <c r="L282" s="1087"/>
      <c r="M282" s="1087"/>
      <c r="N282" s="1087"/>
      <c r="O282" s="1087"/>
      <c r="P282" s="1087"/>
      <c r="Q282" s="1087"/>
      <c r="R282" s="1087"/>
      <c r="T282" s="58" t="s">
        <v>616</v>
      </c>
      <c r="V282" s="58"/>
      <c r="W282" s="58"/>
      <c r="X282" s="58"/>
      <c r="Y282" s="58"/>
      <c r="AA282" s="1087" t="s">
        <v>1672</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1661</v>
      </c>
      <c r="I283" s="1086"/>
      <c r="J283" s="1086"/>
      <c r="K283" s="1086"/>
      <c r="L283" s="1086"/>
      <c r="M283" s="1086"/>
      <c r="N283" s="1086"/>
      <c r="O283" s="1086"/>
      <c r="P283" s="1086"/>
      <c r="Q283" s="1086"/>
      <c r="R283" s="1086"/>
      <c r="T283" s="58" t="s">
        <v>518</v>
      </c>
      <c r="V283" s="58"/>
      <c r="W283" s="58"/>
      <c r="X283" s="58"/>
      <c r="Y283" s="58"/>
      <c r="AA283" s="1086" t="s">
        <v>1673</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1674</v>
      </c>
      <c r="I284" s="1086"/>
      <c r="J284" s="1086"/>
      <c r="K284" s="1086"/>
      <c r="L284" s="1086"/>
      <c r="M284" s="1086"/>
      <c r="N284" s="1086"/>
      <c r="O284" s="1086"/>
      <c r="P284" s="1086"/>
      <c r="Q284" s="1086"/>
      <c r="R284" s="1086"/>
      <c r="T284" s="58" t="s">
        <v>81</v>
      </c>
      <c r="V284" s="58"/>
      <c r="W284" s="58"/>
      <c r="X284" s="58"/>
      <c r="Y284" s="58"/>
      <c r="AA284" s="1086" t="s">
        <v>1675</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1676</v>
      </c>
      <c r="I285" s="1086"/>
      <c r="J285" s="1086"/>
      <c r="K285" s="1086"/>
      <c r="L285" s="1086"/>
      <c r="M285" s="1086"/>
      <c r="N285" s="1086"/>
      <c r="O285" s="1086"/>
      <c r="P285" s="1086"/>
      <c r="Q285" s="1086"/>
      <c r="R285" s="1086"/>
      <c r="T285" s="58" t="s">
        <v>94</v>
      </c>
      <c r="V285" s="58"/>
      <c r="W285" s="58"/>
      <c r="X285" s="58"/>
      <c r="Y285" s="58"/>
      <c r="AA285" s="1086" t="s">
        <v>1677</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1657</v>
      </c>
      <c r="I286" s="1101"/>
      <c r="J286" s="1101"/>
      <c r="K286" s="1101"/>
      <c r="L286" s="1101"/>
      <c r="M286" s="1101"/>
      <c r="N286" s="7" t="s">
        <v>220</v>
      </c>
      <c r="O286" s="7"/>
      <c r="P286" s="1146"/>
      <c r="Q286" s="1146"/>
      <c r="R286" s="1146"/>
      <c r="S286" s="58"/>
      <c r="T286" s="58" t="s">
        <v>95</v>
      </c>
      <c r="V286" s="58"/>
      <c r="W286" s="58"/>
      <c r="X286" s="58"/>
      <c r="Y286" s="58"/>
      <c r="AA286" s="1100" t="s">
        <v>1678</v>
      </c>
      <c r="AB286" s="1101"/>
      <c r="AC286" s="1101"/>
      <c r="AD286" s="1101"/>
      <c r="AE286" s="1101"/>
      <c r="AF286" s="1101"/>
      <c r="AG286" s="7" t="s">
        <v>220</v>
      </c>
      <c r="AH286" s="7"/>
      <c r="AI286" s="1146"/>
      <c r="AJ286" s="1146"/>
      <c r="AK286" s="1146"/>
      <c r="BA286" s="61"/>
    </row>
    <row r="287" spans="1:53" ht="12.75">
      <c r="B287" s="58" t="s">
        <v>96</v>
      </c>
      <c r="C287" s="58"/>
      <c r="D287" s="58"/>
      <c r="E287" s="58"/>
      <c r="F287" s="58"/>
      <c r="G287" s="58"/>
      <c r="H287" s="1121"/>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75">
      <c r="B288" s="58" t="s">
        <v>82</v>
      </c>
      <c r="C288" s="58"/>
      <c r="D288" s="58"/>
      <c r="E288" s="58"/>
      <c r="F288" s="58"/>
      <c r="G288" s="58"/>
      <c r="H288" s="1086" t="s">
        <v>1658</v>
      </c>
      <c r="I288" s="1086"/>
      <c r="J288" s="1086"/>
      <c r="K288" s="1086"/>
      <c r="L288" s="1086"/>
      <c r="M288" s="1086"/>
      <c r="N288" s="1087"/>
      <c r="O288" s="1087"/>
      <c r="P288" s="1087"/>
      <c r="Q288" s="1087"/>
      <c r="R288" s="1087"/>
      <c r="S288" s="58"/>
      <c r="T288" s="58" t="s">
        <v>82</v>
      </c>
      <c r="V288" s="58"/>
      <c r="W288" s="58"/>
      <c r="X288" s="58"/>
      <c r="Y288" s="58"/>
      <c r="AA288" s="1086" t="s">
        <v>1679</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1680</v>
      </c>
      <c r="I290" s="1087"/>
      <c r="J290" s="1087"/>
      <c r="K290" s="1087"/>
      <c r="L290" s="1087"/>
      <c r="M290" s="1087"/>
      <c r="N290" s="1087"/>
      <c r="O290" s="1087"/>
      <c r="P290" s="1087"/>
      <c r="Q290" s="1087"/>
      <c r="R290" s="1087"/>
      <c r="T290" s="58" t="s">
        <v>388</v>
      </c>
      <c r="V290" s="58"/>
      <c r="W290" s="58"/>
      <c r="X290" s="58"/>
      <c r="Y290" s="58"/>
      <c r="AA290" s="1087" t="s">
        <v>1681</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t="s">
        <v>1682</v>
      </c>
      <c r="I291" s="1086"/>
      <c r="J291" s="1086"/>
      <c r="K291" s="1086"/>
      <c r="L291" s="1086"/>
      <c r="M291" s="1086"/>
      <c r="N291" s="1086"/>
      <c r="O291" s="1086"/>
      <c r="P291" s="1086"/>
      <c r="Q291" s="1086"/>
      <c r="R291" s="1086"/>
      <c r="T291" s="58" t="s">
        <v>518</v>
      </c>
      <c r="V291" s="58"/>
      <c r="W291" s="58"/>
      <c r="X291" s="58"/>
      <c r="Y291" s="58"/>
      <c r="AA291" s="1086" t="s">
        <v>1683</v>
      </c>
      <c r="AB291" s="1086"/>
      <c r="AC291" s="1086"/>
      <c r="AD291" s="1086"/>
      <c r="AE291" s="1086"/>
      <c r="AF291" s="1086"/>
      <c r="AG291" s="1086"/>
      <c r="AH291" s="1086"/>
      <c r="AI291" s="1086"/>
      <c r="AJ291" s="1086"/>
      <c r="AK291" s="1086"/>
      <c r="BA291" s="61"/>
    </row>
    <row r="292" spans="2:53" ht="12.75">
      <c r="B292" s="58" t="s">
        <v>519</v>
      </c>
      <c r="C292" s="58"/>
      <c r="D292" s="58"/>
      <c r="E292" s="58"/>
      <c r="F292" s="58"/>
      <c r="H292" s="1086" t="s">
        <v>1684</v>
      </c>
      <c r="I292" s="1086"/>
      <c r="J292" s="1086"/>
      <c r="K292" s="1086"/>
      <c r="L292" s="1086"/>
      <c r="M292" s="1086"/>
      <c r="N292" s="1086"/>
      <c r="O292" s="1086"/>
      <c r="P292" s="1086"/>
      <c r="Q292" s="1086"/>
      <c r="R292" s="1086"/>
      <c r="T292" s="58" t="s">
        <v>81</v>
      </c>
      <c r="V292" s="58"/>
      <c r="W292" s="58"/>
      <c r="X292" s="58"/>
      <c r="Y292" s="58"/>
      <c r="AA292" s="1086" t="s">
        <v>1685</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1686</v>
      </c>
      <c r="I293" s="1086"/>
      <c r="J293" s="1086"/>
      <c r="K293" s="1086"/>
      <c r="L293" s="1086"/>
      <c r="M293" s="1086"/>
      <c r="N293" s="1086"/>
      <c r="O293" s="1086"/>
      <c r="P293" s="1086"/>
      <c r="Q293" s="1086"/>
      <c r="R293" s="1086"/>
      <c r="T293" s="58" t="s">
        <v>94</v>
      </c>
      <c r="V293" s="58"/>
      <c r="W293" s="58"/>
      <c r="X293" s="58"/>
      <c r="Y293" s="58"/>
      <c r="AA293" s="1086" t="s">
        <v>1687</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1688</v>
      </c>
      <c r="I294" s="1101"/>
      <c r="J294" s="1101"/>
      <c r="K294" s="1101"/>
      <c r="L294" s="1101"/>
      <c r="M294" s="1101"/>
      <c r="N294" s="7" t="s">
        <v>220</v>
      </c>
      <c r="O294" s="7"/>
      <c r="P294" s="1146"/>
      <c r="Q294" s="1146"/>
      <c r="R294" s="1146"/>
      <c r="S294" s="58"/>
      <c r="T294" s="58" t="s">
        <v>95</v>
      </c>
      <c r="V294" s="58"/>
      <c r="W294" s="58"/>
      <c r="X294" s="58"/>
      <c r="Y294" s="58"/>
      <c r="AA294" s="1100" t="s">
        <v>1689</v>
      </c>
      <c r="AB294" s="1101"/>
      <c r="AC294" s="1101"/>
      <c r="AD294" s="1101"/>
      <c r="AE294" s="1101"/>
      <c r="AF294" s="1101"/>
      <c r="AG294" s="7" t="s">
        <v>220</v>
      </c>
      <c r="AH294" s="7"/>
      <c r="AI294" s="1146">
        <v>309</v>
      </c>
      <c r="AJ294" s="1146"/>
      <c r="AK294" s="1146"/>
      <c r="BA294" s="61"/>
    </row>
    <row r="295" spans="2:53" ht="12.75" customHeight="1">
      <c r="B295" s="58" t="s">
        <v>96</v>
      </c>
      <c r="C295" s="58"/>
      <c r="D295" s="58"/>
      <c r="E295" s="58"/>
      <c r="F295" s="58"/>
      <c r="G295" s="58"/>
      <c r="H295" s="1121"/>
      <c r="I295" s="1121"/>
      <c r="J295" s="1121"/>
      <c r="K295" s="1121"/>
      <c r="L295" s="1121"/>
      <c r="M295" s="1121"/>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6" t="s">
        <v>1690</v>
      </c>
      <c r="I296" s="1086"/>
      <c r="J296" s="1086"/>
      <c r="K296" s="1086"/>
      <c r="L296" s="1086"/>
      <c r="M296" s="1086"/>
      <c r="N296" s="1087"/>
      <c r="O296" s="1087"/>
      <c r="P296" s="1087"/>
      <c r="Q296" s="1087"/>
      <c r="R296" s="1087"/>
      <c r="S296" s="58"/>
      <c r="T296" s="58" t="s">
        <v>82</v>
      </c>
      <c r="V296" s="58"/>
      <c r="W296" s="58"/>
      <c r="X296" s="58"/>
      <c r="Y296" s="58"/>
      <c r="AA296" s="1086" t="s">
        <v>1691</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1777</v>
      </c>
      <c r="I298" s="1087"/>
      <c r="J298" s="1087"/>
      <c r="K298" s="1087"/>
      <c r="L298" s="1087"/>
      <c r="M298" s="1087"/>
      <c r="N298" s="1087"/>
      <c r="O298" s="1087"/>
      <c r="P298" s="1087"/>
      <c r="Q298" s="1087"/>
      <c r="R298" s="1087"/>
      <c r="T298" s="7" t="s">
        <v>973</v>
      </c>
      <c r="V298" s="58"/>
      <c r="W298" s="58"/>
      <c r="X298" s="58"/>
      <c r="Y298" s="58"/>
      <c r="AA298" s="1087" t="s">
        <v>1692</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t="s">
        <v>1782</v>
      </c>
      <c r="I299" s="1086"/>
      <c r="J299" s="1086"/>
      <c r="K299" s="1086"/>
      <c r="L299" s="1086"/>
      <c r="M299" s="1086"/>
      <c r="N299" s="1086"/>
      <c r="O299" s="1086"/>
      <c r="P299" s="1086"/>
      <c r="Q299" s="1086"/>
      <c r="R299" s="1086"/>
      <c r="T299" s="58" t="s">
        <v>518</v>
      </c>
      <c r="V299" s="58"/>
      <c r="W299" s="58"/>
      <c r="X299" s="58"/>
      <c r="Y299" s="58"/>
      <c r="AA299" s="1086" t="s">
        <v>1693</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t="s">
        <v>73</v>
      </c>
      <c r="I300" s="1086"/>
      <c r="J300" s="1086"/>
      <c r="K300" s="1086"/>
      <c r="L300" s="1086"/>
      <c r="M300" s="1086"/>
      <c r="N300" s="1086"/>
      <c r="O300" s="1086"/>
      <c r="P300" s="1086"/>
      <c r="Q300" s="1086"/>
      <c r="R300" s="1086"/>
      <c r="T300" s="58" t="s">
        <v>81</v>
      </c>
      <c r="V300" s="58"/>
      <c r="W300" s="58"/>
      <c r="X300" s="58"/>
      <c r="Y300" s="58"/>
      <c r="AA300" s="1086" t="s">
        <v>1685</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t="s">
        <v>1778</v>
      </c>
      <c r="I301" s="1086"/>
      <c r="J301" s="1086"/>
      <c r="K301" s="1086"/>
      <c r="L301" s="1086"/>
      <c r="M301" s="1086"/>
      <c r="N301" s="1086"/>
      <c r="O301" s="1086"/>
      <c r="P301" s="1086"/>
      <c r="Q301" s="1086"/>
      <c r="R301" s="1086"/>
      <c r="T301" s="58" t="s">
        <v>94</v>
      </c>
      <c r="V301" s="58"/>
      <c r="W301" s="58"/>
      <c r="X301" s="58"/>
      <c r="Y301" s="58"/>
      <c r="AA301" s="1086" t="s">
        <v>1694</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1779</v>
      </c>
      <c r="I302" s="1101"/>
      <c r="J302" s="1101"/>
      <c r="K302" s="1101"/>
      <c r="L302" s="1101"/>
      <c r="M302" s="1101"/>
      <c r="N302" s="7" t="s">
        <v>220</v>
      </c>
      <c r="O302" s="7"/>
      <c r="P302" s="1146"/>
      <c r="Q302" s="1146"/>
      <c r="R302" s="1146"/>
      <c r="S302" s="58"/>
      <c r="T302" s="58" t="s">
        <v>95</v>
      </c>
      <c r="V302" s="58"/>
      <c r="W302" s="58"/>
      <c r="X302" s="58"/>
      <c r="Y302" s="58"/>
      <c r="AA302" s="1100" t="s">
        <v>1695</v>
      </c>
      <c r="AB302" s="1101"/>
      <c r="AC302" s="1101"/>
      <c r="AD302" s="1101"/>
      <c r="AE302" s="1101"/>
      <c r="AF302" s="1101"/>
      <c r="AG302" s="7" t="s">
        <v>220</v>
      </c>
      <c r="AH302" s="7"/>
      <c r="AI302" s="1146"/>
      <c r="AJ302" s="1146"/>
      <c r="AK302" s="1146"/>
      <c r="BA302" s="61"/>
    </row>
    <row r="303" spans="2:53" ht="12.75">
      <c r="B303" s="58" t="s">
        <v>96</v>
      </c>
      <c r="C303" s="58"/>
      <c r="D303" s="58"/>
      <c r="E303" s="58"/>
      <c r="F303" s="58"/>
      <c r="G303" s="58"/>
      <c r="H303" s="1176" t="s">
        <v>1780</v>
      </c>
      <c r="I303" s="1121"/>
      <c r="J303" s="1121"/>
      <c r="K303" s="1121"/>
      <c r="L303" s="1121"/>
      <c r="M303" s="1121"/>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086" t="s">
        <v>1781</v>
      </c>
      <c r="I304" s="1086"/>
      <c r="J304" s="1086"/>
      <c r="K304" s="1086"/>
      <c r="L304" s="1086"/>
      <c r="M304" s="1086"/>
      <c r="N304" s="1087"/>
      <c r="O304" s="1087"/>
      <c r="P304" s="1087"/>
      <c r="Q304" s="1087"/>
      <c r="R304" s="1087"/>
      <c r="S304" s="58"/>
      <c r="T304" s="58" t="s">
        <v>82</v>
      </c>
      <c r="V304" s="58"/>
      <c r="W304" s="58"/>
      <c r="X304" s="58"/>
      <c r="Y304" s="58"/>
      <c r="AA304" s="1086" t="s">
        <v>1696</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c r="I306" s="1087"/>
      <c r="J306" s="1087"/>
      <c r="K306" s="1087"/>
      <c r="L306" s="1087"/>
      <c r="M306" s="1087"/>
      <c r="N306" s="1087"/>
      <c r="O306" s="1087"/>
      <c r="P306" s="1087"/>
      <c r="Q306" s="1087"/>
      <c r="R306" s="1087"/>
      <c r="S306" s="58"/>
      <c r="T306" s="58" t="s">
        <v>389</v>
      </c>
      <c r="V306" s="58"/>
      <c r="W306" s="58"/>
      <c r="X306" s="58"/>
      <c r="Y306" s="58"/>
      <c r="AA306" s="1087"/>
      <c r="AB306" s="1087"/>
      <c r="AC306" s="1087"/>
      <c r="AD306" s="1087"/>
      <c r="AE306" s="1087"/>
      <c r="AF306" s="1087"/>
      <c r="AG306" s="1087"/>
      <c r="AH306" s="1087"/>
      <c r="AI306" s="1087"/>
      <c r="AJ306" s="1087"/>
      <c r="AK306" s="1087"/>
      <c r="BA306" s="61"/>
    </row>
    <row r="307" spans="1:53" ht="12.75">
      <c r="B307" s="58" t="s">
        <v>518</v>
      </c>
      <c r="C307" s="58"/>
      <c r="D307" s="58"/>
      <c r="E307" s="58"/>
      <c r="F307" s="58"/>
      <c r="H307" s="1086"/>
      <c r="I307" s="1086"/>
      <c r="J307" s="1086"/>
      <c r="K307" s="1086"/>
      <c r="L307" s="1086"/>
      <c r="M307" s="1086"/>
      <c r="N307" s="1086"/>
      <c r="O307" s="1086"/>
      <c r="P307" s="1086"/>
      <c r="Q307" s="1086"/>
      <c r="R307" s="1086"/>
      <c r="S307" s="58"/>
      <c r="T307" s="58" t="s">
        <v>518</v>
      </c>
      <c r="V307" s="58"/>
      <c r="W307" s="58"/>
      <c r="X307" s="58"/>
      <c r="Y307" s="58"/>
      <c r="AA307" s="1086"/>
      <c r="AB307" s="1086"/>
      <c r="AC307" s="1086"/>
      <c r="AD307" s="1086"/>
      <c r="AE307" s="1086"/>
      <c r="AF307" s="1086"/>
      <c r="AG307" s="1086"/>
      <c r="AH307" s="1086"/>
      <c r="AI307" s="1086"/>
      <c r="AJ307" s="1086"/>
      <c r="AK307" s="1086"/>
      <c r="BA307" s="61"/>
    </row>
    <row r="308" spans="1:53" ht="12.75">
      <c r="B308" s="58" t="s">
        <v>519</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1"/>
      <c r="I310" s="1101"/>
      <c r="J310" s="1101"/>
      <c r="K310" s="1101"/>
      <c r="L310" s="1101"/>
      <c r="M310" s="1101"/>
      <c r="N310" s="7" t="s">
        <v>220</v>
      </c>
      <c r="O310" s="7"/>
      <c r="P310" s="1146"/>
      <c r="Q310" s="1146"/>
      <c r="R310" s="1146"/>
      <c r="S310" s="58"/>
      <c r="T310" s="58" t="s">
        <v>95</v>
      </c>
      <c r="V310" s="58"/>
      <c r="W310" s="58"/>
      <c r="X310" s="58"/>
      <c r="Y310" s="58"/>
      <c r="AA310" s="1101"/>
      <c r="AB310" s="1101"/>
      <c r="AC310" s="1101"/>
      <c r="AD310" s="1101"/>
      <c r="AE310" s="1101"/>
      <c r="AF310" s="1101"/>
      <c r="AG310" s="7" t="s">
        <v>220</v>
      </c>
      <c r="AH310" s="7"/>
      <c r="AI310" s="1146"/>
      <c r="AJ310" s="1146"/>
      <c r="AK310" s="1146"/>
      <c r="BA310" s="61"/>
    </row>
    <row r="311" spans="1:53" ht="12.7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087" t="s">
        <v>1783</v>
      </c>
      <c r="I314" s="1087"/>
      <c r="J314" s="1087"/>
      <c r="K314" s="1087"/>
      <c r="L314" s="1087"/>
      <c r="M314" s="1087"/>
      <c r="N314" s="1087"/>
      <c r="O314" s="1087"/>
      <c r="P314" s="1087"/>
      <c r="Q314" s="1087"/>
      <c r="R314" s="1087"/>
      <c r="T314" s="58" t="s">
        <v>390</v>
      </c>
      <c r="V314" s="58"/>
      <c r="W314" s="58"/>
      <c r="X314" s="58"/>
      <c r="Y314" s="58"/>
      <c r="AA314" s="1087" t="s">
        <v>1697</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t="s">
        <v>1784</v>
      </c>
      <c r="I315" s="1086"/>
      <c r="J315" s="1086"/>
      <c r="K315" s="1086"/>
      <c r="L315" s="1086"/>
      <c r="M315" s="1086"/>
      <c r="N315" s="1086"/>
      <c r="O315" s="1086"/>
      <c r="P315" s="1086"/>
      <c r="Q315" s="1086"/>
      <c r="R315" s="1086"/>
      <c r="T315" s="58" t="s">
        <v>518</v>
      </c>
      <c r="V315" s="58"/>
      <c r="W315" s="58"/>
      <c r="X315" s="58"/>
      <c r="Y315" s="58"/>
      <c r="AA315" s="1086" t="s">
        <v>1698</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t="s">
        <v>791</v>
      </c>
      <c r="I316" s="1086"/>
      <c r="J316" s="1086"/>
      <c r="K316" s="1086"/>
      <c r="L316" s="1086"/>
      <c r="M316" s="1086"/>
      <c r="N316" s="1086"/>
      <c r="O316" s="1086"/>
      <c r="P316" s="1086"/>
      <c r="Q316" s="1086"/>
      <c r="R316" s="1086"/>
      <c r="T316" s="58" t="s">
        <v>81</v>
      </c>
      <c r="V316" s="58"/>
      <c r="W316" s="58"/>
      <c r="X316" s="58"/>
      <c r="Y316" s="58"/>
      <c r="AA316" s="1086" t="s">
        <v>1699</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1785</v>
      </c>
      <c r="I317" s="1086"/>
      <c r="J317" s="1086"/>
      <c r="K317" s="1086"/>
      <c r="L317" s="1086"/>
      <c r="M317" s="1086"/>
      <c r="N317" s="1086"/>
      <c r="O317" s="1086"/>
      <c r="P317" s="1086"/>
      <c r="Q317" s="1086"/>
      <c r="R317" s="1086"/>
      <c r="T317" s="58" t="s">
        <v>94</v>
      </c>
      <c r="V317" s="58"/>
      <c r="W317" s="58"/>
      <c r="X317" s="58"/>
      <c r="Y317" s="58"/>
      <c r="AA317" s="1086" t="s">
        <v>1700</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1786</v>
      </c>
      <c r="I318" s="1101"/>
      <c r="J318" s="1101"/>
      <c r="K318" s="1101"/>
      <c r="L318" s="1101"/>
      <c r="M318" s="1101"/>
      <c r="N318" s="7" t="s">
        <v>220</v>
      </c>
      <c r="O318" s="7"/>
      <c r="P318" s="1146"/>
      <c r="Q318" s="1146"/>
      <c r="R318" s="1146"/>
      <c r="S318" s="58"/>
      <c r="T318" s="58" t="s">
        <v>95</v>
      </c>
      <c r="V318" s="58"/>
      <c r="W318" s="58"/>
      <c r="X318" s="58"/>
      <c r="Y318" s="58"/>
      <c r="AA318" s="1100" t="s">
        <v>1701</v>
      </c>
      <c r="AB318" s="1101"/>
      <c r="AC318" s="1101"/>
      <c r="AD318" s="1101"/>
      <c r="AE318" s="1101"/>
      <c r="AF318" s="1101"/>
      <c r="AG318" s="7" t="s">
        <v>220</v>
      </c>
      <c r="AH318" s="7"/>
      <c r="AI318" s="1146"/>
      <c r="AJ318" s="1146"/>
      <c r="AK318" s="1146"/>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6" t="s">
        <v>1787</v>
      </c>
      <c r="I320" s="1086"/>
      <c r="J320" s="1086"/>
      <c r="K320" s="1086"/>
      <c r="L320" s="1086"/>
      <c r="M320" s="1086"/>
      <c r="N320" s="1087"/>
      <c r="O320" s="1087"/>
      <c r="P320" s="1087"/>
      <c r="Q320" s="1087"/>
      <c r="R320" s="1087"/>
      <c r="S320" s="58"/>
      <c r="T320" s="58" t="s">
        <v>82</v>
      </c>
      <c r="V320" s="58"/>
      <c r="W320" s="58"/>
      <c r="X320" s="58"/>
      <c r="Y320" s="58"/>
      <c r="AA320" s="1086" t="s">
        <v>1702</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tr">
        <f>AA314</f>
        <v>Kinetic Valuation Group</v>
      </c>
      <c r="I322" s="1087"/>
      <c r="J322" s="1087"/>
      <c r="K322" s="1087"/>
      <c r="L322" s="1087"/>
      <c r="M322" s="1087"/>
      <c r="N322" s="1087"/>
      <c r="O322" s="1087"/>
      <c r="P322" s="1087"/>
      <c r="Q322" s="1087"/>
      <c r="R322" s="1087"/>
      <c r="T322" s="58" t="s">
        <v>392</v>
      </c>
      <c r="V322" s="58"/>
      <c r="W322" s="58"/>
      <c r="X322" s="58"/>
      <c r="Y322" s="58"/>
      <c r="AA322" s="1087"/>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6" t="str">
        <f>AA315</f>
        <v>PO Box 68</v>
      </c>
      <c r="I323" s="1086"/>
      <c r="J323" s="1086"/>
      <c r="K323" s="1086"/>
      <c r="L323" s="1086"/>
      <c r="M323" s="1086"/>
      <c r="N323" s="1086"/>
      <c r="O323" s="1086"/>
      <c r="P323" s="1086"/>
      <c r="Q323" s="1086"/>
      <c r="R323" s="1086"/>
      <c r="T323" s="58" t="s">
        <v>518</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tr">
        <f>AA316</f>
        <v>Corona Del Mar, CA</v>
      </c>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t="str">
        <f>AA317</f>
        <v>Jay Wortman, MAI</v>
      </c>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1" t="str">
        <f>AA318</f>
        <v>818.914.1892</v>
      </c>
      <c r="I326" s="1101"/>
      <c r="J326" s="1101"/>
      <c r="K326" s="1101"/>
      <c r="L326" s="1101"/>
      <c r="M326" s="1101"/>
      <c r="N326" s="7" t="s">
        <v>220</v>
      </c>
      <c r="O326" s="7"/>
      <c r="P326" s="1146"/>
      <c r="Q326" s="1146"/>
      <c r="R326" s="1146"/>
      <c r="S326" s="58"/>
      <c r="T326" s="58" t="s">
        <v>95</v>
      </c>
      <c r="V326" s="58"/>
      <c r="W326" s="58"/>
      <c r="X326" s="58"/>
      <c r="Y326" s="58"/>
      <c r="AA326" s="1101"/>
      <c r="AB326" s="1101"/>
      <c r="AC326" s="1101"/>
      <c r="AD326" s="1101"/>
      <c r="AE326" s="1101"/>
      <c r="AF326" s="1101"/>
      <c r="AG326" s="7" t="s">
        <v>220</v>
      </c>
      <c r="AH326" s="7"/>
      <c r="AI326" s="1146"/>
      <c r="AJ326" s="1146"/>
      <c r="AK326" s="1146"/>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6" t="str">
        <f>AA320</f>
        <v>jwortmann@kvgteam.com</v>
      </c>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1703</v>
      </c>
      <c r="I330" s="1087"/>
      <c r="J330" s="1087"/>
      <c r="K330" s="1087"/>
      <c r="L330" s="1087"/>
      <c r="M330" s="1087"/>
      <c r="N330" s="1087"/>
      <c r="O330" s="1087"/>
      <c r="P330" s="1087"/>
      <c r="Q330" s="1087"/>
      <c r="R330" s="1087"/>
      <c r="T330" s="422" t="s">
        <v>982</v>
      </c>
      <c r="V330" s="58"/>
      <c r="W330" s="58"/>
      <c r="X330" s="58"/>
      <c r="Y330" s="58"/>
      <c r="AA330" s="1087" t="s">
        <v>1704</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1705</v>
      </c>
      <c r="I331" s="1086"/>
      <c r="J331" s="1086"/>
      <c r="K331" s="1086"/>
      <c r="L331" s="1086"/>
      <c r="M331" s="1086"/>
      <c r="N331" s="1086"/>
      <c r="O331" s="1086"/>
      <c r="P331" s="1086"/>
      <c r="Q331" s="1086"/>
      <c r="R331" s="1086"/>
      <c r="T331" s="58" t="s">
        <v>518</v>
      </c>
      <c r="V331" s="58"/>
      <c r="W331" s="58"/>
      <c r="X331" s="58"/>
      <c r="Y331" s="58"/>
      <c r="AA331" s="1086" t="s">
        <v>1706</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1707</v>
      </c>
      <c r="I332" s="1086"/>
      <c r="J332" s="1086"/>
      <c r="K332" s="1086"/>
      <c r="L332" s="1086"/>
      <c r="M332" s="1086"/>
      <c r="N332" s="1086"/>
      <c r="O332" s="1086"/>
      <c r="P332" s="1086"/>
      <c r="Q332" s="1086"/>
      <c r="R332" s="1086"/>
      <c r="T332" s="58" t="s">
        <v>81</v>
      </c>
      <c r="V332" s="58"/>
      <c r="W332" s="58"/>
      <c r="X332" s="58"/>
      <c r="Y332" s="58"/>
      <c r="AA332" s="1086" t="s">
        <v>1708</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1709</v>
      </c>
      <c r="I333" s="1086"/>
      <c r="J333" s="1086"/>
      <c r="K333" s="1086"/>
      <c r="L333" s="1086"/>
      <c r="M333" s="1086"/>
      <c r="N333" s="1086"/>
      <c r="O333" s="1086"/>
      <c r="P333" s="1086"/>
      <c r="Q333" s="1086"/>
      <c r="R333" s="1086"/>
      <c r="T333" s="58" t="s">
        <v>94</v>
      </c>
      <c r="V333" s="58"/>
      <c r="W333" s="58"/>
      <c r="X333" s="58"/>
      <c r="Y333" s="58"/>
      <c r="AA333" s="1086" t="s">
        <v>1710</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1711</v>
      </c>
      <c r="I334" s="1101"/>
      <c r="J334" s="1101"/>
      <c r="K334" s="1101"/>
      <c r="L334" s="1101"/>
      <c r="M334" s="1101"/>
      <c r="N334" s="7" t="s">
        <v>220</v>
      </c>
      <c r="O334" s="7"/>
      <c r="P334" s="1146"/>
      <c r="Q334" s="1146"/>
      <c r="R334" s="1146"/>
      <c r="S334" s="58"/>
      <c r="T334" s="58" t="s">
        <v>95</v>
      </c>
      <c r="V334" s="58"/>
      <c r="W334" s="58"/>
      <c r="X334" s="58"/>
      <c r="Y334" s="58"/>
      <c r="AA334" s="1100" t="s">
        <v>1712</v>
      </c>
      <c r="AB334" s="1101"/>
      <c r="AC334" s="1101"/>
      <c r="AD334" s="1101"/>
      <c r="AE334" s="1101"/>
      <c r="AF334" s="1101"/>
      <c r="AG334" s="7" t="s">
        <v>220</v>
      </c>
      <c r="AH334" s="7"/>
      <c r="AI334" s="1146"/>
      <c r="AJ334" s="1146"/>
      <c r="AK334" s="1146"/>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21"/>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6" t="s">
        <v>1713</v>
      </c>
      <c r="I336" s="1086"/>
      <c r="J336" s="1086"/>
      <c r="K336" s="1086"/>
      <c r="L336" s="1086"/>
      <c r="M336" s="1086"/>
      <c r="N336" s="1087"/>
      <c r="O336" s="1087"/>
      <c r="P336" s="1087"/>
      <c r="Q336" s="1087"/>
      <c r="R336" s="1087"/>
      <c r="S336" s="58"/>
      <c r="T336" s="58" t="s">
        <v>82</v>
      </c>
      <c r="V336" s="58"/>
      <c r="W336" s="58"/>
      <c r="X336" s="58"/>
      <c r="Y336" s="58"/>
      <c r="AA336" s="1086" t="s">
        <v>1714</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1"/>
      <c r="AD342" s="1151"/>
      <c r="AE342" s="1151"/>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589</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592</v>
      </c>
      <c r="N350" s="1115"/>
      <c r="P350" s="12" t="s">
        <v>599</v>
      </c>
      <c r="AJ350" s="1115" t="s">
        <v>642</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642</v>
      </c>
      <c r="AK352" s="1115"/>
    </row>
    <row r="353" spans="1:34" ht="12.75" customHeight="1">
      <c r="D353" s="12" t="s">
        <v>767</v>
      </c>
      <c r="M353" s="1115" t="s">
        <v>642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642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1092</v>
      </c>
      <c r="Q360" s="1087" t="s">
        <v>642</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642</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58" t="s">
        <v>768</v>
      </c>
      <c r="F363" s="1558"/>
      <c r="G363" s="1558"/>
      <c r="H363" s="1558"/>
      <c r="I363" s="1558"/>
      <c r="J363" s="1558"/>
      <c r="K363" s="1558"/>
      <c r="L363" s="1558"/>
      <c r="M363" s="1558"/>
      <c r="N363" s="1558"/>
      <c r="O363" s="1558"/>
      <c r="P363" s="1558"/>
      <c r="Q363" s="1558"/>
      <c r="R363" s="1558"/>
      <c r="S363" s="1558"/>
      <c r="T363" s="1558"/>
      <c r="U363" s="1558"/>
      <c r="V363" s="1558"/>
      <c r="W363" s="1558"/>
      <c r="X363" s="1558"/>
      <c r="Y363" s="1558"/>
      <c r="Z363" s="1558"/>
      <c r="AA363" s="1558"/>
      <c r="AB363" s="1558"/>
      <c r="AC363" s="1558"/>
      <c r="AD363" s="1558"/>
      <c r="AE363" s="1558"/>
      <c r="AF363" s="1558"/>
      <c r="AG363" s="1558"/>
      <c r="AH363" s="1558"/>
    </row>
    <row r="364" spans="1:34" ht="12.75" customHeight="1">
      <c r="E364" s="1558"/>
      <c r="F364" s="1558"/>
      <c r="G364" s="1558"/>
      <c r="H364" s="1558"/>
      <c r="I364" s="1558"/>
      <c r="J364" s="1558"/>
      <c r="K364" s="1558"/>
      <c r="L364" s="1558"/>
      <c r="M364" s="1558"/>
      <c r="N364" s="1558"/>
      <c r="O364" s="1558"/>
      <c r="P364" s="1558"/>
      <c r="Q364" s="1558"/>
      <c r="R364" s="1558"/>
      <c r="S364" s="1558"/>
      <c r="T364" s="1558"/>
      <c r="U364" s="1558"/>
      <c r="V364" s="1558"/>
      <c r="W364" s="1558"/>
      <c r="X364" s="1558"/>
      <c r="Y364" s="1558"/>
      <c r="Z364" s="1558"/>
      <c r="AA364" s="1558"/>
      <c r="AB364" s="1558"/>
      <c r="AC364" s="1558"/>
      <c r="AD364" s="1558"/>
      <c r="AE364" s="1558"/>
      <c r="AF364" s="1558"/>
      <c r="AG364" s="1558"/>
      <c r="AH364" s="1558"/>
    </row>
    <row r="365" spans="1:34" ht="12.75" customHeight="1">
      <c r="E365" s="7" t="s">
        <v>493</v>
      </c>
      <c r="F365" s="7"/>
      <c r="G365" s="7"/>
      <c r="H365" s="7"/>
      <c r="I365" s="7"/>
      <c r="J365" s="7"/>
      <c r="K365" s="7"/>
      <c r="L365" s="7"/>
      <c r="N365" s="1135"/>
      <c r="O365" s="1135"/>
      <c r="P365" s="1135"/>
      <c r="Q365" s="1135"/>
      <c r="R365" s="7"/>
      <c r="U365" s="7" t="s">
        <v>494</v>
      </c>
      <c r="V365" s="7"/>
      <c r="W365" s="7"/>
      <c r="X365" s="7"/>
      <c r="Y365" s="7"/>
      <c r="Z365" s="7"/>
      <c r="AA365" s="7"/>
      <c r="AB365" s="7"/>
      <c r="AC365" s="1135"/>
      <c r="AD365" s="1135"/>
      <c r="AE365" s="1135"/>
      <c r="AF365" s="1135"/>
    </row>
    <row r="366" spans="1:34" ht="12.75" customHeight="1">
      <c r="E366" s="7" t="s">
        <v>495</v>
      </c>
      <c r="F366" s="7"/>
      <c r="G366" s="7"/>
      <c r="H366" s="7"/>
      <c r="I366" s="7"/>
      <c r="J366" s="7"/>
      <c r="K366" s="7"/>
      <c r="L366" s="7"/>
      <c r="N366" s="1135"/>
      <c r="O366" s="1135"/>
      <c r="P366" s="1135"/>
      <c r="Q366" s="1135"/>
      <c r="R366" s="7"/>
      <c r="U366" s="7" t="s">
        <v>0</v>
      </c>
      <c r="V366" s="7"/>
      <c r="W366" s="7"/>
      <c r="X366" s="7"/>
      <c r="Y366" s="7"/>
      <c r="Z366" s="7"/>
      <c r="AA366" s="7"/>
      <c r="AB366" s="7"/>
      <c r="AC366" s="1135"/>
      <c r="AD366" s="1135"/>
      <c r="AE366" s="1135"/>
      <c r="AF366" s="1135"/>
    </row>
    <row r="367" spans="1:34" ht="12.75" customHeight="1">
      <c r="E367" s="7" t="s">
        <v>1</v>
      </c>
      <c r="F367" s="7"/>
      <c r="G367" s="7"/>
      <c r="H367" s="7"/>
      <c r="I367" s="7"/>
      <c r="J367" s="7"/>
      <c r="K367" s="7"/>
      <c r="L367" s="7"/>
      <c r="N367" s="1135"/>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7"/>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1127</v>
      </c>
      <c r="F373" s="7"/>
      <c r="G373" s="7"/>
      <c r="H373" s="7"/>
      <c r="I373" s="7"/>
      <c r="J373" s="7"/>
      <c r="K373" s="7"/>
      <c r="L373" s="7"/>
      <c r="N373" s="1114"/>
      <c r="O373" s="1114"/>
      <c r="P373" s="1114"/>
    </row>
    <row r="374" spans="1:38" ht="12.75" customHeight="1">
      <c r="E374" s="399" t="s">
        <v>1129</v>
      </c>
      <c r="F374" s="7"/>
      <c r="G374" s="7"/>
      <c r="H374" s="7"/>
      <c r="I374" s="7"/>
      <c r="J374" s="7"/>
      <c r="K374" s="7"/>
      <c r="L374" s="7"/>
      <c r="AG374" s="1541" t="s">
        <v>642</v>
      </c>
      <c r="AH374" s="1541"/>
    </row>
    <row r="375" spans="1:38" ht="12.75" customHeight="1">
      <c r="E375" s="7"/>
      <c r="F375" s="7"/>
      <c r="G375" s="7" t="s">
        <v>1150</v>
      </c>
      <c r="H375" s="7"/>
      <c r="I375" s="7"/>
      <c r="J375" s="7"/>
      <c r="K375" s="7"/>
      <c r="L375" s="7"/>
      <c r="AG375" s="1541" t="s">
        <v>642</v>
      </c>
      <c r="AH375" s="1541"/>
    </row>
    <row r="376" spans="1:38" ht="12.75" customHeight="1">
      <c r="E376" s="7"/>
      <c r="F376" s="7"/>
      <c r="G376" s="530" t="s">
        <v>1130</v>
      </c>
      <c r="H376" s="7"/>
      <c r="I376" s="7"/>
      <c r="J376" s="7"/>
      <c r="K376" s="7"/>
      <c r="L376" s="7"/>
      <c r="V376" s="1115" t="s">
        <v>642</v>
      </c>
      <c r="W376" s="1115"/>
      <c r="Y376" s="35" t="s">
        <v>1094</v>
      </c>
    </row>
    <row r="377" spans="1:38" ht="12.75" customHeight="1">
      <c r="E377" s="7" t="s">
        <v>1095</v>
      </c>
      <c r="F377" s="7"/>
      <c r="G377" s="7"/>
      <c r="H377" s="7"/>
      <c r="I377" s="7"/>
      <c r="J377" s="7"/>
      <c r="K377" s="7"/>
      <c r="L377" s="7"/>
      <c r="V377" s="1115" t="s">
        <v>642</v>
      </c>
      <c r="W377" s="1115"/>
      <c r="Y377" s="7" t="s">
        <v>1096</v>
      </c>
    </row>
    <row r="378" spans="1:38" ht="12.75" customHeight="1"/>
    <row r="379" spans="1:38" ht="12.75" customHeight="1">
      <c r="A379" s="50" t="s">
        <v>84</v>
      </c>
      <c r="B379" s="50"/>
    </row>
    <row r="380" spans="1:38" ht="12.75" customHeight="1">
      <c r="D380" s="12" t="s">
        <v>463</v>
      </c>
      <c r="J380" s="1087" t="s">
        <v>1668</v>
      </c>
      <c r="K380" s="1087"/>
      <c r="L380" s="1087"/>
      <c r="M380" s="1087"/>
      <c r="N380" s="1087"/>
      <c r="O380" s="1087"/>
      <c r="P380" s="1087"/>
      <c r="Q380" s="1087"/>
      <c r="R380" s="1087"/>
      <c r="S380" s="1087"/>
      <c r="T380" s="1087"/>
      <c r="U380" s="1087"/>
      <c r="V380" s="14" t="s">
        <v>90</v>
      </c>
      <c r="W380" s="14"/>
      <c r="X380" s="14"/>
      <c r="Y380" s="14"/>
      <c r="Z380" s="14"/>
      <c r="AA380" s="14"/>
      <c r="AB380" s="14"/>
      <c r="AC380" s="1087" t="s">
        <v>1715</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6" t="s">
        <v>1715</v>
      </c>
      <c r="K381" s="1086"/>
      <c r="L381" s="1086"/>
      <c r="M381" s="1086"/>
      <c r="N381" s="1086"/>
      <c r="O381" s="1086"/>
      <c r="P381" s="1086"/>
      <c r="Q381" s="1086"/>
      <c r="R381" s="1086"/>
      <c r="S381" s="1086"/>
      <c r="T381" s="1086"/>
      <c r="U381" s="1086"/>
      <c r="V381" s="58" t="s">
        <v>1422</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1716</v>
      </c>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18" t="s">
        <v>1717</v>
      </c>
      <c r="K383" s="1118"/>
      <c r="L383" s="1118"/>
      <c r="M383" s="1118"/>
      <c r="N383" s="1118"/>
      <c r="O383" s="1118"/>
      <c r="P383" s="1118"/>
      <c r="Q383" s="1118"/>
      <c r="R383" s="1118"/>
      <c r="S383" s="1118"/>
      <c r="T383" s="1118"/>
      <c r="U383" s="1118"/>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0">
        <v>43187</v>
      </c>
      <c r="R384" s="1250"/>
      <c r="S384" s="1250"/>
      <c r="T384" s="1250"/>
      <c r="U384" s="1250"/>
      <c r="V384" s="12" t="s">
        <v>331</v>
      </c>
      <c r="AI384" s="1115" t="s">
        <v>723</v>
      </c>
      <c r="AJ384" s="1115"/>
    </row>
    <row r="385" spans="1:38" ht="12.75" customHeight="1">
      <c r="D385" s="12" t="s">
        <v>5</v>
      </c>
      <c r="Q385" s="1412" t="s">
        <v>642</v>
      </c>
      <c r="R385" s="1557"/>
      <c r="S385" s="1557"/>
      <c r="T385" s="1557"/>
      <c r="U385" s="1557"/>
      <c r="W385" s="33" t="s">
        <v>80</v>
      </c>
      <c r="AG385" s="1120"/>
      <c r="AH385" s="1120"/>
      <c r="AI385" s="1120"/>
      <c r="AJ385" s="1120"/>
    </row>
    <row r="386" spans="1:38" ht="12.75" customHeight="1">
      <c r="D386" s="12" t="s">
        <v>462</v>
      </c>
      <c r="Q386" s="1152">
        <v>1000000</v>
      </c>
      <c r="R386" s="1152"/>
      <c r="S386" s="1152"/>
      <c r="T386" s="1152"/>
      <c r="U386" s="1152"/>
      <c r="V386" s="58" t="s">
        <v>1421</v>
      </c>
      <c r="AG386" s="1259">
        <v>43209</v>
      </c>
      <c r="AH386" s="1259"/>
      <c r="AI386" s="1259"/>
      <c r="AJ386" s="1259"/>
    </row>
    <row r="387" spans="1:38" ht="12.75" customHeight="1">
      <c r="D387" s="12" t="s">
        <v>95</v>
      </c>
      <c r="I387" s="1100" t="s">
        <v>1666</v>
      </c>
      <c r="J387" s="1101"/>
      <c r="K387" s="1101"/>
      <c r="L387" s="1101"/>
      <c r="M387" s="1101"/>
      <c r="N387" s="1101"/>
      <c r="Q387" s="57" t="s">
        <v>220</v>
      </c>
      <c r="S387" s="1147"/>
      <c r="T387" s="1147"/>
      <c r="U387" s="1147"/>
      <c r="V387" s="12" t="s">
        <v>79</v>
      </c>
      <c r="AI387" s="1115" t="s">
        <v>723</v>
      </c>
      <c r="AJ387" s="1115"/>
    </row>
    <row r="388" spans="1:38" ht="12.75">
      <c r="D388" s="12" t="s">
        <v>332</v>
      </c>
      <c r="Q388" s="1153">
        <f>AG388/18</f>
        <v>8333.3333333333339</v>
      </c>
      <c r="R388" s="1154"/>
      <c r="S388" s="1154"/>
      <c r="T388" s="1154"/>
      <c r="U388" s="1154"/>
      <c r="V388" s="12" t="s">
        <v>333</v>
      </c>
      <c r="AG388" s="1120">
        <v>150000</v>
      </c>
      <c r="AH388" s="1120"/>
      <c r="AI388" s="1120"/>
      <c r="AJ388" s="1120"/>
    </row>
    <row r="389" spans="1:38" ht="12.75">
      <c r="D389" s="12" t="s">
        <v>334</v>
      </c>
      <c r="Q389" s="1260">
        <v>1.11E-2</v>
      </c>
      <c r="R389" s="1260"/>
      <c r="S389" s="1260"/>
      <c r="T389" s="1260"/>
      <c r="U389" s="1260"/>
      <c r="V389" s="743" t="s">
        <v>1398</v>
      </c>
      <c r="AG389" s="1120">
        <v>0</v>
      </c>
      <c r="AH389" s="1120"/>
      <c r="AI389" s="1120"/>
      <c r="AJ389" s="1120"/>
    </row>
    <row r="390" spans="1:38" ht="12.75">
      <c r="D390" s="743" t="s">
        <v>1397</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75" t="s">
        <v>1718</v>
      </c>
      <c r="J393" s="1175"/>
      <c r="K393" s="1175"/>
      <c r="L393" s="1175"/>
      <c r="M393" s="1175"/>
      <c r="N393" s="1175"/>
      <c r="O393" s="1175"/>
      <c r="P393" s="1175"/>
      <c r="Q393" s="1175"/>
      <c r="R393" s="1175"/>
      <c r="S393" s="1175"/>
      <c r="T393" s="1175"/>
      <c r="U393" s="1175"/>
      <c r="V393" s="1175"/>
      <c r="W393" s="1175"/>
      <c r="X393" s="1175"/>
      <c r="Y393" s="1175"/>
      <c r="Z393" s="1175"/>
      <c r="AA393" s="1175"/>
      <c r="AB393" s="1175"/>
      <c r="AC393" s="1175"/>
      <c r="AD393" s="1175"/>
      <c r="AE393" s="1175"/>
    </row>
    <row r="394" spans="1:38" ht="12.75" customHeight="1">
      <c r="C394" s="25"/>
      <c r="D394" s="25"/>
      <c r="E394" s="12" t="s">
        <v>113</v>
      </c>
      <c r="F394" s="25"/>
      <c r="G394" s="25"/>
      <c r="H394" s="25"/>
      <c r="I394" s="25"/>
      <c r="J394" s="25"/>
      <c r="K394" s="25"/>
      <c r="L394" s="25"/>
      <c r="M394" s="25"/>
      <c r="N394" s="25"/>
      <c r="O394" s="25"/>
      <c r="P394" s="743"/>
      <c r="Q394" s="743"/>
      <c r="R394" s="1115" t="s">
        <v>592</v>
      </c>
      <c r="S394" s="1115"/>
      <c r="T394" s="12" t="s">
        <v>620</v>
      </c>
      <c r="U394" s="743"/>
      <c r="V394" s="743"/>
      <c r="W394" s="743"/>
      <c r="X394" s="743"/>
      <c r="Y394" s="743"/>
      <c r="Z394" s="743"/>
      <c r="AA394" s="743"/>
      <c r="AB394" s="743"/>
      <c r="AC394" s="743"/>
      <c r="AD394" s="1135">
        <v>5</v>
      </c>
      <c r="AE394" s="1135"/>
      <c r="AF394" s="743"/>
    </row>
    <row r="395" spans="1:38" ht="12.75" customHeight="1">
      <c r="C395" s="25"/>
      <c r="E395" s="12" t="s">
        <v>114</v>
      </c>
      <c r="F395" s="743"/>
      <c r="G395" s="743"/>
      <c r="H395" s="743"/>
      <c r="I395" s="743"/>
      <c r="J395" s="743"/>
      <c r="K395" s="743"/>
      <c r="L395" s="743"/>
      <c r="M395" s="743"/>
      <c r="N395" s="25"/>
      <c r="O395" s="25"/>
      <c r="P395" s="743"/>
      <c r="Q395" s="743"/>
      <c r="R395" s="1115" t="s">
        <v>592</v>
      </c>
      <c r="S395" s="1115"/>
      <c r="T395" s="12" t="s">
        <v>620</v>
      </c>
      <c r="U395" s="743"/>
      <c r="V395" s="743"/>
      <c r="W395" s="743"/>
      <c r="X395" s="743"/>
      <c r="Y395" s="743"/>
      <c r="Z395" s="743"/>
      <c r="AA395" s="743"/>
      <c r="AB395" s="743"/>
      <c r="AC395" s="743"/>
      <c r="AD395" s="1135">
        <v>2</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4" t="s">
        <v>357</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4"/>
      <c r="F406" s="1114"/>
      <c r="G406" s="1114"/>
      <c r="H406" s="23" t="s">
        <v>122</v>
      </c>
      <c r="I406" s="1114"/>
      <c r="J406" s="1114"/>
      <c r="K406" s="1114"/>
      <c r="L406" s="12" t="s">
        <v>123</v>
      </c>
      <c r="N406" s="144" t="s">
        <v>626</v>
      </c>
      <c r="P406" s="1267">
        <v>1.45</v>
      </c>
      <c r="Q406" s="1267"/>
      <c r="R406" s="1267"/>
      <c r="S406" s="12" t="s">
        <v>124</v>
      </c>
      <c r="W406" s="1150">
        <f>IF(E406&gt;0,(E406*I406),(P406*43560))</f>
        <v>63162</v>
      </c>
      <c r="X406" s="1150"/>
      <c r="Y406" s="1150"/>
      <c r="Z406" s="12" t="s">
        <v>125</v>
      </c>
      <c r="AF406" s="1267">
        <v>49.665999999999997</v>
      </c>
      <c r="AG406" s="1267"/>
      <c r="AH406" s="1267"/>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643</v>
      </c>
      <c r="B410" s="50"/>
      <c r="C410" s="50"/>
      <c r="D410" s="50" t="s">
        <v>127</v>
      </c>
    </row>
    <row r="411" spans="1:36" ht="12.75">
      <c r="E411" s="12" t="s">
        <v>128</v>
      </c>
      <c r="P411" s="1115">
        <v>4</v>
      </c>
      <c r="Q411" s="1115"/>
      <c r="S411" s="12" t="s">
        <v>203</v>
      </c>
      <c r="AE411" s="1115">
        <v>2</v>
      </c>
      <c r="AF411" s="1115"/>
    </row>
    <row r="412" spans="1:36" ht="12.75">
      <c r="E412" s="12" t="s">
        <v>204</v>
      </c>
      <c r="P412" s="1115">
        <v>2</v>
      </c>
      <c r="Q412" s="1115"/>
      <c r="S412" s="12" t="s">
        <v>138</v>
      </c>
      <c r="AE412" s="1115" t="s">
        <v>642</v>
      </c>
      <c r="AF412" s="1115"/>
    </row>
    <row r="413" spans="1:36" ht="12.75" customHeight="1">
      <c r="F413" s="67" t="s">
        <v>139</v>
      </c>
    </row>
    <row r="414" spans="1:36" ht="12.75" customHeight="1">
      <c r="F414" s="1248" t="s">
        <v>1719</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5" t="s">
        <v>592</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642</v>
      </c>
      <c r="AG417" s="1131"/>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642</v>
      </c>
      <c r="AA421" s="1115"/>
    </row>
    <row r="422" spans="1:96" ht="12.75" customHeight="1"/>
    <row r="423" spans="1:96" ht="12.75" customHeight="1">
      <c r="A423" s="50" t="s">
        <v>514</v>
      </c>
      <c r="B423" s="50"/>
      <c r="C423" s="50"/>
      <c r="D423" s="50" t="s">
        <v>843</v>
      </c>
      <c r="AF423" s="80"/>
    </row>
    <row r="424" spans="1:96" ht="12.75" customHeight="1">
      <c r="D424" s="1162"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2">
        <v>72</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4">
        <v>0</v>
      </c>
      <c r="AH425" s="1275"/>
      <c r="AI425" s="1275"/>
      <c r="AJ425" s="1275"/>
    </row>
    <row r="426" spans="1:96" ht="12.75" customHeight="1">
      <c r="D426" s="1136" t="s">
        <v>1184</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71</v>
      </c>
      <c r="AH426" s="1132"/>
      <c r="AI426" s="1132"/>
      <c r="AJ426" s="1132"/>
    </row>
    <row r="427" spans="1:96" ht="12.75" customHeight="1">
      <c r="D427" s="1136" t="s">
        <v>1185</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71</v>
      </c>
      <c r="AH427" s="1132"/>
      <c r="AI427" s="1132"/>
      <c r="AJ427" s="1132"/>
    </row>
    <row r="428" spans="1:96" ht="12.75" customHeight="1">
      <c r="D428" s="1136" t="s">
        <v>1187</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1186</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v>59400</v>
      </c>
      <c r="AH429" s="1133"/>
      <c r="AI429" s="1133"/>
      <c r="AJ429" s="1133"/>
    </row>
    <row r="430" spans="1:96" ht="12.75" customHeight="1">
      <c r="D430" s="1136" t="s">
        <v>1188</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v>59400</v>
      </c>
      <c r="AH430" s="1133"/>
      <c r="AI430" s="1133"/>
      <c r="AJ430" s="1133"/>
    </row>
    <row r="431" spans="1:96" ht="12.75" customHeight="1">
      <c r="D431" s="1136" t="s">
        <v>1189</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1190</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6"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3">
        <v>1400</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2"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3">
        <v>8802</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3">
        <v>6860</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1191</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3">
        <v>9800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3" t="s">
        <v>1192</v>
      </c>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5"/>
      <c r="AG437" s="1299">
        <f>AG429+AG433+AG435+AG436</f>
        <v>77460</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6" t="s">
        <v>1463</v>
      </c>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c r="AA438" s="1166"/>
      <c r="AB438" s="1166"/>
      <c r="AC438" s="1166"/>
      <c r="AD438" s="1166"/>
      <c r="AE438" s="1166"/>
      <c r="AF438" s="1166"/>
      <c r="AG438" s="1166"/>
      <c r="AH438" s="1166"/>
      <c r="AI438" s="1166"/>
      <c r="AJ438" s="11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7"/>
      <c r="E439" s="1167"/>
      <c r="F439" s="1167"/>
      <c r="G439" s="1167"/>
      <c r="H439" s="1167"/>
      <c r="I439" s="1167"/>
      <c r="J439" s="1167"/>
      <c r="K439" s="1167"/>
      <c r="L439" s="1167"/>
      <c r="M439" s="1167"/>
      <c r="N439" s="1167"/>
      <c r="O439" s="1167"/>
      <c r="P439" s="1167"/>
      <c r="Q439" s="1167"/>
      <c r="R439" s="1167"/>
      <c r="S439" s="1167"/>
      <c r="T439" s="1167"/>
      <c r="U439" s="1167"/>
      <c r="V439" s="1167"/>
      <c r="W439" s="1167"/>
      <c r="X439" s="1167"/>
      <c r="Y439" s="1167"/>
      <c r="Z439" s="1167"/>
      <c r="AA439" s="1167"/>
      <c r="AB439" s="1167"/>
      <c r="AC439" s="1167"/>
      <c r="AD439" s="1167"/>
      <c r="AE439" s="1167"/>
      <c r="AF439" s="1167"/>
      <c r="AG439" s="1167"/>
      <c r="AH439" s="1167"/>
      <c r="AI439" s="1167"/>
      <c r="AJ439" s="11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616663.35416666663</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580826.88888888888</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532535.63611111103</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7">
        <v>11</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7" t="s">
        <v>642</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6" t="s">
        <v>1776</v>
      </c>
      <c r="H459" s="1297"/>
      <c r="I459" s="1297"/>
      <c r="J459" s="1297"/>
      <c r="K459" s="1297"/>
      <c r="L459" s="1297"/>
      <c r="M459" s="1297"/>
      <c r="N459" s="1297"/>
      <c r="O459" s="1297"/>
      <c r="P459" s="1297"/>
      <c r="Q459" s="1297"/>
      <c r="R459" s="1297"/>
      <c r="S459" s="1297"/>
      <c r="T459" s="1297"/>
      <c r="U459" s="1297"/>
      <c r="V459" s="1298"/>
      <c r="W459" s="1227">
        <v>11</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69"/>
      <c r="X463" s="1169"/>
      <c r="Y463" s="11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893</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894</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9">
        <v>0</v>
      </c>
      <c r="U474" s="1159"/>
      <c r="V474" s="1159"/>
      <c r="W474" s="1159"/>
      <c r="X474" s="1159"/>
      <c r="Y474" s="1159">
        <v>0</v>
      </c>
      <c r="Z474" s="1159"/>
      <c r="AA474" s="1159"/>
      <c r="AB474" s="1159"/>
      <c r="AC474" s="1159"/>
      <c r="AD474" s="1159">
        <v>43028</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9">
        <v>0</v>
      </c>
      <c r="U475" s="1159"/>
      <c r="V475" s="1159"/>
      <c r="W475" s="1159"/>
      <c r="X475" s="1159"/>
      <c r="Y475" s="1159">
        <v>0</v>
      </c>
      <c r="Z475" s="1159"/>
      <c r="AA475" s="1159"/>
      <c r="AB475" s="1159"/>
      <c r="AC475" s="1159"/>
      <c r="AD475" s="1159">
        <v>43102</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9">
        <v>0</v>
      </c>
      <c r="U476" s="1159"/>
      <c r="V476" s="1159"/>
      <c r="W476" s="1159"/>
      <c r="X476" s="1159"/>
      <c r="Y476" s="1159">
        <v>0</v>
      </c>
      <c r="Z476" s="1159"/>
      <c r="AA476" s="1159"/>
      <c r="AB476" s="1159"/>
      <c r="AC476" s="1159"/>
      <c r="AD476" s="1159"/>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9">
        <v>0</v>
      </c>
      <c r="U477" s="1159"/>
      <c r="V477" s="1159"/>
      <c r="W477" s="1159"/>
      <c r="X477" s="1159"/>
      <c r="Y477" s="1159">
        <v>0</v>
      </c>
      <c r="Z477" s="1159"/>
      <c r="AA477" s="1159"/>
      <c r="AB477" s="1159"/>
      <c r="AC477" s="1159"/>
      <c r="AD477" s="1159"/>
      <c r="AE477" s="1159"/>
      <c r="AF477" s="1159"/>
      <c r="AG477" s="1159"/>
      <c r="AH477" s="115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9">
        <v>0</v>
      </c>
      <c r="U478" s="1159"/>
      <c r="V478" s="1159"/>
      <c r="W478" s="1159"/>
      <c r="X478" s="1159"/>
      <c r="Y478" s="1159">
        <v>0</v>
      </c>
      <c r="Z478" s="1159"/>
      <c r="AA478" s="1159"/>
      <c r="AB478" s="1159"/>
      <c r="AC478" s="1159"/>
      <c r="AD478" s="1159">
        <v>0</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9">
        <v>0</v>
      </c>
      <c r="U479" s="1159"/>
      <c r="V479" s="1159"/>
      <c r="W479" s="1159"/>
      <c r="X479" s="1159"/>
      <c r="Y479" s="1159">
        <v>0</v>
      </c>
      <c r="Z479" s="1159"/>
      <c r="AA479" s="1159"/>
      <c r="AB479" s="1159"/>
      <c r="AC479" s="1159"/>
      <c r="AD479" s="1159">
        <v>43503</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9">
        <v>0</v>
      </c>
      <c r="U480" s="1159"/>
      <c r="V480" s="1159"/>
      <c r="W480" s="1159"/>
      <c r="X480" s="1159"/>
      <c r="Y480" s="1159">
        <v>0</v>
      </c>
      <c r="Z480" s="1159"/>
      <c r="AA480" s="1159"/>
      <c r="AB480" s="1159"/>
      <c r="AC480" s="1159"/>
      <c r="AD480" s="1159"/>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9">
        <v>0</v>
      </c>
      <c r="U481" s="1159"/>
      <c r="V481" s="1159"/>
      <c r="W481" s="1159"/>
      <c r="X481" s="1159"/>
      <c r="Y481" s="1159">
        <v>0</v>
      </c>
      <c r="Z481" s="1159"/>
      <c r="AA481" s="1159"/>
      <c r="AB481" s="1159"/>
      <c r="AC481" s="1159"/>
      <c r="AD481" s="1159">
        <v>0</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9">
        <v>0</v>
      </c>
      <c r="U482" s="1159"/>
      <c r="V482" s="1159"/>
      <c r="W482" s="1159"/>
      <c r="X482" s="1159"/>
      <c r="Y482" s="1159">
        <v>0</v>
      </c>
      <c r="Z482" s="1159"/>
      <c r="AA482" s="1159"/>
      <c r="AB482" s="1159"/>
      <c r="AC482" s="1159"/>
      <c r="AD482" s="1159">
        <v>0</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59">
        <v>0</v>
      </c>
      <c r="U483" s="1159"/>
      <c r="V483" s="1159"/>
      <c r="W483" s="1159"/>
      <c r="X483" s="1159"/>
      <c r="Y483" s="1159">
        <v>0</v>
      </c>
      <c r="Z483" s="1159"/>
      <c r="AA483" s="1159"/>
      <c r="AB483" s="1159"/>
      <c r="AC483" s="1159"/>
      <c r="AD483" s="1159">
        <v>43026</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0" t="s">
        <v>1720</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0" t="s">
        <v>1721</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0" t="str">
        <f>Q487</f>
        <v>DSP-RC-CR 60du/ac max</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3"/>
      <c r="C490" s="1344"/>
      <c r="D490" s="1344"/>
      <c r="E490" s="1344"/>
      <c r="F490" s="1344"/>
      <c r="G490" s="1344"/>
      <c r="H490" s="1344"/>
      <c r="I490" s="1344"/>
      <c r="J490" s="1344"/>
      <c r="K490" s="1344"/>
      <c r="L490" s="1344"/>
      <c r="M490" s="1344"/>
      <c r="N490" s="1344"/>
      <c r="O490" s="1344"/>
      <c r="P490" s="1345"/>
      <c r="Q490" s="1349" t="s">
        <v>723</v>
      </c>
      <c r="R490" s="1350"/>
      <c r="S490" s="1581" t="s">
        <v>173</v>
      </c>
      <c r="T490" s="1582"/>
      <c r="U490" s="1582"/>
      <c r="V490" s="1582"/>
      <c r="W490" s="1582"/>
      <c r="X490" s="1582"/>
      <c r="Y490" s="1582"/>
      <c r="Z490" s="1582"/>
      <c r="AA490" s="1582"/>
      <c r="AB490" s="1582"/>
      <c r="AC490" s="1582"/>
      <c r="AD490" s="1582"/>
      <c r="AE490" s="1582"/>
      <c r="AF490" s="1582"/>
      <c r="AG490" s="1582"/>
      <c r="AH490" s="1582"/>
      <c r="AI490" s="1582"/>
      <c r="AJ490" s="1582"/>
      <c r="AK490" s="158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584"/>
      <c r="T491" s="1585"/>
      <c r="U491" s="1585"/>
      <c r="V491" s="1585"/>
      <c r="W491" s="1585"/>
      <c r="X491" s="1585"/>
      <c r="Y491" s="1585"/>
      <c r="Z491" s="1585"/>
      <c r="AA491" s="1585"/>
      <c r="AB491" s="1585"/>
      <c r="AC491" s="1585"/>
      <c r="AD491" s="1585"/>
      <c r="AE491" s="1585"/>
      <c r="AF491" s="1585"/>
      <c r="AG491" s="1585"/>
      <c r="AH491" s="1585"/>
      <c r="AI491" s="1585"/>
      <c r="AJ491" s="1585"/>
      <c r="AK491" s="158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0">
        <v>50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0" t="s">
        <v>1722</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68">
        <v>10</v>
      </c>
      <c r="AD500" s="1135"/>
      <c r="AE500" s="1135"/>
      <c r="AF500" s="1135"/>
      <c r="AG500" s="75" t="s">
        <v>438</v>
      </c>
      <c r="AH500" s="1118">
        <v>2017</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68">
        <v>4</v>
      </c>
      <c r="AD501" s="1135"/>
      <c r="AE501" s="1135"/>
      <c r="AF501" s="1135"/>
      <c r="AG501" s="65" t="s">
        <v>438</v>
      </c>
      <c r="AH501" s="1118">
        <v>2018</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68" t="s">
        <v>642</v>
      </c>
      <c r="AD502" s="1135"/>
      <c r="AE502" s="1135"/>
      <c r="AF502" s="1135"/>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68" t="s">
        <v>642</v>
      </c>
      <c r="AD503" s="1135"/>
      <c r="AE503" s="1135"/>
      <c r="AF503" s="1135"/>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68">
        <v>10</v>
      </c>
      <c r="AD504" s="1135"/>
      <c r="AE504" s="1135"/>
      <c r="AF504" s="1135"/>
      <c r="AG504" s="75" t="s">
        <v>438</v>
      </c>
      <c r="AH504" s="1118">
        <v>2017</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68">
        <v>6</v>
      </c>
      <c r="AD505" s="1135"/>
      <c r="AE505" s="1135"/>
      <c r="AF505" s="1135"/>
      <c r="AG505" s="75" t="s">
        <v>438</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68">
        <v>7</v>
      </c>
      <c r="AD506" s="1135"/>
      <c r="AE506" s="1135"/>
      <c r="AF506" s="1135"/>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68">
        <v>11</v>
      </c>
      <c r="AD507" s="1135"/>
      <c r="AE507" s="1135"/>
      <c r="AF507" s="1135"/>
      <c r="AG507" s="75" t="s">
        <v>438</v>
      </c>
      <c r="AH507" s="1118">
        <v>2019</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68">
        <v>11</v>
      </c>
      <c r="AD508" s="1135"/>
      <c r="AE508" s="1135"/>
      <c r="AF508" s="1135"/>
      <c r="AG508" s="75" t="s">
        <v>438</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68">
        <v>7</v>
      </c>
      <c r="AD509" s="1135"/>
      <c r="AE509" s="1135"/>
      <c r="AF509" s="1135"/>
      <c r="AG509" s="65" t="s">
        <v>438</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1">
        <v>11</v>
      </c>
      <c r="AD510" s="1262"/>
      <c r="AE510" s="1262"/>
      <c r="AF510" s="1262"/>
      <c r="AG510" s="204" t="s">
        <v>438</v>
      </c>
      <c r="AH510" s="1118">
        <v>2019</v>
      </c>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68">
        <v>11</v>
      </c>
      <c r="AD511" s="1135"/>
      <c r="AE511" s="1135"/>
      <c r="AF511" s="1135"/>
      <c r="AG511" s="75" t="s">
        <v>438</v>
      </c>
      <c r="AH511" s="1118">
        <v>2019</v>
      </c>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452</v>
      </c>
      <c r="J512" s="80"/>
      <c r="K512" s="80"/>
      <c r="L512" s="80"/>
      <c r="M512" s="80"/>
      <c r="N512" s="80"/>
      <c r="O512" s="80"/>
      <c r="P512" s="80"/>
      <c r="Q512" s="80"/>
      <c r="R512" s="80"/>
      <c r="S512" s="80"/>
      <c r="T512" s="80"/>
      <c r="U512" s="80"/>
      <c r="V512" s="80"/>
      <c r="W512" s="80"/>
      <c r="X512" s="80"/>
      <c r="Y512" s="80"/>
      <c r="Z512" s="80"/>
      <c r="AA512" s="80"/>
      <c r="AB512" s="80"/>
      <c r="AC512" s="1168">
        <v>7</v>
      </c>
      <c r="AD512" s="1135"/>
      <c r="AE512" s="1135"/>
      <c r="AF512" s="1135"/>
      <c r="AG512" s="65" t="s">
        <v>438</v>
      </c>
      <c r="AH512" s="1118">
        <v>2020</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6" t="s">
        <v>1723</v>
      </c>
      <c r="P513" s="1086"/>
      <c r="Q513" s="1086"/>
      <c r="R513" s="1086"/>
      <c r="S513" s="1086"/>
      <c r="T513" s="1086"/>
      <c r="U513" s="1086"/>
      <c r="V513" s="1086"/>
      <c r="W513" s="1086"/>
      <c r="X513" s="1086"/>
      <c r="Y513" s="1086"/>
      <c r="Z513" s="1086"/>
      <c r="AA513" s="1086"/>
      <c r="AB513" s="94"/>
      <c r="AC513" s="1261" t="s">
        <v>642</v>
      </c>
      <c r="AD513" s="1262"/>
      <c r="AE513" s="1262"/>
      <c r="AF513" s="1262"/>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68">
        <v>10</v>
      </c>
      <c r="AD514" s="1135"/>
      <c r="AE514" s="1135"/>
      <c r="AF514" s="1135"/>
      <c r="AG514" s="75" t="s">
        <v>438</v>
      </c>
      <c r="AH514" s="1118">
        <v>2017</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68">
        <v>3</v>
      </c>
      <c r="AD515" s="1135"/>
      <c r="AE515" s="1135"/>
      <c r="AF515" s="1135"/>
      <c r="AG515" s="65" t="s">
        <v>438</v>
      </c>
      <c r="AH515" s="1118">
        <v>2018</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7" t="s">
        <v>1724</v>
      </c>
      <c r="P516" s="1087"/>
      <c r="Q516" s="1087"/>
      <c r="R516" s="1087"/>
      <c r="S516" s="1087"/>
      <c r="T516" s="1087"/>
      <c r="U516" s="1087"/>
      <c r="V516" s="1087"/>
      <c r="W516" s="1087"/>
      <c r="X516" s="1087"/>
      <c r="Y516" s="1087"/>
      <c r="Z516" s="1087"/>
      <c r="AA516" s="1087"/>
      <c r="AC516" s="1168" t="s">
        <v>642</v>
      </c>
      <c r="AD516" s="1135"/>
      <c r="AE516" s="1135"/>
      <c r="AF516" s="1135"/>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68">
        <v>7</v>
      </c>
      <c r="AD517" s="1135"/>
      <c r="AE517" s="1135"/>
      <c r="AF517" s="1135"/>
      <c r="AG517" s="75" t="s">
        <v>438</v>
      </c>
      <c r="AH517" s="1118">
        <v>2018</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68">
        <v>11</v>
      </c>
      <c r="AD518" s="1135"/>
      <c r="AE518" s="1135"/>
      <c r="AF518" s="1135"/>
      <c r="AG518" s="65" t="s">
        <v>438</v>
      </c>
      <c r="AH518" s="1118">
        <v>2018</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175" t="s">
        <v>1800</v>
      </c>
      <c r="P519" s="1087"/>
      <c r="Q519" s="1087"/>
      <c r="R519" s="1087"/>
      <c r="S519" s="1087"/>
      <c r="T519" s="1087"/>
      <c r="U519" s="1087"/>
      <c r="V519" s="1087"/>
      <c r="W519" s="1087"/>
      <c r="X519" s="1087"/>
      <c r="Y519" s="1087"/>
      <c r="Z519" s="1087"/>
      <c r="AA519" s="1087"/>
      <c r="AC519" s="1168" t="s">
        <v>642</v>
      </c>
      <c r="AD519" s="1135"/>
      <c r="AE519" s="1135"/>
      <c r="AF519" s="1135"/>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68">
        <v>2</v>
      </c>
      <c r="AD520" s="1135"/>
      <c r="AE520" s="1135"/>
      <c r="AF520" s="1135"/>
      <c r="AG520" s="75" t="s">
        <v>438</v>
      </c>
      <c r="AH520" s="1118">
        <v>2018</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68">
        <v>7</v>
      </c>
      <c r="AD521" s="1135"/>
      <c r="AE521" s="1135"/>
      <c r="AF521" s="1135"/>
      <c r="AG521" s="65" t="s">
        <v>438</v>
      </c>
      <c r="AH521" s="1118">
        <v>2018</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7" t="s">
        <v>1725</v>
      </c>
      <c r="P522" s="1087"/>
      <c r="Q522" s="1087"/>
      <c r="R522" s="1087"/>
      <c r="S522" s="1087"/>
      <c r="T522" s="1087"/>
      <c r="U522" s="1087"/>
      <c r="V522" s="1087"/>
      <c r="W522" s="1087"/>
      <c r="X522" s="1087"/>
      <c r="Y522" s="1087"/>
      <c r="Z522" s="1087"/>
      <c r="AA522" s="1087"/>
      <c r="AC522" s="1168" t="s">
        <v>642</v>
      </c>
      <c r="AD522" s="1135"/>
      <c r="AE522" s="1135"/>
      <c r="AF522" s="1135"/>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68">
        <v>1</v>
      </c>
      <c r="AD523" s="1135"/>
      <c r="AE523" s="1135"/>
      <c r="AF523" s="1135"/>
      <c r="AG523" s="75" t="s">
        <v>438</v>
      </c>
      <c r="AH523" s="1118">
        <v>2019</v>
      </c>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68">
        <v>6</v>
      </c>
      <c r="AD524" s="1135"/>
      <c r="AE524" s="1135"/>
      <c r="AF524" s="1135"/>
      <c r="AG524" s="65" t="s">
        <v>438</v>
      </c>
      <c r="AH524" s="1118">
        <v>2019</v>
      </c>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68" t="s">
        <v>642</v>
      </c>
      <c r="AD525" s="1135"/>
      <c r="AE525" s="1135"/>
      <c r="AF525" s="1135"/>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68" t="s">
        <v>642</v>
      </c>
      <c r="AD526" s="1135"/>
      <c r="AE526" s="1135"/>
      <c r="AF526" s="1135"/>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68" t="s">
        <v>642</v>
      </c>
      <c r="AD527" s="1135"/>
      <c r="AE527" s="1135"/>
      <c r="AF527" s="1135"/>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68" t="s">
        <v>642</v>
      </c>
      <c r="AD528" s="1135"/>
      <c r="AE528" s="1135"/>
      <c r="AF528" s="1135"/>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68" t="s">
        <v>642</v>
      </c>
      <c r="AD529" s="1135"/>
      <c r="AE529" s="1135"/>
      <c r="AF529" s="1135"/>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68" t="s">
        <v>642</v>
      </c>
      <c r="AD530" s="1135"/>
      <c r="AE530" s="1135"/>
      <c r="AF530" s="1135"/>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68">
        <v>12</v>
      </c>
      <c r="AD531" s="1135"/>
      <c r="AE531" s="1135"/>
      <c r="AF531" s="1135"/>
      <c r="AG531" s="65" t="s">
        <v>438</v>
      </c>
      <c r="AH531" s="1118">
        <v>2020</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68">
        <v>7</v>
      </c>
      <c r="AD532" s="1135"/>
      <c r="AE532" s="1135"/>
      <c r="AF532" s="1135"/>
      <c r="AG532" s="75" t="s">
        <v>438</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68">
        <v>3</v>
      </c>
      <c r="AD533" s="1135"/>
      <c r="AE533" s="1135"/>
      <c r="AF533" s="1135"/>
      <c r="AG533" s="65" t="s">
        <v>438</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68">
        <v>4</v>
      </c>
      <c r="AD534" s="1135"/>
      <c r="AE534" s="1135"/>
      <c r="AF534" s="1135"/>
      <c r="AG534" s="65" t="s">
        <v>438</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496</v>
      </c>
      <c r="J535" s="80"/>
      <c r="K535" s="80"/>
      <c r="L535" s="80"/>
      <c r="M535" s="80"/>
      <c r="N535" s="80"/>
      <c r="O535" s="80"/>
      <c r="P535" s="80"/>
      <c r="Q535" s="80"/>
      <c r="R535" s="80"/>
      <c r="S535" s="80"/>
      <c r="T535" s="80"/>
      <c r="U535" s="80"/>
      <c r="V535" s="80"/>
      <c r="W535" s="80"/>
      <c r="X535" s="80"/>
      <c r="Y535" s="80"/>
      <c r="Z535" s="80"/>
      <c r="AA535" s="80"/>
      <c r="AB535" s="80"/>
      <c r="AC535" s="1168">
        <v>6</v>
      </c>
      <c r="AD535" s="1135"/>
      <c r="AE535" s="1135"/>
      <c r="AF535" s="1135"/>
      <c r="AG535" s="65" t="s">
        <v>438</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498</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499</v>
      </c>
      <c r="V544" s="1127"/>
      <c r="W544" s="1127"/>
      <c r="X544" s="1127"/>
      <c r="Y544" s="1128"/>
      <c r="Z544" s="1306" t="s">
        <v>1424</v>
      </c>
      <c r="AA544" s="1307"/>
      <c r="AB544" s="1307"/>
      <c r="AC544" s="1307"/>
      <c r="AD544" s="1308"/>
      <c r="AE544" s="1126" t="s">
        <v>500</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7" t="s">
        <v>1723</v>
      </c>
      <c r="D545" s="1151"/>
      <c r="E545" s="1151"/>
      <c r="F545" s="1151"/>
      <c r="G545" s="1151"/>
      <c r="H545" s="1151"/>
      <c r="I545" s="1151"/>
      <c r="J545" s="1151"/>
      <c r="K545" s="1151"/>
      <c r="L545" s="1151"/>
      <c r="M545" s="1151"/>
      <c r="N545" s="1151"/>
      <c r="O545" s="1178"/>
      <c r="P545" s="1117">
        <v>24</v>
      </c>
      <c r="Q545" s="1118"/>
      <c r="R545" s="1118"/>
      <c r="S545" s="1118"/>
      <c r="T545" s="1119"/>
      <c r="U545" s="1171">
        <v>0.03</v>
      </c>
      <c r="V545" s="1172"/>
      <c r="W545" s="1172"/>
      <c r="X545" s="1172"/>
      <c r="Y545" s="1173"/>
      <c r="Z545" s="1129" t="s">
        <v>1726</v>
      </c>
      <c r="AA545" s="1129"/>
      <c r="AB545" s="1129"/>
      <c r="AC545" s="1129"/>
      <c r="AD545" s="1130"/>
      <c r="AE545" s="1202">
        <v>3000000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7" t="s">
        <v>1792</v>
      </c>
      <c r="D546" s="1151"/>
      <c r="E546" s="1151"/>
      <c r="F546" s="1151"/>
      <c r="G546" s="1151"/>
      <c r="H546" s="1151"/>
      <c r="I546" s="1151"/>
      <c r="J546" s="1151"/>
      <c r="K546" s="1151"/>
      <c r="L546" s="1151"/>
      <c r="M546" s="1151"/>
      <c r="N546" s="1151"/>
      <c r="O546" s="1178"/>
      <c r="P546" s="1117" t="s">
        <v>642</v>
      </c>
      <c r="Q546" s="1118"/>
      <c r="R546" s="1118"/>
      <c r="S546" s="1118"/>
      <c r="T546" s="1119"/>
      <c r="U546" s="1171">
        <v>0</v>
      </c>
      <c r="V546" s="1172"/>
      <c r="W546" s="1172"/>
      <c r="X546" s="1172"/>
      <c r="Y546" s="1173"/>
      <c r="Z546" s="1129" t="s">
        <v>642</v>
      </c>
      <c r="AA546" s="1129"/>
      <c r="AB546" s="1129"/>
      <c r="AC546" s="1129"/>
      <c r="AD546" s="1130"/>
      <c r="AE546" s="1202">
        <v>107263</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7" t="s">
        <v>1727</v>
      </c>
      <c r="D547" s="1151"/>
      <c r="E547" s="1151"/>
      <c r="F547" s="1151"/>
      <c r="G547" s="1151"/>
      <c r="H547" s="1151"/>
      <c r="I547" s="1151"/>
      <c r="J547" s="1151"/>
      <c r="K547" s="1151"/>
      <c r="L547" s="1151"/>
      <c r="M547" s="1151"/>
      <c r="N547" s="1151"/>
      <c r="O547" s="1178"/>
      <c r="P547" s="1117" t="s">
        <v>642</v>
      </c>
      <c r="Q547" s="1118"/>
      <c r="R547" s="1118"/>
      <c r="S547" s="1118"/>
      <c r="T547" s="1119"/>
      <c r="U547" s="1171"/>
      <c r="V547" s="1172"/>
      <c r="W547" s="1172"/>
      <c r="X547" s="1172"/>
      <c r="Y547" s="1173"/>
      <c r="Z547" s="1129" t="s">
        <v>642</v>
      </c>
      <c r="AA547" s="1129"/>
      <c r="AB547" s="1129"/>
      <c r="AC547" s="1129"/>
      <c r="AD547" s="1130"/>
      <c r="AE547" s="1202">
        <v>444648</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7" t="s">
        <v>1745</v>
      </c>
      <c r="D548" s="1151"/>
      <c r="E548" s="1151"/>
      <c r="F548" s="1151"/>
      <c r="G548" s="1151"/>
      <c r="H548" s="1151"/>
      <c r="I548" s="1151"/>
      <c r="J548" s="1151"/>
      <c r="K548" s="1151"/>
      <c r="L548" s="1151"/>
      <c r="M548" s="1151"/>
      <c r="N548" s="1151"/>
      <c r="O548" s="1178"/>
      <c r="P548" s="1117">
        <v>24</v>
      </c>
      <c r="Q548" s="1118"/>
      <c r="R548" s="1118"/>
      <c r="S548" s="1118"/>
      <c r="T548" s="1119"/>
      <c r="U548" s="1171">
        <v>0</v>
      </c>
      <c r="V548" s="1172"/>
      <c r="W548" s="1172"/>
      <c r="X548" s="1172"/>
      <c r="Y548" s="1173"/>
      <c r="Z548" s="1129" t="s">
        <v>1726</v>
      </c>
      <c r="AA548" s="1129"/>
      <c r="AB548" s="1129"/>
      <c r="AC548" s="1129"/>
      <c r="AD548" s="1130"/>
      <c r="AE548" s="1202">
        <v>3585000</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7" t="s">
        <v>1802</v>
      </c>
      <c r="D549" s="1151"/>
      <c r="E549" s="1151"/>
      <c r="F549" s="1151"/>
      <c r="G549" s="1151"/>
      <c r="H549" s="1151"/>
      <c r="I549" s="1151"/>
      <c r="J549" s="1151"/>
      <c r="K549" s="1151"/>
      <c r="L549" s="1151"/>
      <c r="M549" s="1151"/>
      <c r="N549" s="1151"/>
      <c r="O549" s="1178"/>
      <c r="P549" s="1117">
        <v>24</v>
      </c>
      <c r="Q549" s="1118"/>
      <c r="R549" s="1118"/>
      <c r="S549" s="1118"/>
      <c r="T549" s="1119"/>
      <c r="U549" s="1171">
        <v>4.7699999999999999E-2</v>
      </c>
      <c r="V549" s="1172"/>
      <c r="W549" s="1172"/>
      <c r="X549" s="1172"/>
      <c r="Y549" s="1173"/>
      <c r="Z549" s="1129" t="s">
        <v>1746</v>
      </c>
      <c r="AA549" s="1129"/>
      <c r="AB549" s="1129"/>
      <c r="AC549" s="1129"/>
      <c r="AD549" s="1130"/>
      <c r="AE549" s="1202">
        <v>23150000</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7" t="s">
        <v>1801</v>
      </c>
      <c r="D550" s="1151"/>
      <c r="E550" s="1151"/>
      <c r="F550" s="1151"/>
      <c r="G550" s="1151"/>
      <c r="H550" s="1151"/>
      <c r="I550" s="1151"/>
      <c r="J550" s="1151"/>
      <c r="K550" s="1151"/>
      <c r="L550" s="1151"/>
      <c r="M550" s="1151"/>
      <c r="N550" s="1151"/>
      <c r="O550" s="1178"/>
      <c r="P550" s="1117">
        <v>24</v>
      </c>
      <c r="Q550" s="1118"/>
      <c r="R550" s="1118"/>
      <c r="S550" s="1118"/>
      <c r="T550" s="1119"/>
      <c r="U550" s="1171">
        <v>5.0200000000000002E-2</v>
      </c>
      <c r="V550" s="1172"/>
      <c r="W550" s="1172"/>
      <c r="X550" s="1172"/>
      <c r="Y550" s="1173"/>
      <c r="Z550" s="1129" t="s">
        <v>1726</v>
      </c>
      <c r="AA550" s="1129"/>
      <c r="AB550" s="1129"/>
      <c r="AC550" s="1129"/>
      <c r="AD550" s="1130"/>
      <c r="AE550" s="1202">
        <v>5992940</v>
      </c>
      <c r="AF550" s="1203"/>
      <c r="AG550" s="1203"/>
      <c r="AH550" s="1203"/>
      <c r="AI550" s="1203"/>
      <c r="AJ550" s="1203"/>
      <c r="AK550" s="120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77" t="s">
        <v>1725</v>
      </c>
      <c r="D551" s="1151"/>
      <c r="E551" s="1151"/>
      <c r="F551" s="1151"/>
      <c r="G551" s="1151"/>
      <c r="H551" s="1151"/>
      <c r="I551" s="1151"/>
      <c r="J551" s="1151"/>
      <c r="K551" s="1151"/>
      <c r="L551" s="1151"/>
      <c r="M551" s="1151"/>
      <c r="N551" s="1151"/>
      <c r="O551" s="1178"/>
      <c r="P551" s="1117">
        <v>24</v>
      </c>
      <c r="Q551" s="1118"/>
      <c r="R551" s="1118"/>
      <c r="S551" s="1118"/>
      <c r="T551" s="1119"/>
      <c r="U551" s="1171"/>
      <c r="V551" s="1172"/>
      <c r="W551" s="1172"/>
      <c r="X551" s="1172"/>
      <c r="Y551" s="1173"/>
      <c r="Z551" s="1129" t="s">
        <v>642</v>
      </c>
      <c r="AA551" s="1129"/>
      <c r="AB551" s="1129"/>
      <c r="AC551" s="1129"/>
      <c r="AD551" s="1130"/>
      <c r="AE551" s="1202">
        <v>2000000</v>
      </c>
      <c r="AF551" s="1203"/>
      <c r="AG551" s="1203"/>
      <c r="AH551" s="1203"/>
      <c r="AI551" s="1203"/>
      <c r="AJ551" s="1203"/>
      <c r="AK551" s="120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77" t="s">
        <v>1747</v>
      </c>
      <c r="D552" s="1151"/>
      <c r="E552" s="1151"/>
      <c r="F552" s="1151"/>
      <c r="G552" s="1151"/>
      <c r="H552" s="1151"/>
      <c r="I552" s="1151"/>
      <c r="J552" s="1151"/>
      <c r="K552" s="1151"/>
      <c r="L552" s="1151"/>
      <c r="M552" s="1151"/>
      <c r="N552" s="1151"/>
      <c r="O552" s="1178"/>
      <c r="P552" s="1117">
        <v>24</v>
      </c>
      <c r="Q552" s="1118"/>
      <c r="R552" s="1118"/>
      <c r="S552" s="1118"/>
      <c r="T552" s="1119"/>
      <c r="U552" s="1171"/>
      <c r="V552" s="1172"/>
      <c r="W552" s="1172"/>
      <c r="X552" s="1172"/>
      <c r="Y552" s="1173"/>
      <c r="Z552" s="1129" t="s">
        <v>642</v>
      </c>
      <c r="AA552" s="1129"/>
      <c r="AB552" s="1129"/>
      <c r="AC552" s="1129"/>
      <c r="AD552" s="1130"/>
      <c r="AE552" s="1202">
        <v>3005198</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77" t="s">
        <v>1819</v>
      </c>
      <c r="D553" s="1151"/>
      <c r="E553" s="1151"/>
      <c r="F553" s="1151"/>
      <c r="G553" s="1151"/>
      <c r="H553" s="1151"/>
      <c r="I553" s="1151"/>
      <c r="J553" s="1151"/>
      <c r="K553" s="1151"/>
      <c r="L553" s="1151"/>
      <c r="M553" s="1151"/>
      <c r="N553" s="1151"/>
      <c r="O553" s="1178"/>
      <c r="P553" s="1117"/>
      <c r="Q553" s="1118"/>
      <c r="R553" s="1118"/>
      <c r="S553" s="1118"/>
      <c r="T553" s="1119"/>
      <c r="U553" s="1171"/>
      <c r="V553" s="1172"/>
      <c r="W553" s="1172"/>
      <c r="X553" s="1172"/>
      <c r="Y553" s="1173"/>
      <c r="Z553" s="1129" t="s">
        <v>642</v>
      </c>
      <c r="AA553" s="1129"/>
      <c r="AB553" s="1129"/>
      <c r="AC553" s="1129"/>
      <c r="AD553" s="1130"/>
      <c r="AE553" s="1202">
        <v>1331825</v>
      </c>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77" t="s">
        <v>1803</v>
      </c>
      <c r="D554" s="1151"/>
      <c r="E554" s="1151"/>
      <c r="F554" s="1151"/>
      <c r="G554" s="1151"/>
      <c r="H554" s="1151"/>
      <c r="I554" s="1151"/>
      <c r="J554" s="1151"/>
      <c r="K554" s="1151"/>
      <c r="L554" s="1151"/>
      <c r="M554" s="1151"/>
      <c r="N554" s="1151"/>
      <c r="O554" s="1178"/>
      <c r="P554" s="1117"/>
      <c r="Q554" s="1118"/>
      <c r="R554" s="1118"/>
      <c r="S554" s="1118"/>
      <c r="T554" s="1119"/>
      <c r="U554" s="1171"/>
      <c r="V554" s="1172"/>
      <c r="W554" s="1172"/>
      <c r="X554" s="1172"/>
      <c r="Y554" s="1173"/>
      <c r="Z554" s="1129" t="s">
        <v>642</v>
      </c>
      <c r="AA554" s="1129"/>
      <c r="AB554" s="1129"/>
      <c r="AC554" s="1129"/>
      <c r="AD554" s="1130"/>
      <c r="AE554" s="1202">
        <v>1682888</v>
      </c>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77" t="s">
        <v>1804</v>
      </c>
      <c r="D555" s="1151"/>
      <c r="E555" s="1151"/>
      <c r="F555" s="1151"/>
      <c r="G555" s="1151"/>
      <c r="H555" s="1151"/>
      <c r="I555" s="1151"/>
      <c r="J555" s="1151"/>
      <c r="K555" s="1151"/>
      <c r="L555" s="1151"/>
      <c r="M555" s="1151"/>
      <c r="N555" s="1151"/>
      <c r="O555" s="1178"/>
      <c r="P555" s="1117"/>
      <c r="Q555" s="1118"/>
      <c r="R555" s="1118"/>
      <c r="S555" s="1118"/>
      <c r="T555" s="1119"/>
      <c r="U555" s="1171"/>
      <c r="V555" s="1172"/>
      <c r="W555" s="1172"/>
      <c r="X555" s="1172"/>
      <c r="Y555" s="1173"/>
      <c r="Z555" s="1129" t="s">
        <v>642</v>
      </c>
      <c r="AA555" s="1129"/>
      <c r="AB555" s="1129"/>
      <c r="AC555" s="1129"/>
      <c r="AD555" s="1130"/>
      <c r="AE555" s="1202">
        <v>100000</v>
      </c>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1"/>
      <c r="D556" s="1151"/>
      <c r="E556" s="1151"/>
      <c r="F556" s="1151"/>
      <c r="G556" s="1151"/>
      <c r="H556" s="1151"/>
      <c r="I556" s="1151"/>
      <c r="J556" s="1151"/>
      <c r="K556" s="1151"/>
      <c r="L556" s="1151"/>
      <c r="M556" s="1151"/>
      <c r="N556" s="1151"/>
      <c r="O556" s="1178"/>
      <c r="P556" s="1117"/>
      <c r="Q556" s="1118"/>
      <c r="R556" s="1118"/>
      <c r="S556" s="1118"/>
      <c r="T556" s="1119"/>
      <c r="U556" s="1171"/>
      <c r="V556" s="1172"/>
      <c r="W556" s="1172"/>
      <c r="X556" s="1172"/>
      <c r="Y556" s="1173"/>
      <c r="Z556" s="1129" t="s">
        <v>1425</v>
      </c>
      <c r="AA556" s="1129"/>
      <c r="AB556" s="1129"/>
      <c r="AC556" s="1129"/>
      <c r="AD556" s="1130"/>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44399762</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4" t="str">
        <f>C545</f>
        <v>Housing Authority of the City of Riverside</v>
      </c>
      <c r="H559" s="1174"/>
      <c r="I559" s="1174"/>
      <c r="J559" s="1174"/>
      <c r="K559" s="1174"/>
      <c r="L559" s="1174"/>
      <c r="M559" s="1174"/>
      <c r="N559" s="1174"/>
      <c r="O559" s="1174"/>
      <c r="P559" s="1174"/>
      <c r="Q559" s="1174"/>
      <c r="R559" s="1174"/>
      <c r="S559" s="14"/>
      <c r="T559" s="87" t="s">
        <v>120</v>
      </c>
      <c r="U559" s="12" t="s">
        <v>510</v>
      </c>
      <c r="Z559" s="1174" t="str">
        <f>C546</f>
        <v>HA of City of Riverside Accrued/Deferred interest</v>
      </c>
      <c r="AA559" s="1174"/>
      <c r="AB559" s="1174"/>
      <c r="AC559" s="1174"/>
      <c r="AD559" s="1174"/>
      <c r="AE559" s="1174"/>
      <c r="AF559" s="1174"/>
      <c r="AG559" s="1174"/>
      <c r="AH559" s="1174"/>
      <c r="AI559" s="1174"/>
      <c r="AJ559" s="1174"/>
      <c r="AK559" s="1174"/>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1728</v>
      </c>
      <c r="H560" s="1087"/>
      <c r="I560" s="1087"/>
      <c r="J560" s="1087"/>
      <c r="K560" s="1087"/>
      <c r="L560" s="1087"/>
      <c r="M560" s="1087"/>
      <c r="N560" s="1087"/>
      <c r="O560" s="1087"/>
      <c r="P560" s="1087"/>
      <c r="Q560" s="1087"/>
      <c r="R560" s="1087"/>
      <c r="S560" s="14"/>
      <c r="T560" s="35"/>
      <c r="U560" s="12" t="s">
        <v>92</v>
      </c>
      <c r="Z560" s="1087" t="s">
        <v>1728</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1729</v>
      </c>
      <c r="H561" s="1087"/>
      <c r="I561" s="1087"/>
      <c r="J561" s="1087"/>
      <c r="K561" s="1087"/>
      <c r="L561" s="1087"/>
      <c r="M561" s="1087"/>
      <c r="N561" s="1087"/>
      <c r="O561" s="1087"/>
      <c r="P561" s="1087"/>
      <c r="Q561" s="1087"/>
      <c r="R561" s="1087"/>
      <c r="S561" s="88"/>
      <c r="T561" s="35"/>
      <c r="U561" s="12" t="s">
        <v>631</v>
      </c>
      <c r="Z561" s="1086" t="s">
        <v>72</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1730</v>
      </c>
      <c r="H562" s="1087"/>
      <c r="I562" s="1087"/>
      <c r="J562" s="1087"/>
      <c r="K562" s="1087"/>
      <c r="L562" s="1087"/>
      <c r="M562" s="1087"/>
      <c r="N562" s="1087"/>
      <c r="O562" s="1087"/>
      <c r="P562" s="1087"/>
      <c r="Q562" s="1087"/>
      <c r="R562" s="1087"/>
      <c r="S562" s="14"/>
      <c r="T562" s="35"/>
      <c r="U562" s="12" t="s">
        <v>19</v>
      </c>
      <c r="Z562" s="1086" t="s">
        <v>1730</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76" t="s">
        <v>1731</v>
      </c>
      <c r="H563" s="1121"/>
      <c r="I563" s="1121"/>
      <c r="J563" s="1121"/>
      <c r="K563" s="1121"/>
      <c r="L563" s="1121"/>
      <c r="O563" s="140" t="s">
        <v>220</v>
      </c>
      <c r="P563" s="1151"/>
      <c r="Q563" s="1151"/>
      <c r="R563" s="1151"/>
      <c r="S563" s="16"/>
      <c r="T563" s="35"/>
      <c r="U563" s="12" t="s">
        <v>338</v>
      </c>
      <c r="Z563" s="1176" t="s">
        <v>1731</v>
      </c>
      <c r="AA563" s="1121"/>
      <c r="AB563" s="1121"/>
      <c r="AC563" s="1121"/>
      <c r="AD563" s="1121"/>
      <c r="AE563" s="1121"/>
      <c r="AH563" s="140" t="s">
        <v>220</v>
      </c>
      <c r="AI563" s="1151"/>
      <c r="AJ563" s="1151"/>
      <c r="AK563" s="115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1748</v>
      </c>
      <c r="I564" s="1087"/>
      <c r="J564" s="1087"/>
      <c r="K564" s="1087"/>
      <c r="L564" s="1087"/>
      <c r="M564" s="1087"/>
      <c r="N564" s="1087"/>
      <c r="O564" s="1087"/>
      <c r="P564" s="1087"/>
      <c r="Q564" s="1087"/>
      <c r="R564" s="1087"/>
      <c r="S564" s="14"/>
      <c r="T564" s="35"/>
      <c r="U564" s="12" t="s">
        <v>20</v>
      </c>
      <c r="AA564" s="1087" t="s">
        <v>1749</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5"/>
      <c r="N565" s="1295"/>
      <c r="O565" s="1295"/>
      <c r="P565" s="1295"/>
      <c r="Q565" s="1295"/>
      <c r="R565" s="1295"/>
      <c r="S565" s="14"/>
      <c r="T565" s="35"/>
      <c r="U565" s="530" t="s">
        <v>1426</v>
      </c>
      <c r="V565" s="743"/>
      <c r="W565" s="743"/>
      <c r="X565" s="743"/>
      <c r="Y565" s="743"/>
      <c r="Z565" s="743"/>
      <c r="AA565" s="14"/>
      <c r="AB565" s="14"/>
      <c r="AC565" s="14"/>
      <c r="AD565" s="14"/>
      <c r="AE565" s="14"/>
      <c r="AF565" s="1295"/>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4" t="str">
        <f>C547</f>
        <v>City of Riverside TUMF Fee waiver</v>
      </c>
      <c r="H568" s="1174"/>
      <c r="I568" s="1174"/>
      <c r="J568" s="1174"/>
      <c r="K568" s="1174"/>
      <c r="L568" s="1174"/>
      <c r="M568" s="1174"/>
      <c r="N568" s="1174"/>
      <c r="O568" s="1174"/>
      <c r="P568" s="1174"/>
      <c r="Q568" s="1174"/>
      <c r="R568" s="1174"/>
      <c r="T568" s="87" t="s">
        <v>632</v>
      </c>
      <c r="U568" s="12" t="s">
        <v>510</v>
      </c>
      <c r="Z568" s="1174" t="str">
        <f>C548</f>
        <v xml:space="preserve">HCD AHSC HRI </v>
      </c>
      <c r="AA568" s="1174"/>
      <c r="AB568" s="1174"/>
      <c r="AC568" s="1174"/>
      <c r="AD568" s="1174"/>
      <c r="AE568" s="1174"/>
      <c r="AF568" s="1174"/>
      <c r="AG568" s="1174"/>
      <c r="AH568" s="1174"/>
      <c r="AI568" s="1174"/>
      <c r="AJ568" s="1174"/>
      <c r="AK568" s="117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tr">
        <f>G560</f>
        <v>3900 Main Street, 5th Floor</v>
      </c>
      <c r="H569" s="1087"/>
      <c r="I569" s="1087"/>
      <c r="J569" s="1087"/>
      <c r="K569" s="1087"/>
      <c r="L569" s="1087"/>
      <c r="M569" s="1087"/>
      <c r="N569" s="1087"/>
      <c r="O569" s="1087"/>
      <c r="P569" s="1087"/>
      <c r="Q569" s="1087"/>
      <c r="R569" s="1087"/>
      <c r="T569" s="35"/>
      <c r="U569" s="12" t="s">
        <v>92</v>
      </c>
      <c r="Z569" s="1087" t="s">
        <v>1732</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tr">
        <f>G561</f>
        <v>Riverside,</v>
      </c>
      <c r="H570" s="1086"/>
      <c r="I570" s="1086"/>
      <c r="J570" s="1086"/>
      <c r="K570" s="1086"/>
      <c r="L570" s="1086"/>
      <c r="M570" s="1086"/>
      <c r="N570" s="1086"/>
      <c r="O570" s="1086"/>
      <c r="P570" s="1086"/>
      <c r="Q570" s="1086"/>
      <c r="R570" s="1086"/>
      <c r="T570" s="35"/>
      <c r="U570" s="12" t="s">
        <v>631</v>
      </c>
      <c r="Z570" s="1086" t="s">
        <v>73</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tr">
        <f>G562</f>
        <v>Jeff McLaughlin</v>
      </c>
      <c r="H571" s="1086"/>
      <c r="I571" s="1086"/>
      <c r="J571" s="1086"/>
      <c r="K571" s="1086"/>
      <c r="L571" s="1086"/>
      <c r="M571" s="1086"/>
      <c r="N571" s="1086"/>
      <c r="O571" s="1086"/>
      <c r="P571" s="1086"/>
      <c r="Q571" s="1086"/>
      <c r="R571" s="1086"/>
      <c r="T571" s="35"/>
      <c r="U571" s="12" t="s">
        <v>19</v>
      </c>
      <c r="Z571" s="1086" t="s">
        <v>1733</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1" t="str">
        <f>G563</f>
        <v>951.826.5649</v>
      </c>
      <c r="H572" s="1121"/>
      <c r="I572" s="1121"/>
      <c r="J572" s="1121"/>
      <c r="K572" s="1121"/>
      <c r="L572" s="1121"/>
      <c r="O572" s="140" t="s">
        <v>220</v>
      </c>
      <c r="P572" s="1151"/>
      <c r="Q572" s="1151"/>
      <c r="R572" s="1151"/>
      <c r="T572" s="35"/>
      <c r="U572" s="12" t="s">
        <v>338</v>
      </c>
      <c r="Z572" s="1176" t="s">
        <v>1734</v>
      </c>
      <c r="AA572" s="1121"/>
      <c r="AB572" s="1121"/>
      <c r="AC572" s="1121"/>
      <c r="AD572" s="1121"/>
      <c r="AE572" s="1121"/>
      <c r="AH572" s="140" t="s">
        <v>220</v>
      </c>
      <c r="AI572" s="1151"/>
      <c r="AJ572" s="1151"/>
      <c r="AK572" s="115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1750</v>
      </c>
      <c r="I573" s="1087"/>
      <c r="J573" s="1087"/>
      <c r="K573" s="1087"/>
      <c r="L573" s="1087"/>
      <c r="M573" s="1087"/>
      <c r="N573" s="1087"/>
      <c r="O573" s="1087"/>
      <c r="P573" s="1087"/>
      <c r="Q573" s="1087"/>
      <c r="R573" s="1087"/>
      <c r="T573" s="35"/>
      <c r="U573" s="12" t="s">
        <v>20</v>
      </c>
      <c r="AA573" s="1175" t="s">
        <v>1805</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592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4" t="str">
        <f>C549</f>
        <v>Wells Fargo Tax-Exempt Construction Loan</v>
      </c>
      <c r="H576" s="1174"/>
      <c r="I576" s="1174"/>
      <c r="J576" s="1174"/>
      <c r="K576" s="1174"/>
      <c r="L576" s="1174"/>
      <c r="M576" s="1174"/>
      <c r="N576" s="1174"/>
      <c r="O576" s="1174"/>
      <c r="P576" s="1174"/>
      <c r="Q576" s="1174"/>
      <c r="R576" s="1174"/>
      <c r="T576" s="87" t="s">
        <v>635</v>
      </c>
      <c r="U576" s="12" t="s">
        <v>510</v>
      </c>
      <c r="Z576" s="1174" t="str">
        <f>C550</f>
        <v>Wells Fargo Taxable Construction Loan</v>
      </c>
      <c r="AA576" s="1174"/>
      <c r="AB576" s="1174"/>
      <c r="AC576" s="1174"/>
      <c r="AD576" s="1174"/>
      <c r="AE576" s="1174"/>
      <c r="AF576" s="1174"/>
      <c r="AG576" s="1174"/>
      <c r="AH576" s="1174"/>
      <c r="AI576" s="1174"/>
      <c r="AJ576" s="1174"/>
      <c r="AK576" s="117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1752</v>
      </c>
      <c r="H577" s="1087"/>
      <c r="I577" s="1087"/>
      <c r="J577" s="1087"/>
      <c r="K577" s="1087"/>
      <c r="L577" s="1087"/>
      <c r="M577" s="1087"/>
      <c r="N577" s="1087"/>
      <c r="O577" s="1087"/>
      <c r="P577" s="1087"/>
      <c r="Q577" s="1087"/>
      <c r="R577" s="1087"/>
      <c r="T577" s="35"/>
      <c r="U577" s="12" t="s">
        <v>92</v>
      </c>
      <c r="Z577" s="1087" t="s">
        <v>1752</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t="s">
        <v>791</v>
      </c>
      <c r="H578" s="1087"/>
      <c r="I578" s="1087"/>
      <c r="J578" s="1087"/>
      <c r="K578" s="1087"/>
      <c r="L578" s="1087"/>
      <c r="M578" s="1087"/>
      <c r="N578" s="1087"/>
      <c r="O578" s="1087"/>
      <c r="P578" s="1087"/>
      <c r="Q578" s="1087"/>
      <c r="R578" s="1087"/>
      <c r="T578" s="35"/>
      <c r="U578" s="12" t="s">
        <v>631</v>
      </c>
      <c r="Z578" s="1086" t="s">
        <v>791</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t="s">
        <v>1751</v>
      </c>
      <c r="H579" s="1087"/>
      <c r="I579" s="1087"/>
      <c r="J579" s="1087"/>
      <c r="K579" s="1087"/>
      <c r="L579" s="1087"/>
      <c r="M579" s="1087"/>
      <c r="N579" s="1087"/>
      <c r="O579" s="1087"/>
      <c r="P579" s="1087"/>
      <c r="Q579" s="1087"/>
      <c r="R579" s="1087"/>
      <c r="T579" s="35"/>
      <c r="U579" s="12" t="s">
        <v>19</v>
      </c>
      <c r="Z579" s="1086" t="s">
        <v>1754</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76" t="s">
        <v>1753</v>
      </c>
      <c r="H580" s="1121"/>
      <c r="I580" s="1121"/>
      <c r="J580" s="1121"/>
      <c r="K580" s="1121"/>
      <c r="L580" s="1121"/>
      <c r="O580" s="140" t="s">
        <v>220</v>
      </c>
      <c r="P580" s="1151"/>
      <c r="Q580" s="1151"/>
      <c r="R580" s="1151"/>
      <c r="T580" s="35"/>
      <c r="U580" s="12" t="s">
        <v>338</v>
      </c>
      <c r="Z580" s="1176" t="s">
        <v>1753</v>
      </c>
      <c r="AA580" s="1121"/>
      <c r="AB580" s="1121"/>
      <c r="AC580" s="1121"/>
      <c r="AD580" s="1121"/>
      <c r="AE580" s="1121"/>
      <c r="AH580" s="140" t="s">
        <v>220</v>
      </c>
      <c r="AI580" s="1151"/>
      <c r="AJ580" s="1151"/>
      <c r="AK580" s="1151"/>
    </row>
    <row r="581" spans="1:112" ht="12.75">
      <c r="A581" s="35"/>
      <c r="B581" s="12" t="s">
        <v>20</v>
      </c>
      <c r="H581" s="1175" t="s">
        <v>1806</v>
      </c>
      <c r="I581" s="1087"/>
      <c r="J581" s="1087"/>
      <c r="K581" s="1087"/>
      <c r="L581" s="1087"/>
      <c r="M581" s="1087"/>
      <c r="N581" s="1087"/>
      <c r="O581" s="1087"/>
      <c r="P581" s="1087"/>
      <c r="Q581" s="1087"/>
      <c r="R581" s="1087"/>
      <c r="T581" s="35"/>
      <c r="U581" s="12" t="s">
        <v>20</v>
      </c>
      <c r="AA581" s="1175" t="s">
        <v>1807</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592</v>
      </c>
      <c r="O582" s="1115"/>
      <c r="T582" s="35"/>
      <c r="U582" s="12" t="s">
        <v>22</v>
      </c>
      <c r="AG582" s="1115" t="s">
        <v>592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4" t="str">
        <f>C551</f>
        <v>State Budget Allocation</v>
      </c>
      <c r="H584" s="1174"/>
      <c r="I584" s="1174"/>
      <c r="J584" s="1174"/>
      <c r="K584" s="1174"/>
      <c r="L584" s="1174"/>
      <c r="M584" s="1174"/>
      <c r="N584" s="1174"/>
      <c r="O584" s="1174"/>
      <c r="P584" s="1174"/>
      <c r="Q584" s="1174"/>
      <c r="R584" s="1174"/>
      <c r="T584" s="87" t="s">
        <v>502</v>
      </c>
      <c r="U584" s="12" t="s">
        <v>510</v>
      </c>
      <c r="Z584" s="1174" t="str">
        <f>C552</f>
        <v>Costs deferred until conversion</v>
      </c>
      <c r="AA584" s="1174"/>
      <c r="AB584" s="1174"/>
      <c r="AC584" s="1174"/>
      <c r="AD584" s="1174"/>
      <c r="AE584" s="1174"/>
      <c r="AF584" s="1174"/>
      <c r="AG584" s="1174"/>
      <c r="AH584" s="1174"/>
      <c r="AI584" s="1174"/>
      <c r="AJ584" s="1174"/>
      <c r="AK584" s="117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t="s">
        <v>1758</v>
      </c>
      <c r="H585" s="1087"/>
      <c r="I585" s="1087"/>
      <c r="J585" s="1087"/>
      <c r="K585" s="1087"/>
      <c r="L585" s="1087"/>
      <c r="M585" s="1087"/>
      <c r="N585" s="1087"/>
      <c r="O585" s="1087"/>
      <c r="P585" s="1087"/>
      <c r="Q585" s="1087"/>
      <c r="R585" s="1087"/>
      <c r="T585" s="35"/>
      <c r="U585" s="12" t="s">
        <v>92</v>
      </c>
      <c r="Z585" s="1087" t="s">
        <v>1755</v>
      </c>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t="s">
        <v>72</v>
      </c>
      <c r="H586" s="1087"/>
      <c r="I586" s="1087"/>
      <c r="J586" s="1087"/>
      <c r="K586" s="1087"/>
      <c r="L586" s="1087"/>
      <c r="M586" s="1087"/>
      <c r="N586" s="1087"/>
      <c r="O586" s="1087"/>
      <c r="P586" s="1087"/>
      <c r="Q586" s="1087"/>
      <c r="R586" s="1087"/>
      <c r="S586" s="12"/>
      <c r="T586" s="35"/>
      <c r="U586" s="12" t="s">
        <v>631</v>
      </c>
      <c r="V586" s="12"/>
      <c r="W586" s="12"/>
      <c r="X586" s="12"/>
      <c r="Y586" s="12"/>
      <c r="Z586" s="1086" t="s">
        <v>791</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t="s">
        <v>1756</v>
      </c>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76" t="s">
        <v>1759</v>
      </c>
      <c r="H588" s="1121"/>
      <c r="I588" s="1121"/>
      <c r="J588" s="1121"/>
      <c r="K588" s="1121"/>
      <c r="L588" s="1121"/>
      <c r="M588" s="12"/>
      <c r="N588" s="12"/>
      <c r="O588" s="140" t="s">
        <v>220</v>
      </c>
      <c r="P588" s="1151"/>
      <c r="Q588" s="1151"/>
      <c r="R588" s="1151"/>
      <c r="S588" s="12"/>
      <c r="T588" s="35"/>
      <c r="U588" s="12" t="s">
        <v>338</v>
      </c>
      <c r="V588" s="12"/>
      <c r="W588" s="12"/>
      <c r="X588" s="12"/>
      <c r="Y588" s="12"/>
      <c r="Z588" s="1176" t="s">
        <v>1757</v>
      </c>
      <c r="AA588" s="1121"/>
      <c r="AB588" s="1121"/>
      <c r="AC588" s="1121"/>
      <c r="AD588" s="1121"/>
      <c r="AE588" s="1121"/>
      <c r="AF588" s="12"/>
      <c r="AG588" s="12"/>
      <c r="AH588" s="140" t="s">
        <v>220</v>
      </c>
      <c r="AI588" s="1151"/>
      <c r="AJ588" s="1151"/>
      <c r="AK588" s="1151"/>
      <c r="AL588" s="12"/>
      <c r="AM588" s="7" t="s">
        <v>347</v>
      </c>
      <c r="AN588" s="58"/>
      <c r="AO588" s="58"/>
      <c r="AP588" s="58"/>
      <c r="AQ588" s="58"/>
      <c r="AR588" s="193" t="s">
        <v>521</v>
      </c>
      <c r="AS588" s="194"/>
      <c r="AT588" s="1288"/>
      <c r="AU588" s="1289"/>
      <c r="AV588" s="193" t="s">
        <v>522</v>
      </c>
      <c r="AW588" s="194"/>
      <c r="AX588" s="1288"/>
      <c r="AY588" s="1289"/>
      <c r="AZ588" s="58"/>
      <c r="BA588" s="1559" t="s">
        <v>684</v>
      </c>
      <c r="BB588" s="1560"/>
      <c r="BC588" s="1560"/>
      <c r="BD588" s="1560"/>
      <c r="BE588" s="1561"/>
      <c r="BF588" s="1294" t="s">
        <v>348</v>
      </c>
      <c r="BG588" s="1294"/>
      <c r="BH588" s="1294"/>
      <c r="BI588" s="1294"/>
      <c r="BJ588" s="1294"/>
      <c r="BK588" s="1294" t="s">
        <v>170</v>
      </c>
      <c r="BL588" s="1294"/>
      <c r="BM588" s="1294"/>
      <c r="BN588" s="1294"/>
      <c r="BO588" s="1294"/>
      <c r="BP588" s="1294" t="s">
        <v>171</v>
      </c>
      <c r="BQ588" s="1294"/>
      <c r="BR588" s="1294"/>
      <c r="BS588" s="1294"/>
      <c r="BT588" s="1294"/>
      <c r="BU588" s="1294" t="s">
        <v>507</v>
      </c>
      <c r="BV588" s="1294"/>
      <c r="BW588" s="1294"/>
      <c r="BX588" s="1294"/>
      <c r="BY588" s="1294"/>
      <c r="BZ588" s="1294" t="s">
        <v>33</v>
      </c>
      <c r="CA588" s="1294"/>
      <c r="CB588" s="1294"/>
      <c r="CC588" s="1294"/>
      <c r="CD588" s="1294"/>
      <c r="CE588" s="1294" t="s">
        <v>684</v>
      </c>
      <c r="CF588" s="1294"/>
      <c r="CG588" s="1294"/>
      <c r="CH588" s="1294"/>
      <c r="CI588" s="1294"/>
      <c r="CJ588" s="1294" t="s">
        <v>348</v>
      </c>
      <c r="CK588" s="1294"/>
      <c r="CL588" s="1294"/>
      <c r="CM588" s="1294"/>
      <c r="CN588" s="1294"/>
      <c r="CO588" s="1294" t="s">
        <v>170</v>
      </c>
      <c r="CP588" s="1294"/>
      <c r="CQ588" s="1294"/>
      <c r="CR588" s="1294"/>
      <c r="CS588" s="1294"/>
      <c r="CT588" s="1294" t="s">
        <v>171</v>
      </c>
      <c r="CU588" s="1294"/>
      <c r="CV588" s="1294"/>
      <c r="CW588" s="1294"/>
      <c r="CX588" s="1294"/>
      <c r="CY588" s="1294" t="s">
        <v>507</v>
      </c>
      <c r="CZ588" s="1294"/>
      <c r="DA588" s="1294"/>
      <c r="DB588" s="1294"/>
      <c r="DC588" s="1294"/>
      <c r="DD588" s="1294" t="s">
        <v>33</v>
      </c>
      <c r="DE588" s="1294"/>
      <c r="DF588" s="1294"/>
      <c r="DG588" s="1294"/>
      <c r="DH588" s="1294"/>
    </row>
    <row r="589" spans="1:112" s="7" customFormat="1" ht="12.75">
      <c r="A589" s="35"/>
      <c r="B589" s="12" t="s">
        <v>20</v>
      </c>
      <c r="C589" s="12"/>
      <c r="D589" s="12"/>
      <c r="E589" s="12"/>
      <c r="F589" s="12"/>
      <c r="G589" s="12"/>
      <c r="H589" s="1175" t="s">
        <v>1808</v>
      </c>
      <c r="I589" s="1087"/>
      <c r="J589" s="1087"/>
      <c r="K589" s="1087"/>
      <c r="L589" s="1087"/>
      <c r="M589" s="1087"/>
      <c r="N589" s="1087"/>
      <c r="O589" s="1087"/>
      <c r="P589" s="1087"/>
      <c r="Q589" s="1087"/>
      <c r="R589" s="1087"/>
      <c r="S589" s="12"/>
      <c r="T589" s="35"/>
      <c r="U589" s="12" t="s">
        <v>20</v>
      </c>
      <c r="V589" s="12"/>
      <c r="W589" s="12"/>
      <c r="X589" s="12"/>
      <c r="Y589" s="12"/>
      <c r="Z589" s="12"/>
      <c r="AA589" s="1175" t="s">
        <v>1809</v>
      </c>
      <c r="AB589" s="1087"/>
      <c r="AC589" s="1087"/>
      <c r="AD589" s="1087"/>
      <c r="AE589" s="1087"/>
      <c r="AF589" s="1087"/>
      <c r="AG589" s="1087"/>
      <c r="AH589" s="1087"/>
      <c r="AI589" s="1087"/>
      <c r="AJ589" s="1087"/>
      <c r="AK589" s="1087"/>
      <c r="AL589" s="12"/>
      <c r="AM589" s="7" t="s">
        <v>348</v>
      </c>
      <c r="AN589" s="58"/>
      <c r="AO589" s="58"/>
      <c r="AP589" s="58"/>
      <c r="AQ589" s="58"/>
      <c r="AR589" s="1251">
        <f t="shared" ref="AR589:AR613" si="0">IF(AND(AD709&lt;=0.5,AD709&gt;=0.36),1,0)</f>
        <v>0</v>
      </c>
      <c r="AS589" s="1252"/>
      <c r="AT589" s="1288">
        <f t="shared" ref="AT589:AT613" si="1">IF(AR589=1,G709,0)</f>
        <v>0</v>
      </c>
      <c r="AU589" s="1289"/>
      <c r="AV589" s="1251">
        <f t="shared" ref="AV589:AV613" si="2">IF(AND(AD709&lt;=0.35,AD709&gt;0),1,0)</f>
        <v>1</v>
      </c>
      <c r="AW589" s="1252"/>
      <c r="AX589" s="1288">
        <f t="shared" ref="AX589:AX613" si="3">IF(AV589=1,G709,0)</f>
        <v>14</v>
      </c>
      <c r="AY589" s="1289"/>
      <c r="AZ589" s="58"/>
      <c r="BA589" s="1288">
        <f t="shared" ref="BA589:BA613" si="4">IF(B709="SRO/Studio",G709,0)</f>
        <v>0</v>
      </c>
      <c r="BB589" s="1290"/>
      <c r="BC589" s="1290"/>
      <c r="BD589" s="1290"/>
      <c r="BE589" s="1289"/>
      <c r="BF589" s="1285">
        <f t="shared" ref="BF589:BF613" si="5">IF(B709="1 Bedroom",G709,0)</f>
        <v>14</v>
      </c>
      <c r="BG589" s="1285"/>
      <c r="BH589" s="1285"/>
      <c r="BI589" s="1285"/>
      <c r="BJ589" s="1285"/>
      <c r="BK589" s="1285">
        <f t="shared" ref="BK589:BK613" si="6">IF(B709="2 Bedrooms",G709,0)</f>
        <v>0</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62">
        <f t="shared" ref="CE589:CE613" si="10">IF(AND(B709="SRO/Studio",AD709&lt;=0.3),G709,0)</f>
        <v>0</v>
      </c>
      <c r="CF589" s="1562"/>
      <c r="CG589" s="1562"/>
      <c r="CH589" s="1562"/>
      <c r="CI589" s="1562"/>
      <c r="CJ589" s="1562">
        <f t="shared" ref="CJ589:CJ613" si="11">IF(AND(B709="1 Bedroom",AD709&lt;=0.3),G709,0)</f>
        <v>14</v>
      </c>
      <c r="CK589" s="1562"/>
      <c r="CL589" s="1562"/>
      <c r="CM589" s="1562"/>
      <c r="CN589" s="1562"/>
      <c r="CO589" s="1562">
        <f t="shared" ref="CO589:CO613" si="12">IF(AND(B709="2 Bedrooms",AD709&lt;=0.3),G709,0)</f>
        <v>0</v>
      </c>
      <c r="CP589" s="1562"/>
      <c r="CQ589" s="1562"/>
      <c r="CR589" s="1562"/>
      <c r="CS589" s="1562"/>
      <c r="CT589" s="1562">
        <f t="shared" ref="CT589:CT613" si="13">IF(AND(B709="3 Bedrooms",AD709&lt;=0.3),G709,0)</f>
        <v>0</v>
      </c>
      <c r="CU589" s="1562"/>
      <c r="CV589" s="1562"/>
      <c r="CW589" s="1562"/>
      <c r="CX589" s="1562"/>
      <c r="CY589" s="1562">
        <f t="shared" ref="CY589:CY613" si="14">IF(AND(B709="4 Bedrooms",AD709&lt;=0.3),G709,0)</f>
        <v>0</v>
      </c>
      <c r="CZ589" s="1562"/>
      <c r="DA589" s="1562"/>
      <c r="DB589" s="1562"/>
      <c r="DC589" s="1562"/>
      <c r="DD589" s="1562">
        <f t="shared" ref="DD589:DD613" si="15">IF(AND(B709="5 Bedrooms",AD709&lt;=0.3),G709,0)</f>
        <v>0</v>
      </c>
      <c r="DE589" s="1562"/>
      <c r="DF589" s="1562"/>
      <c r="DG589" s="1562"/>
      <c r="DH589" s="1562"/>
    </row>
    <row r="590" spans="1:112" s="7" customFormat="1" ht="12.75">
      <c r="A590" s="35"/>
      <c r="B590" s="12" t="s">
        <v>22</v>
      </c>
      <c r="C590" s="12"/>
      <c r="D590" s="12"/>
      <c r="E590" s="12"/>
      <c r="F590" s="12"/>
      <c r="G590" s="12"/>
      <c r="H590" s="12"/>
      <c r="I590" s="12"/>
      <c r="J590" s="12"/>
      <c r="K590" s="12"/>
      <c r="L590" s="12"/>
      <c r="M590" s="12"/>
      <c r="N590" s="1115" t="s">
        <v>592</v>
      </c>
      <c r="O590" s="1115"/>
      <c r="P590" s="12"/>
      <c r="Q590" s="12"/>
      <c r="R590" s="12"/>
      <c r="S590" s="12"/>
      <c r="T590" s="35"/>
      <c r="U590" s="12" t="s">
        <v>22</v>
      </c>
      <c r="V590" s="12"/>
      <c r="W590" s="12"/>
      <c r="X590" s="12"/>
      <c r="Y590" s="12"/>
      <c r="Z590" s="12"/>
      <c r="AA590" s="12"/>
      <c r="AB590" s="12"/>
      <c r="AC590" s="12"/>
      <c r="AD590" s="12"/>
      <c r="AE590" s="12"/>
      <c r="AF590" s="12"/>
      <c r="AG590" s="1115" t="s">
        <v>592</v>
      </c>
      <c r="AH590" s="1115"/>
      <c r="AI590" s="12"/>
      <c r="AJ590" s="12"/>
      <c r="AK590" s="12"/>
      <c r="AL590" s="12"/>
      <c r="AM590" s="7" t="s">
        <v>170</v>
      </c>
      <c r="AN590" s="58"/>
      <c r="AO590" s="58"/>
      <c r="AP590" s="58"/>
      <c r="AQ590" s="58"/>
      <c r="AR590" s="1251">
        <f t="shared" si="0"/>
        <v>0</v>
      </c>
      <c r="AS590" s="1252"/>
      <c r="AT590" s="1288">
        <f t="shared" si="1"/>
        <v>0</v>
      </c>
      <c r="AU590" s="1289"/>
      <c r="AV590" s="1251">
        <f t="shared" si="2"/>
        <v>1</v>
      </c>
      <c r="AW590" s="1252"/>
      <c r="AX590" s="1288">
        <f t="shared" si="3"/>
        <v>3</v>
      </c>
      <c r="AY590" s="1289"/>
      <c r="AZ590" s="58"/>
      <c r="BA590" s="1288">
        <f t="shared" si="4"/>
        <v>0</v>
      </c>
      <c r="BB590" s="1290"/>
      <c r="BC590" s="1290"/>
      <c r="BD590" s="1290"/>
      <c r="BE590" s="1289"/>
      <c r="BF590" s="1285">
        <f t="shared" si="5"/>
        <v>0</v>
      </c>
      <c r="BG590" s="1285"/>
      <c r="BH590" s="1285"/>
      <c r="BI590" s="1285"/>
      <c r="BJ590" s="1285"/>
      <c r="BK590" s="1285">
        <f t="shared" si="6"/>
        <v>3</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62">
        <f t="shared" si="10"/>
        <v>0</v>
      </c>
      <c r="CF590" s="1562"/>
      <c r="CG590" s="1562"/>
      <c r="CH590" s="1562"/>
      <c r="CI590" s="1562"/>
      <c r="CJ590" s="1562">
        <f t="shared" si="11"/>
        <v>0</v>
      </c>
      <c r="CK590" s="1562"/>
      <c r="CL590" s="1562"/>
      <c r="CM590" s="1562"/>
      <c r="CN590" s="1562"/>
      <c r="CO590" s="1562">
        <f t="shared" si="12"/>
        <v>3</v>
      </c>
      <c r="CP590" s="1562"/>
      <c r="CQ590" s="1562"/>
      <c r="CR590" s="1562"/>
      <c r="CS590" s="1562"/>
      <c r="CT590" s="1562">
        <f t="shared" si="13"/>
        <v>0</v>
      </c>
      <c r="CU590" s="1562"/>
      <c r="CV590" s="1562"/>
      <c r="CW590" s="1562"/>
      <c r="CX590" s="1562"/>
      <c r="CY590" s="1562">
        <f t="shared" si="14"/>
        <v>0</v>
      </c>
      <c r="CZ590" s="1562"/>
      <c r="DA590" s="1562"/>
      <c r="DB590" s="1562"/>
      <c r="DC590" s="1562"/>
      <c r="DD590" s="1562">
        <f t="shared" si="15"/>
        <v>0</v>
      </c>
      <c r="DE590" s="1562"/>
      <c r="DF590" s="1562"/>
      <c r="DG590" s="1562"/>
      <c r="DH590" s="1562"/>
    </row>
    <row r="591" spans="1:112" ht="12.75">
      <c r="A591" s="35"/>
      <c r="T591" s="35"/>
      <c r="AM591" s="7" t="s">
        <v>171</v>
      </c>
      <c r="AN591" s="58"/>
      <c r="AO591" s="58"/>
      <c r="AP591" s="58"/>
      <c r="AQ591" s="58"/>
      <c r="AR591" s="1251">
        <f t="shared" si="0"/>
        <v>0</v>
      </c>
      <c r="AS591" s="1252"/>
      <c r="AT591" s="1288">
        <f t="shared" si="1"/>
        <v>0</v>
      </c>
      <c r="AU591" s="1289"/>
      <c r="AV591" s="1251">
        <f t="shared" si="2"/>
        <v>1</v>
      </c>
      <c r="AW591" s="1252"/>
      <c r="AX591" s="1288">
        <f t="shared" si="3"/>
        <v>2</v>
      </c>
      <c r="AY591" s="1289"/>
      <c r="AZ591" s="58"/>
      <c r="BA591" s="1288">
        <f t="shared" si="4"/>
        <v>0</v>
      </c>
      <c r="BB591" s="1290"/>
      <c r="BC591" s="1290"/>
      <c r="BD591" s="1290"/>
      <c r="BE591" s="1289"/>
      <c r="BF591" s="1285">
        <f t="shared" si="5"/>
        <v>0</v>
      </c>
      <c r="BG591" s="1285"/>
      <c r="BH591" s="1285"/>
      <c r="BI591" s="1285"/>
      <c r="BJ591" s="1285"/>
      <c r="BK591" s="1285">
        <f t="shared" si="6"/>
        <v>0</v>
      </c>
      <c r="BL591" s="1285"/>
      <c r="BM591" s="1285"/>
      <c r="BN591" s="1285"/>
      <c r="BO591" s="1285"/>
      <c r="BP591" s="1285">
        <f t="shared" si="7"/>
        <v>2</v>
      </c>
      <c r="BQ591" s="1285"/>
      <c r="BR591" s="1285"/>
      <c r="BS591" s="1285"/>
      <c r="BT591" s="1285"/>
      <c r="BU591" s="1285">
        <f t="shared" si="8"/>
        <v>0</v>
      </c>
      <c r="BV591" s="1285"/>
      <c r="BW591" s="1285"/>
      <c r="BX591" s="1285"/>
      <c r="BY591" s="1285"/>
      <c r="BZ591" s="1285">
        <f t="shared" si="9"/>
        <v>0</v>
      </c>
      <c r="CA591" s="1285"/>
      <c r="CB591" s="1285"/>
      <c r="CC591" s="1285"/>
      <c r="CD591" s="1285"/>
      <c r="CE591" s="1562">
        <f t="shared" si="10"/>
        <v>0</v>
      </c>
      <c r="CF591" s="1562"/>
      <c r="CG591" s="1562"/>
      <c r="CH591" s="1562"/>
      <c r="CI591" s="1562"/>
      <c r="CJ591" s="1562">
        <f t="shared" si="11"/>
        <v>0</v>
      </c>
      <c r="CK591" s="1562"/>
      <c r="CL591" s="1562"/>
      <c r="CM591" s="1562"/>
      <c r="CN591" s="1562"/>
      <c r="CO591" s="1562">
        <f t="shared" si="12"/>
        <v>0</v>
      </c>
      <c r="CP591" s="1562"/>
      <c r="CQ591" s="1562"/>
      <c r="CR591" s="1562"/>
      <c r="CS591" s="1562"/>
      <c r="CT591" s="1562">
        <f t="shared" si="13"/>
        <v>2</v>
      </c>
      <c r="CU591" s="1562"/>
      <c r="CV591" s="1562"/>
      <c r="CW591" s="1562"/>
      <c r="CX591" s="1562"/>
      <c r="CY591" s="1562">
        <f t="shared" si="14"/>
        <v>0</v>
      </c>
      <c r="CZ591" s="1562"/>
      <c r="DA591" s="1562"/>
      <c r="DB591" s="1562"/>
      <c r="DC591" s="1562"/>
      <c r="DD591" s="1562">
        <f t="shared" si="15"/>
        <v>0</v>
      </c>
      <c r="DE591" s="1562"/>
      <c r="DF591" s="1562"/>
      <c r="DG591" s="1562"/>
      <c r="DH591" s="1562"/>
    </row>
    <row r="592" spans="1:112" ht="12.75">
      <c r="A592" s="87" t="s">
        <v>508</v>
      </c>
      <c r="B592" s="12" t="s">
        <v>510</v>
      </c>
      <c r="G592" s="1174" t="str">
        <f>C553</f>
        <v>Deferred Developer Fee</v>
      </c>
      <c r="H592" s="1174"/>
      <c r="I592" s="1174"/>
      <c r="J592" s="1174"/>
      <c r="K592" s="1174"/>
      <c r="L592" s="1174"/>
      <c r="M592" s="1174"/>
      <c r="N592" s="1174"/>
      <c r="O592" s="1174"/>
      <c r="P592" s="1174"/>
      <c r="Q592" s="1174"/>
      <c r="R592" s="1174"/>
      <c r="T592" s="87" t="s">
        <v>697</v>
      </c>
      <c r="U592" s="12" t="s">
        <v>510</v>
      </c>
      <c r="Z592" s="1174" t="str">
        <f>C554</f>
        <v>LP Equity (Net)</v>
      </c>
      <c r="AA592" s="1174"/>
      <c r="AB592" s="1174"/>
      <c r="AC592" s="1174"/>
      <c r="AD592" s="1174"/>
      <c r="AE592" s="1174"/>
      <c r="AF592" s="1174"/>
      <c r="AG592" s="1174"/>
      <c r="AH592" s="1174"/>
      <c r="AI592" s="1174"/>
      <c r="AJ592" s="1174"/>
      <c r="AK592" s="1174"/>
      <c r="AM592" s="7" t="s">
        <v>172</v>
      </c>
      <c r="AN592" s="58"/>
      <c r="AO592" s="58"/>
      <c r="AP592" s="58"/>
      <c r="AQ592" s="58"/>
      <c r="AR592" s="1251">
        <f t="shared" si="0"/>
        <v>1</v>
      </c>
      <c r="AS592" s="1252"/>
      <c r="AT592" s="1288">
        <f t="shared" si="1"/>
        <v>2</v>
      </c>
      <c r="AU592" s="1289"/>
      <c r="AV592" s="1251">
        <f t="shared" si="2"/>
        <v>0</v>
      </c>
      <c r="AW592" s="1252"/>
      <c r="AX592" s="1288">
        <f t="shared" si="3"/>
        <v>0</v>
      </c>
      <c r="AY592" s="1289"/>
      <c r="AZ592" s="58"/>
      <c r="BA592" s="1288">
        <f t="shared" si="4"/>
        <v>0</v>
      </c>
      <c r="BB592" s="1290"/>
      <c r="BC592" s="1290"/>
      <c r="BD592" s="1290"/>
      <c r="BE592" s="1289"/>
      <c r="BF592" s="1285">
        <f t="shared" si="5"/>
        <v>2</v>
      </c>
      <c r="BG592" s="1285"/>
      <c r="BH592" s="1285"/>
      <c r="BI592" s="1285"/>
      <c r="BJ592" s="1285"/>
      <c r="BK592" s="1285">
        <f t="shared" si="6"/>
        <v>0</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62">
        <f t="shared" si="10"/>
        <v>0</v>
      </c>
      <c r="CF592" s="1562"/>
      <c r="CG592" s="1562"/>
      <c r="CH592" s="1562"/>
      <c r="CI592" s="1562"/>
      <c r="CJ592" s="1562">
        <f t="shared" si="11"/>
        <v>0</v>
      </c>
      <c r="CK592" s="1562"/>
      <c r="CL592" s="1562"/>
      <c r="CM592" s="1562"/>
      <c r="CN592" s="1562"/>
      <c r="CO592" s="1562">
        <f t="shared" si="12"/>
        <v>0</v>
      </c>
      <c r="CP592" s="1562"/>
      <c r="CQ592" s="1562"/>
      <c r="CR592" s="1562"/>
      <c r="CS592" s="1562"/>
      <c r="CT592" s="1562">
        <f t="shared" si="13"/>
        <v>0</v>
      </c>
      <c r="CU592" s="1562"/>
      <c r="CV592" s="1562"/>
      <c r="CW592" s="1562"/>
      <c r="CX592" s="1562"/>
      <c r="CY592" s="1562">
        <f t="shared" si="14"/>
        <v>0</v>
      </c>
      <c r="CZ592" s="1562"/>
      <c r="DA592" s="1562"/>
      <c r="DB592" s="1562"/>
      <c r="DC592" s="1562"/>
      <c r="DD592" s="1562">
        <f t="shared" si="15"/>
        <v>0</v>
      </c>
      <c r="DE592" s="1562"/>
      <c r="DF592" s="1562"/>
      <c r="DG592" s="1562"/>
      <c r="DH592" s="1562"/>
    </row>
    <row r="593" spans="1:112" ht="12.75">
      <c r="A593" s="35"/>
      <c r="B593" s="12" t="s">
        <v>92</v>
      </c>
      <c r="G593" s="1087" t="s">
        <v>1760</v>
      </c>
      <c r="H593" s="1087"/>
      <c r="I593" s="1087"/>
      <c r="J593" s="1087"/>
      <c r="K593" s="1087"/>
      <c r="L593" s="1087"/>
      <c r="M593" s="1087"/>
      <c r="N593" s="1087"/>
      <c r="O593" s="1087"/>
      <c r="P593" s="1087"/>
      <c r="Q593" s="1087"/>
      <c r="R593" s="1087"/>
      <c r="T593" s="35"/>
      <c r="U593" s="12" t="s">
        <v>92</v>
      </c>
      <c r="Z593" s="1087" t="s">
        <v>1762</v>
      </c>
      <c r="AA593" s="1087"/>
      <c r="AB593" s="1087"/>
      <c r="AC593" s="1087"/>
      <c r="AD593" s="1087"/>
      <c r="AE593" s="1087"/>
      <c r="AF593" s="1087"/>
      <c r="AG593" s="1087"/>
      <c r="AH593" s="1087"/>
      <c r="AI593" s="1087"/>
      <c r="AJ593" s="1087"/>
      <c r="AK593" s="1087"/>
      <c r="AM593" s="7" t="s">
        <v>33</v>
      </c>
      <c r="AN593" s="58"/>
      <c r="AO593" s="58"/>
      <c r="AP593" s="58"/>
      <c r="AQ593" s="58"/>
      <c r="AR593" s="1251">
        <f t="shared" si="0"/>
        <v>1</v>
      </c>
      <c r="AS593" s="1252"/>
      <c r="AT593" s="1288">
        <f t="shared" si="1"/>
        <v>7</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7</v>
      </c>
      <c r="BL593" s="1285"/>
      <c r="BM593" s="1285"/>
      <c r="BN593" s="1285"/>
      <c r="BO593" s="1285"/>
      <c r="BP593" s="1285">
        <f t="shared" si="7"/>
        <v>0</v>
      </c>
      <c r="BQ593" s="1285"/>
      <c r="BR593" s="1285"/>
      <c r="BS593" s="1285"/>
      <c r="BT593" s="1285"/>
      <c r="BU593" s="1285">
        <f t="shared" si="8"/>
        <v>0</v>
      </c>
      <c r="BV593" s="1285"/>
      <c r="BW593" s="1285"/>
      <c r="BX593" s="1285"/>
      <c r="BY593" s="1285"/>
      <c r="BZ593" s="1285">
        <f t="shared" si="9"/>
        <v>0</v>
      </c>
      <c r="CA593" s="1285"/>
      <c r="CB593" s="1285"/>
      <c r="CC593" s="1285"/>
      <c r="CD593" s="1285"/>
      <c r="CE593" s="1562">
        <f t="shared" si="10"/>
        <v>0</v>
      </c>
      <c r="CF593" s="1562"/>
      <c r="CG593" s="1562"/>
      <c r="CH593" s="1562"/>
      <c r="CI593" s="1562"/>
      <c r="CJ593" s="1562">
        <f t="shared" si="11"/>
        <v>0</v>
      </c>
      <c r="CK593" s="1562"/>
      <c r="CL593" s="1562"/>
      <c r="CM593" s="1562"/>
      <c r="CN593" s="1562"/>
      <c r="CO593" s="1562">
        <f t="shared" si="12"/>
        <v>0</v>
      </c>
      <c r="CP593" s="1562"/>
      <c r="CQ593" s="1562"/>
      <c r="CR593" s="1562"/>
      <c r="CS593" s="1562"/>
      <c r="CT593" s="1562">
        <f t="shared" si="13"/>
        <v>0</v>
      </c>
      <c r="CU593" s="1562"/>
      <c r="CV593" s="1562"/>
      <c r="CW593" s="1562"/>
      <c r="CX593" s="1562"/>
      <c r="CY593" s="1562">
        <f t="shared" si="14"/>
        <v>0</v>
      </c>
      <c r="CZ593" s="1562"/>
      <c r="DA593" s="1562"/>
      <c r="DB593" s="1562"/>
      <c r="DC593" s="1562"/>
      <c r="DD593" s="1562">
        <f t="shared" si="15"/>
        <v>0</v>
      </c>
      <c r="DE593" s="1562"/>
      <c r="DF593" s="1562"/>
      <c r="DG593" s="1562"/>
      <c r="DH593" s="1562"/>
    </row>
    <row r="594" spans="1:112" ht="12.75">
      <c r="A594" s="35"/>
      <c r="B594" s="12" t="s">
        <v>631</v>
      </c>
      <c r="G594" s="1087" t="s">
        <v>791</v>
      </c>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1">
        <f t="shared" si="0"/>
        <v>1</v>
      </c>
      <c r="AS594" s="1252"/>
      <c r="AT594" s="1288">
        <f t="shared" si="1"/>
        <v>6</v>
      </c>
      <c r="AU594" s="1289"/>
      <c r="AV594" s="1251">
        <f t="shared" si="2"/>
        <v>0</v>
      </c>
      <c r="AW594" s="1252"/>
      <c r="AX594" s="1288">
        <f t="shared" si="3"/>
        <v>0</v>
      </c>
      <c r="AY594" s="1289"/>
      <c r="AZ594" s="58"/>
      <c r="BA594" s="1288">
        <f t="shared" si="4"/>
        <v>0</v>
      </c>
      <c r="BB594" s="1290"/>
      <c r="BC594" s="1290"/>
      <c r="BD594" s="1290"/>
      <c r="BE594" s="1289"/>
      <c r="BF594" s="1285">
        <f t="shared" si="5"/>
        <v>0</v>
      </c>
      <c r="BG594" s="1285"/>
      <c r="BH594" s="1285"/>
      <c r="BI594" s="1285"/>
      <c r="BJ594" s="1285"/>
      <c r="BK594" s="1285">
        <f t="shared" si="6"/>
        <v>0</v>
      </c>
      <c r="BL594" s="1285"/>
      <c r="BM594" s="1285"/>
      <c r="BN594" s="1285"/>
      <c r="BO594" s="1285"/>
      <c r="BP594" s="1285">
        <f t="shared" si="7"/>
        <v>6</v>
      </c>
      <c r="BQ594" s="1285"/>
      <c r="BR594" s="1285"/>
      <c r="BS594" s="1285"/>
      <c r="BT594" s="1285"/>
      <c r="BU594" s="1285">
        <f t="shared" si="8"/>
        <v>0</v>
      </c>
      <c r="BV594" s="1285"/>
      <c r="BW594" s="1285"/>
      <c r="BX594" s="1285"/>
      <c r="BY594" s="1285"/>
      <c r="BZ594" s="1285">
        <f t="shared" si="9"/>
        <v>0</v>
      </c>
      <c r="CA594" s="1285"/>
      <c r="CB594" s="1285"/>
      <c r="CC594" s="1285"/>
      <c r="CD594" s="1285"/>
      <c r="CE594" s="1562">
        <f t="shared" si="10"/>
        <v>0</v>
      </c>
      <c r="CF594" s="1562"/>
      <c r="CG594" s="1562"/>
      <c r="CH594" s="1562"/>
      <c r="CI594" s="1562"/>
      <c r="CJ594" s="1562">
        <f t="shared" si="11"/>
        <v>0</v>
      </c>
      <c r="CK594" s="1562"/>
      <c r="CL594" s="1562"/>
      <c r="CM594" s="1562"/>
      <c r="CN594" s="1562"/>
      <c r="CO594" s="1562">
        <f t="shared" si="12"/>
        <v>0</v>
      </c>
      <c r="CP594" s="1562"/>
      <c r="CQ594" s="1562"/>
      <c r="CR594" s="1562"/>
      <c r="CS594" s="1562"/>
      <c r="CT594" s="1562">
        <f t="shared" si="13"/>
        <v>0</v>
      </c>
      <c r="CU594" s="1562"/>
      <c r="CV594" s="1562"/>
      <c r="CW594" s="1562"/>
      <c r="CX594" s="1562"/>
      <c r="CY594" s="1562">
        <f t="shared" si="14"/>
        <v>0</v>
      </c>
      <c r="CZ594" s="1562"/>
      <c r="DA594" s="1562"/>
      <c r="DB594" s="1562"/>
      <c r="DC594" s="1562"/>
      <c r="DD594" s="1562">
        <f t="shared" si="15"/>
        <v>0</v>
      </c>
      <c r="DE594" s="1562"/>
      <c r="DF594" s="1562"/>
      <c r="DG594" s="1562"/>
      <c r="DH594" s="1562"/>
    </row>
    <row r="595" spans="1:112" ht="12.75">
      <c r="A595" s="35"/>
      <c r="B595" s="12" t="s">
        <v>19</v>
      </c>
      <c r="G595" s="1087" t="s">
        <v>1756</v>
      </c>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1">
        <f t="shared" si="0"/>
        <v>1</v>
      </c>
      <c r="AS595" s="1252"/>
      <c r="AT595" s="1288">
        <f t="shared" si="1"/>
        <v>3</v>
      </c>
      <c r="AU595" s="1289"/>
      <c r="AV595" s="1251">
        <f t="shared" si="2"/>
        <v>0</v>
      </c>
      <c r="AW595" s="1252"/>
      <c r="AX595" s="1288">
        <f t="shared" si="3"/>
        <v>0</v>
      </c>
      <c r="AY595" s="1289"/>
      <c r="AZ595" s="58"/>
      <c r="BA595" s="1288">
        <f t="shared" si="4"/>
        <v>0</v>
      </c>
      <c r="BB595" s="1290"/>
      <c r="BC595" s="1290"/>
      <c r="BD595" s="1290"/>
      <c r="BE595" s="1289"/>
      <c r="BF595" s="1285">
        <f t="shared" si="5"/>
        <v>3</v>
      </c>
      <c r="BG595" s="1285"/>
      <c r="BH595" s="1285"/>
      <c r="BI595" s="1285"/>
      <c r="BJ595" s="1285"/>
      <c r="BK595" s="1285">
        <f t="shared" si="6"/>
        <v>0</v>
      </c>
      <c r="BL595" s="1285"/>
      <c r="BM595" s="1285"/>
      <c r="BN595" s="1285"/>
      <c r="BO595" s="1285"/>
      <c r="BP595" s="1285">
        <f t="shared" si="7"/>
        <v>0</v>
      </c>
      <c r="BQ595" s="1285"/>
      <c r="BR595" s="1285"/>
      <c r="BS595" s="1285"/>
      <c r="BT595" s="1285"/>
      <c r="BU595" s="1285">
        <f t="shared" si="8"/>
        <v>0</v>
      </c>
      <c r="BV595" s="1285"/>
      <c r="BW595" s="1285"/>
      <c r="BX595" s="1285"/>
      <c r="BY595" s="1285"/>
      <c r="BZ595" s="1285">
        <f t="shared" si="9"/>
        <v>0</v>
      </c>
      <c r="CA595" s="1285"/>
      <c r="CB595" s="1285"/>
      <c r="CC595" s="1285"/>
      <c r="CD595" s="1285"/>
      <c r="CE595" s="1562">
        <f t="shared" si="10"/>
        <v>0</v>
      </c>
      <c r="CF595" s="1562"/>
      <c r="CG595" s="1562"/>
      <c r="CH595" s="1562"/>
      <c r="CI595" s="1562"/>
      <c r="CJ595" s="1562">
        <f t="shared" si="11"/>
        <v>0</v>
      </c>
      <c r="CK595" s="1562"/>
      <c r="CL595" s="1562"/>
      <c r="CM595" s="1562"/>
      <c r="CN595" s="1562"/>
      <c r="CO595" s="1562">
        <f t="shared" si="12"/>
        <v>0</v>
      </c>
      <c r="CP595" s="1562"/>
      <c r="CQ595" s="1562"/>
      <c r="CR595" s="1562"/>
      <c r="CS595" s="1562"/>
      <c r="CT595" s="1562">
        <f t="shared" si="13"/>
        <v>0</v>
      </c>
      <c r="CU595" s="1562"/>
      <c r="CV595" s="1562"/>
      <c r="CW595" s="1562"/>
      <c r="CX595" s="1562"/>
      <c r="CY595" s="1562">
        <f t="shared" si="14"/>
        <v>0</v>
      </c>
      <c r="CZ595" s="1562"/>
      <c r="DA595" s="1562"/>
      <c r="DB595" s="1562"/>
      <c r="DC595" s="1562"/>
      <c r="DD595" s="1562">
        <f t="shared" si="15"/>
        <v>0</v>
      </c>
      <c r="DE595" s="1562"/>
      <c r="DF595" s="1562"/>
      <c r="DG595" s="1562"/>
      <c r="DH595" s="1562"/>
    </row>
    <row r="596" spans="1:112" ht="12.75">
      <c r="A596" s="35"/>
      <c r="B596" s="12" t="s">
        <v>338</v>
      </c>
      <c r="G596" s="1176" t="s">
        <v>1757</v>
      </c>
      <c r="H596" s="1121"/>
      <c r="I596" s="1121"/>
      <c r="J596" s="1121"/>
      <c r="K596" s="1121"/>
      <c r="L596" s="1121"/>
      <c r="O596" s="140" t="s">
        <v>220</v>
      </c>
      <c r="P596" s="1151"/>
      <c r="Q596" s="1151"/>
      <c r="R596" s="1151"/>
      <c r="T596" s="35"/>
      <c r="U596" s="12" t="s">
        <v>338</v>
      </c>
      <c r="Z596" s="1121"/>
      <c r="AA596" s="1121"/>
      <c r="AB596" s="1121"/>
      <c r="AC596" s="1121"/>
      <c r="AD596" s="1121"/>
      <c r="AE596" s="1121"/>
      <c r="AH596" s="140" t="s">
        <v>220</v>
      </c>
      <c r="AI596" s="1151"/>
      <c r="AJ596" s="1151"/>
      <c r="AK596" s="1151"/>
      <c r="AM596" s="58"/>
      <c r="AN596" s="58"/>
      <c r="AO596" s="58"/>
      <c r="AP596" s="58"/>
      <c r="AQ596" s="58"/>
      <c r="AR596" s="1251">
        <f t="shared" si="0"/>
        <v>1</v>
      </c>
      <c r="AS596" s="1252"/>
      <c r="AT596" s="1288">
        <f t="shared" si="1"/>
        <v>5</v>
      </c>
      <c r="AU596" s="1289"/>
      <c r="AV596" s="1251">
        <f t="shared" si="2"/>
        <v>0</v>
      </c>
      <c r="AW596" s="1252"/>
      <c r="AX596" s="1288">
        <f t="shared" si="3"/>
        <v>0</v>
      </c>
      <c r="AY596" s="1289"/>
      <c r="AZ596" s="58"/>
      <c r="BA596" s="1288">
        <f t="shared" si="4"/>
        <v>0</v>
      </c>
      <c r="BB596" s="1290"/>
      <c r="BC596" s="1290"/>
      <c r="BD596" s="1290"/>
      <c r="BE596" s="1289"/>
      <c r="BF596" s="1285">
        <f t="shared" si="5"/>
        <v>5</v>
      </c>
      <c r="BG596" s="1285"/>
      <c r="BH596" s="1285"/>
      <c r="BI596" s="1285"/>
      <c r="BJ596" s="1285"/>
      <c r="BK596" s="1285">
        <f t="shared" si="6"/>
        <v>0</v>
      </c>
      <c r="BL596" s="1285"/>
      <c r="BM596" s="1285"/>
      <c r="BN596" s="1285"/>
      <c r="BO596" s="1285"/>
      <c r="BP596" s="1285">
        <f t="shared" si="7"/>
        <v>0</v>
      </c>
      <c r="BQ596" s="1285"/>
      <c r="BR596" s="1285"/>
      <c r="BS596" s="1285"/>
      <c r="BT596" s="1285"/>
      <c r="BU596" s="1285">
        <f t="shared" si="8"/>
        <v>0</v>
      </c>
      <c r="BV596" s="1285"/>
      <c r="BW596" s="1285"/>
      <c r="BX596" s="1285"/>
      <c r="BY596" s="1285"/>
      <c r="BZ596" s="1285">
        <f t="shared" si="9"/>
        <v>0</v>
      </c>
      <c r="CA596" s="1285"/>
      <c r="CB596" s="1285"/>
      <c r="CC596" s="1285"/>
      <c r="CD596" s="1285"/>
      <c r="CE596" s="1562">
        <f t="shared" si="10"/>
        <v>0</v>
      </c>
      <c r="CF596" s="1562"/>
      <c r="CG596" s="1562"/>
      <c r="CH596" s="1562"/>
      <c r="CI596" s="1562"/>
      <c r="CJ596" s="1562">
        <f t="shared" si="11"/>
        <v>0</v>
      </c>
      <c r="CK596" s="1562"/>
      <c r="CL596" s="1562"/>
      <c r="CM596" s="1562"/>
      <c r="CN596" s="1562"/>
      <c r="CO596" s="1562">
        <f t="shared" si="12"/>
        <v>0</v>
      </c>
      <c r="CP596" s="1562"/>
      <c r="CQ596" s="1562"/>
      <c r="CR596" s="1562"/>
      <c r="CS596" s="1562"/>
      <c r="CT596" s="1562">
        <f t="shared" si="13"/>
        <v>0</v>
      </c>
      <c r="CU596" s="1562"/>
      <c r="CV596" s="1562"/>
      <c r="CW596" s="1562"/>
      <c r="CX596" s="1562"/>
      <c r="CY596" s="1562">
        <f t="shared" si="14"/>
        <v>0</v>
      </c>
      <c r="CZ596" s="1562"/>
      <c r="DA596" s="1562"/>
      <c r="DB596" s="1562"/>
      <c r="DC596" s="1562"/>
      <c r="DD596" s="1562">
        <f t="shared" si="15"/>
        <v>0</v>
      </c>
      <c r="DE596" s="1562"/>
      <c r="DF596" s="1562"/>
      <c r="DG596" s="1562"/>
      <c r="DH596" s="1562"/>
    </row>
    <row r="597" spans="1:112" s="7" customFormat="1" ht="12.75">
      <c r="A597" s="35"/>
      <c r="B597" s="12" t="s">
        <v>20</v>
      </c>
      <c r="C597" s="12"/>
      <c r="D597" s="12"/>
      <c r="E597" s="12"/>
      <c r="F597" s="12"/>
      <c r="G597" s="12"/>
      <c r="H597" s="1087" t="s">
        <v>1761</v>
      </c>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1">
        <f t="shared" si="0"/>
        <v>1</v>
      </c>
      <c r="AS597" s="1252"/>
      <c r="AT597" s="1288">
        <f t="shared" si="1"/>
        <v>7</v>
      </c>
      <c r="AU597" s="1289"/>
      <c r="AV597" s="1251">
        <f t="shared" si="2"/>
        <v>0</v>
      </c>
      <c r="AW597" s="1252"/>
      <c r="AX597" s="1288">
        <f t="shared" si="3"/>
        <v>0</v>
      </c>
      <c r="AY597" s="1289"/>
      <c r="AZ597" s="58"/>
      <c r="BA597" s="1288">
        <f t="shared" si="4"/>
        <v>0</v>
      </c>
      <c r="BB597" s="1290"/>
      <c r="BC597" s="1290"/>
      <c r="BD597" s="1290"/>
      <c r="BE597" s="1289"/>
      <c r="BF597" s="1285">
        <f t="shared" si="5"/>
        <v>0</v>
      </c>
      <c r="BG597" s="1285"/>
      <c r="BH597" s="1285"/>
      <c r="BI597" s="1285"/>
      <c r="BJ597" s="1285"/>
      <c r="BK597" s="1285">
        <f t="shared" si="6"/>
        <v>7</v>
      </c>
      <c r="BL597" s="1285"/>
      <c r="BM597" s="1285"/>
      <c r="BN597" s="1285"/>
      <c r="BO597" s="1285"/>
      <c r="BP597" s="1285">
        <f t="shared" si="7"/>
        <v>0</v>
      </c>
      <c r="BQ597" s="1285"/>
      <c r="BR597" s="1285"/>
      <c r="BS597" s="1285"/>
      <c r="BT597" s="1285"/>
      <c r="BU597" s="1285">
        <f t="shared" si="8"/>
        <v>0</v>
      </c>
      <c r="BV597" s="1285"/>
      <c r="BW597" s="1285"/>
      <c r="BX597" s="1285"/>
      <c r="BY597" s="1285"/>
      <c r="BZ597" s="1285">
        <f t="shared" si="9"/>
        <v>0</v>
      </c>
      <c r="CA597" s="1285"/>
      <c r="CB597" s="1285"/>
      <c r="CC597" s="1285"/>
      <c r="CD597" s="1285"/>
      <c r="CE597" s="1562">
        <f t="shared" si="10"/>
        <v>0</v>
      </c>
      <c r="CF597" s="1562"/>
      <c r="CG597" s="1562"/>
      <c r="CH597" s="1562"/>
      <c r="CI597" s="1562"/>
      <c r="CJ597" s="1562">
        <f t="shared" si="11"/>
        <v>0</v>
      </c>
      <c r="CK597" s="1562"/>
      <c r="CL597" s="1562"/>
      <c r="CM597" s="1562"/>
      <c r="CN597" s="1562"/>
      <c r="CO597" s="1562">
        <f t="shared" si="12"/>
        <v>0</v>
      </c>
      <c r="CP597" s="1562"/>
      <c r="CQ597" s="1562"/>
      <c r="CR597" s="1562"/>
      <c r="CS597" s="1562"/>
      <c r="CT597" s="1562">
        <f t="shared" si="13"/>
        <v>0</v>
      </c>
      <c r="CU597" s="1562"/>
      <c r="CV597" s="1562"/>
      <c r="CW597" s="1562"/>
      <c r="CX597" s="1562"/>
      <c r="CY597" s="1562">
        <f t="shared" si="14"/>
        <v>0</v>
      </c>
      <c r="CZ597" s="1562"/>
      <c r="DA597" s="1562"/>
      <c r="DB597" s="1562"/>
      <c r="DC597" s="1562"/>
      <c r="DD597" s="1562">
        <f t="shared" si="15"/>
        <v>0</v>
      </c>
      <c r="DE597" s="1562"/>
      <c r="DF597" s="1562"/>
      <c r="DG597" s="1562"/>
      <c r="DH597" s="1562"/>
    </row>
    <row r="598" spans="1:112" s="7" customFormat="1" ht="12.75">
      <c r="A598" s="35"/>
      <c r="B598" s="12" t="s">
        <v>22</v>
      </c>
      <c r="C598" s="12"/>
      <c r="D598" s="12"/>
      <c r="E598" s="12"/>
      <c r="F598" s="12"/>
      <c r="G598" s="12"/>
      <c r="H598" s="12"/>
      <c r="I598" s="12"/>
      <c r="J598" s="12"/>
      <c r="K598" s="12"/>
      <c r="L598" s="12"/>
      <c r="M598" s="12"/>
      <c r="N598" s="1115" t="s">
        <v>592</v>
      </c>
      <c r="O598" s="1115"/>
      <c r="P598" s="12"/>
      <c r="Q598" s="12"/>
      <c r="R598" s="12"/>
      <c r="S598" s="12"/>
      <c r="T598" s="35"/>
      <c r="U598" s="12" t="s">
        <v>22</v>
      </c>
      <c r="V598" s="12"/>
      <c r="W598" s="12"/>
      <c r="X598" s="12"/>
      <c r="Y598" s="12"/>
      <c r="Z598" s="12"/>
      <c r="AA598" s="12"/>
      <c r="AB598" s="12"/>
      <c r="AC598" s="12"/>
      <c r="AD598" s="12"/>
      <c r="AE598" s="12"/>
      <c r="AF598" s="12"/>
      <c r="AG598" s="1115" t="s">
        <v>723</v>
      </c>
      <c r="AH598" s="1115"/>
      <c r="AI598" s="12"/>
      <c r="AJ598" s="12"/>
      <c r="AK598" s="12"/>
      <c r="AL598" s="12"/>
      <c r="AM598" s="58"/>
      <c r="AN598" s="58"/>
      <c r="AO598" s="58"/>
      <c r="AP598" s="58"/>
      <c r="AQ598" s="58"/>
      <c r="AR598" s="1251">
        <f t="shared" si="0"/>
        <v>1</v>
      </c>
      <c r="AS598" s="1252"/>
      <c r="AT598" s="1288">
        <f t="shared" si="1"/>
        <v>6</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0</v>
      </c>
      <c r="BL598" s="1285"/>
      <c r="BM598" s="1285"/>
      <c r="BN598" s="1285"/>
      <c r="BO598" s="1285"/>
      <c r="BP598" s="1285">
        <f t="shared" si="7"/>
        <v>6</v>
      </c>
      <c r="BQ598" s="1285"/>
      <c r="BR598" s="1285"/>
      <c r="BS598" s="1285"/>
      <c r="BT598" s="1285"/>
      <c r="BU598" s="1285">
        <f t="shared" si="8"/>
        <v>0</v>
      </c>
      <c r="BV598" s="1285"/>
      <c r="BW598" s="1285"/>
      <c r="BX598" s="1285"/>
      <c r="BY598" s="1285"/>
      <c r="BZ598" s="1285">
        <f t="shared" si="9"/>
        <v>0</v>
      </c>
      <c r="CA598" s="1285"/>
      <c r="CB598" s="1285"/>
      <c r="CC598" s="1285"/>
      <c r="CD598" s="1285"/>
      <c r="CE598" s="1562">
        <f t="shared" si="10"/>
        <v>0</v>
      </c>
      <c r="CF598" s="1562"/>
      <c r="CG598" s="1562"/>
      <c r="CH598" s="1562"/>
      <c r="CI598" s="1562"/>
      <c r="CJ598" s="1562">
        <f t="shared" si="11"/>
        <v>0</v>
      </c>
      <c r="CK598" s="1562"/>
      <c r="CL598" s="1562"/>
      <c r="CM598" s="1562"/>
      <c r="CN598" s="1562"/>
      <c r="CO598" s="1562">
        <f t="shared" si="12"/>
        <v>0</v>
      </c>
      <c r="CP598" s="1562"/>
      <c r="CQ598" s="1562"/>
      <c r="CR598" s="1562"/>
      <c r="CS598" s="1562"/>
      <c r="CT598" s="1562">
        <f t="shared" si="13"/>
        <v>0</v>
      </c>
      <c r="CU598" s="1562"/>
      <c r="CV598" s="1562"/>
      <c r="CW598" s="1562"/>
      <c r="CX598" s="1562"/>
      <c r="CY598" s="1562">
        <f t="shared" si="14"/>
        <v>0</v>
      </c>
      <c r="CZ598" s="1562"/>
      <c r="DA598" s="1562"/>
      <c r="DB598" s="1562"/>
      <c r="DC598" s="1562"/>
      <c r="DD598" s="1562">
        <f t="shared" si="15"/>
        <v>0</v>
      </c>
      <c r="DE598" s="1562"/>
      <c r="DF598" s="1562"/>
      <c r="DG598" s="1562"/>
      <c r="DH598" s="156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6</v>
      </c>
      <c r="BG599" s="1285"/>
      <c r="BH599" s="1285"/>
      <c r="BI599" s="1285"/>
      <c r="BJ599" s="1285"/>
      <c r="BK599" s="1285">
        <f t="shared" si="6"/>
        <v>0</v>
      </c>
      <c r="BL599" s="1285"/>
      <c r="BM599" s="1285"/>
      <c r="BN599" s="1285"/>
      <c r="BO599" s="1285"/>
      <c r="BP599" s="1285">
        <f t="shared" si="7"/>
        <v>0</v>
      </c>
      <c r="BQ599" s="1285"/>
      <c r="BR599" s="1285"/>
      <c r="BS599" s="1285"/>
      <c r="BT599" s="1285"/>
      <c r="BU599" s="1285">
        <f t="shared" si="8"/>
        <v>0</v>
      </c>
      <c r="BV599" s="1285"/>
      <c r="BW599" s="1285"/>
      <c r="BX599" s="1285"/>
      <c r="BY599" s="1285"/>
      <c r="BZ599" s="1285">
        <f t="shared" si="9"/>
        <v>0</v>
      </c>
      <c r="CA599" s="1285"/>
      <c r="CB599" s="1285"/>
      <c r="CC599" s="1285"/>
      <c r="CD599" s="1285"/>
      <c r="CE599" s="1562">
        <f t="shared" si="10"/>
        <v>0</v>
      </c>
      <c r="CF599" s="1562"/>
      <c r="CG599" s="1562"/>
      <c r="CH599" s="1562"/>
      <c r="CI599" s="1562"/>
      <c r="CJ599" s="1562">
        <f t="shared" si="11"/>
        <v>0</v>
      </c>
      <c r="CK599" s="1562"/>
      <c r="CL599" s="1562"/>
      <c r="CM599" s="1562"/>
      <c r="CN599" s="1562"/>
      <c r="CO599" s="1562">
        <f t="shared" si="12"/>
        <v>0</v>
      </c>
      <c r="CP599" s="1562"/>
      <c r="CQ599" s="1562"/>
      <c r="CR599" s="1562"/>
      <c r="CS599" s="1562"/>
      <c r="CT599" s="1562">
        <f t="shared" si="13"/>
        <v>0</v>
      </c>
      <c r="CU599" s="1562"/>
      <c r="CV599" s="1562"/>
      <c r="CW599" s="1562"/>
      <c r="CX599" s="1562"/>
      <c r="CY599" s="1562">
        <f t="shared" si="14"/>
        <v>0</v>
      </c>
      <c r="CZ599" s="1562"/>
      <c r="DA599" s="1562"/>
      <c r="DB599" s="1562"/>
      <c r="DC599" s="1562"/>
      <c r="DD599" s="1562">
        <f t="shared" si="15"/>
        <v>0</v>
      </c>
      <c r="DE599" s="1562"/>
      <c r="DF599" s="1562"/>
      <c r="DG599" s="1562"/>
      <c r="DH599" s="1562"/>
    </row>
    <row r="600" spans="1:112" ht="12.75">
      <c r="A600" s="87" t="s">
        <v>386</v>
      </c>
      <c r="B600" s="12" t="s">
        <v>510</v>
      </c>
      <c r="G600" s="1174" t="str">
        <f>C555</f>
        <v>CDLAC Performance deposit refund</v>
      </c>
      <c r="H600" s="1174"/>
      <c r="I600" s="1174"/>
      <c r="J600" s="1174"/>
      <c r="K600" s="1174"/>
      <c r="L600" s="1174"/>
      <c r="M600" s="1174"/>
      <c r="N600" s="1174"/>
      <c r="O600" s="1174"/>
      <c r="P600" s="1174"/>
      <c r="Q600" s="1174"/>
      <c r="R600" s="1174"/>
      <c r="T600" s="87" t="s">
        <v>387</v>
      </c>
      <c r="U600" s="12" t="s">
        <v>510</v>
      </c>
      <c r="Z600" s="1174">
        <f>C556</f>
        <v>0</v>
      </c>
      <c r="AA600" s="1174"/>
      <c r="AB600" s="1174"/>
      <c r="AC600" s="1174"/>
      <c r="AD600" s="1174"/>
      <c r="AE600" s="1174"/>
      <c r="AF600" s="1174"/>
      <c r="AG600" s="1174"/>
      <c r="AH600" s="1174"/>
      <c r="AI600" s="1174"/>
      <c r="AJ600" s="1174"/>
      <c r="AK600" s="1174"/>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6</v>
      </c>
      <c r="BL600" s="1285"/>
      <c r="BM600" s="1285"/>
      <c r="BN600" s="1285"/>
      <c r="BO600" s="1285"/>
      <c r="BP600" s="1285">
        <f t="shared" si="7"/>
        <v>0</v>
      </c>
      <c r="BQ600" s="1285"/>
      <c r="BR600" s="1285"/>
      <c r="BS600" s="1285"/>
      <c r="BT600" s="1285"/>
      <c r="BU600" s="1285">
        <f t="shared" si="8"/>
        <v>0</v>
      </c>
      <c r="BV600" s="1285"/>
      <c r="BW600" s="1285"/>
      <c r="BX600" s="1285"/>
      <c r="BY600" s="1285"/>
      <c r="BZ600" s="1285">
        <f t="shared" si="9"/>
        <v>0</v>
      </c>
      <c r="CA600" s="1285"/>
      <c r="CB600" s="1285"/>
      <c r="CC600" s="1285"/>
      <c r="CD600" s="1285"/>
      <c r="CE600" s="1562">
        <f t="shared" si="10"/>
        <v>0</v>
      </c>
      <c r="CF600" s="1562"/>
      <c r="CG600" s="1562"/>
      <c r="CH600" s="1562"/>
      <c r="CI600" s="1562"/>
      <c r="CJ600" s="1562">
        <f t="shared" si="11"/>
        <v>0</v>
      </c>
      <c r="CK600" s="1562"/>
      <c r="CL600" s="1562"/>
      <c r="CM600" s="1562"/>
      <c r="CN600" s="1562"/>
      <c r="CO600" s="1562">
        <f t="shared" si="12"/>
        <v>0</v>
      </c>
      <c r="CP600" s="1562"/>
      <c r="CQ600" s="1562"/>
      <c r="CR600" s="1562"/>
      <c r="CS600" s="1562"/>
      <c r="CT600" s="1562">
        <f t="shared" si="13"/>
        <v>0</v>
      </c>
      <c r="CU600" s="1562"/>
      <c r="CV600" s="1562"/>
      <c r="CW600" s="1562"/>
      <c r="CX600" s="1562"/>
      <c r="CY600" s="1562">
        <f t="shared" si="14"/>
        <v>0</v>
      </c>
      <c r="CZ600" s="1562"/>
      <c r="DA600" s="1562"/>
      <c r="DB600" s="1562"/>
      <c r="DC600" s="1562"/>
      <c r="DD600" s="1562">
        <f t="shared" si="15"/>
        <v>0</v>
      </c>
      <c r="DE600" s="1562"/>
      <c r="DF600" s="1562"/>
      <c r="DG600" s="1562"/>
      <c r="DH600" s="1562"/>
    </row>
    <row r="601" spans="1:112" ht="12.75">
      <c r="B601" s="12" t="s">
        <v>92</v>
      </c>
      <c r="G601" s="1087" t="s">
        <v>1755</v>
      </c>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4</v>
      </c>
      <c r="BQ601" s="1285"/>
      <c r="BR601" s="1285"/>
      <c r="BS601" s="1285"/>
      <c r="BT601" s="1285"/>
      <c r="BU601" s="1285">
        <f t="shared" si="8"/>
        <v>0</v>
      </c>
      <c r="BV601" s="1285"/>
      <c r="BW601" s="1285"/>
      <c r="BX601" s="1285"/>
      <c r="BY601" s="1285"/>
      <c r="BZ601" s="1285">
        <f t="shared" si="9"/>
        <v>0</v>
      </c>
      <c r="CA601" s="1285"/>
      <c r="CB601" s="1285"/>
      <c r="CC601" s="1285"/>
      <c r="CD601" s="1285"/>
      <c r="CE601" s="1562">
        <f t="shared" si="10"/>
        <v>0</v>
      </c>
      <c r="CF601" s="1562"/>
      <c r="CG601" s="1562"/>
      <c r="CH601" s="1562"/>
      <c r="CI601" s="1562"/>
      <c r="CJ601" s="1562">
        <f t="shared" si="11"/>
        <v>0</v>
      </c>
      <c r="CK601" s="1562"/>
      <c r="CL601" s="1562"/>
      <c r="CM601" s="1562"/>
      <c r="CN601" s="1562"/>
      <c r="CO601" s="1562">
        <f t="shared" si="12"/>
        <v>0</v>
      </c>
      <c r="CP601" s="1562"/>
      <c r="CQ601" s="1562"/>
      <c r="CR601" s="1562"/>
      <c r="CS601" s="1562"/>
      <c r="CT601" s="1562">
        <f t="shared" si="13"/>
        <v>0</v>
      </c>
      <c r="CU601" s="1562"/>
      <c r="CV601" s="1562"/>
      <c r="CW601" s="1562"/>
      <c r="CX601" s="1562"/>
      <c r="CY601" s="1562">
        <f t="shared" si="14"/>
        <v>0</v>
      </c>
      <c r="CZ601" s="1562"/>
      <c r="DA601" s="1562"/>
      <c r="DB601" s="1562"/>
      <c r="DC601" s="1562"/>
      <c r="DD601" s="1562">
        <f t="shared" si="15"/>
        <v>0</v>
      </c>
      <c r="DE601" s="1562"/>
      <c r="DF601" s="1562"/>
      <c r="DG601" s="1562"/>
      <c r="DH601" s="1562"/>
    </row>
    <row r="602" spans="1:112" ht="12.75">
      <c r="B602" s="12" t="s">
        <v>631</v>
      </c>
      <c r="G602" s="1087" t="s">
        <v>1820</v>
      </c>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62">
        <f t="shared" si="10"/>
        <v>0</v>
      </c>
      <c r="CF602" s="1562"/>
      <c r="CG602" s="1562"/>
      <c r="CH602" s="1562"/>
      <c r="CI602" s="1562"/>
      <c r="CJ602" s="1562">
        <f t="shared" si="11"/>
        <v>0</v>
      </c>
      <c r="CK602" s="1562"/>
      <c r="CL602" s="1562"/>
      <c r="CM602" s="1562"/>
      <c r="CN602" s="1562"/>
      <c r="CO602" s="1562">
        <f t="shared" si="12"/>
        <v>0</v>
      </c>
      <c r="CP602" s="1562"/>
      <c r="CQ602" s="1562"/>
      <c r="CR602" s="1562"/>
      <c r="CS602" s="1562"/>
      <c r="CT602" s="1562">
        <f t="shared" si="13"/>
        <v>0</v>
      </c>
      <c r="CU602" s="1562"/>
      <c r="CV602" s="1562"/>
      <c r="CW602" s="1562"/>
      <c r="CX602" s="1562"/>
      <c r="CY602" s="1562">
        <f t="shared" si="14"/>
        <v>0</v>
      </c>
      <c r="CZ602" s="1562"/>
      <c r="DA602" s="1562"/>
      <c r="DB602" s="1562"/>
      <c r="DC602" s="1562"/>
      <c r="DD602" s="1562">
        <f t="shared" si="15"/>
        <v>0</v>
      </c>
      <c r="DE602" s="1562"/>
      <c r="DF602" s="1562"/>
      <c r="DG602" s="1562"/>
      <c r="DH602" s="1562"/>
    </row>
    <row r="603" spans="1:112" ht="12.75">
      <c r="B603" s="12" t="s">
        <v>19</v>
      </c>
      <c r="G603" s="1087" t="s">
        <v>1756</v>
      </c>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62">
        <f t="shared" si="10"/>
        <v>0</v>
      </c>
      <c r="CF603" s="1562"/>
      <c r="CG603" s="1562"/>
      <c r="CH603" s="1562"/>
      <c r="CI603" s="1562"/>
      <c r="CJ603" s="1562">
        <f t="shared" si="11"/>
        <v>0</v>
      </c>
      <c r="CK603" s="1562"/>
      <c r="CL603" s="1562"/>
      <c r="CM603" s="1562"/>
      <c r="CN603" s="1562"/>
      <c r="CO603" s="1562">
        <f t="shared" si="12"/>
        <v>0</v>
      </c>
      <c r="CP603" s="1562"/>
      <c r="CQ603" s="1562"/>
      <c r="CR603" s="1562"/>
      <c r="CS603" s="1562"/>
      <c r="CT603" s="1562">
        <f t="shared" si="13"/>
        <v>0</v>
      </c>
      <c r="CU603" s="1562"/>
      <c r="CV603" s="1562"/>
      <c r="CW603" s="1562"/>
      <c r="CX603" s="1562"/>
      <c r="CY603" s="1562">
        <f t="shared" si="14"/>
        <v>0</v>
      </c>
      <c r="CZ603" s="1562"/>
      <c r="DA603" s="1562"/>
      <c r="DB603" s="1562"/>
      <c r="DC603" s="1562"/>
      <c r="DD603" s="1562">
        <f t="shared" si="15"/>
        <v>0</v>
      </c>
      <c r="DE603" s="1562"/>
      <c r="DF603" s="1562"/>
      <c r="DG603" s="1562"/>
      <c r="DH603" s="1562"/>
    </row>
    <row r="604" spans="1:112" ht="12.75">
      <c r="B604" s="12" t="s">
        <v>338</v>
      </c>
      <c r="G604" s="1176" t="s">
        <v>1757</v>
      </c>
      <c r="H604" s="1121"/>
      <c r="I604" s="1121"/>
      <c r="J604" s="1121"/>
      <c r="K604" s="1121"/>
      <c r="L604" s="1121"/>
      <c r="O604" s="140" t="s">
        <v>220</v>
      </c>
      <c r="P604" s="1151"/>
      <c r="Q604" s="1151"/>
      <c r="R604" s="1151"/>
      <c r="U604" s="12" t="s">
        <v>338</v>
      </c>
      <c r="Z604" s="1121"/>
      <c r="AA604" s="1121"/>
      <c r="AB604" s="1121"/>
      <c r="AC604" s="1121"/>
      <c r="AD604" s="1121"/>
      <c r="AE604" s="1121"/>
      <c r="AH604" s="140" t="s">
        <v>220</v>
      </c>
      <c r="AI604" s="1151"/>
      <c r="AJ604" s="1151"/>
      <c r="AK604" s="1151"/>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62">
        <f t="shared" si="10"/>
        <v>0</v>
      </c>
      <c r="CF604" s="1562"/>
      <c r="CG604" s="1562"/>
      <c r="CH604" s="1562"/>
      <c r="CI604" s="1562"/>
      <c r="CJ604" s="1562">
        <f t="shared" si="11"/>
        <v>0</v>
      </c>
      <c r="CK604" s="1562"/>
      <c r="CL604" s="1562"/>
      <c r="CM604" s="1562"/>
      <c r="CN604" s="1562"/>
      <c r="CO604" s="1562">
        <f t="shared" si="12"/>
        <v>0</v>
      </c>
      <c r="CP604" s="1562"/>
      <c r="CQ604" s="1562"/>
      <c r="CR604" s="1562"/>
      <c r="CS604" s="1562"/>
      <c r="CT604" s="1562">
        <f t="shared" si="13"/>
        <v>0</v>
      </c>
      <c r="CU604" s="1562"/>
      <c r="CV604" s="1562"/>
      <c r="CW604" s="1562"/>
      <c r="CX604" s="1562"/>
      <c r="CY604" s="1562">
        <f t="shared" si="14"/>
        <v>0</v>
      </c>
      <c r="CZ604" s="1562"/>
      <c r="DA604" s="1562"/>
      <c r="DB604" s="1562"/>
      <c r="DC604" s="1562"/>
      <c r="DD604" s="1562">
        <f t="shared" si="15"/>
        <v>0</v>
      </c>
      <c r="DE604" s="1562"/>
      <c r="DF604" s="1562"/>
      <c r="DG604" s="1562"/>
      <c r="DH604" s="1562"/>
    </row>
    <row r="605" spans="1:112" ht="12.75">
      <c r="B605" s="12" t="s">
        <v>20</v>
      </c>
      <c r="H605" s="1087" t="s">
        <v>1774</v>
      </c>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62">
        <f t="shared" si="10"/>
        <v>0</v>
      </c>
      <c r="CF605" s="1562"/>
      <c r="CG605" s="1562"/>
      <c r="CH605" s="1562"/>
      <c r="CI605" s="1562"/>
      <c r="CJ605" s="1562">
        <f t="shared" si="11"/>
        <v>0</v>
      </c>
      <c r="CK605" s="1562"/>
      <c r="CL605" s="1562"/>
      <c r="CM605" s="1562"/>
      <c r="CN605" s="1562"/>
      <c r="CO605" s="1562">
        <f t="shared" si="12"/>
        <v>0</v>
      </c>
      <c r="CP605" s="1562"/>
      <c r="CQ605" s="1562"/>
      <c r="CR605" s="1562"/>
      <c r="CS605" s="1562"/>
      <c r="CT605" s="1562">
        <f t="shared" si="13"/>
        <v>0</v>
      </c>
      <c r="CU605" s="1562"/>
      <c r="CV605" s="1562"/>
      <c r="CW605" s="1562"/>
      <c r="CX605" s="1562"/>
      <c r="CY605" s="1562">
        <f t="shared" si="14"/>
        <v>0</v>
      </c>
      <c r="CZ605" s="1562"/>
      <c r="DA605" s="1562"/>
      <c r="DB605" s="1562"/>
      <c r="DC605" s="1562"/>
      <c r="DD605" s="1562">
        <f t="shared" si="15"/>
        <v>0</v>
      </c>
      <c r="DE605" s="1562"/>
      <c r="DF605" s="1562"/>
      <c r="DG605" s="1562"/>
      <c r="DH605" s="1562"/>
    </row>
    <row r="606" spans="1:112" ht="12.75">
      <c r="B606" s="12" t="s">
        <v>22</v>
      </c>
      <c r="N606" s="1115" t="s">
        <v>592</v>
      </c>
      <c r="O606" s="1115"/>
      <c r="U606" s="12" t="s">
        <v>22</v>
      </c>
      <c r="AG606" s="1115" t="s">
        <v>723</v>
      </c>
      <c r="AH606" s="1115"/>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62">
        <f t="shared" si="10"/>
        <v>0</v>
      </c>
      <c r="CF606" s="1562"/>
      <c r="CG606" s="1562"/>
      <c r="CH606" s="1562"/>
      <c r="CI606" s="1562"/>
      <c r="CJ606" s="1562">
        <f t="shared" si="11"/>
        <v>0</v>
      </c>
      <c r="CK606" s="1562"/>
      <c r="CL606" s="1562"/>
      <c r="CM606" s="1562"/>
      <c r="CN606" s="1562"/>
      <c r="CO606" s="1562">
        <f t="shared" si="12"/>
        <v>0</v>
      </c>
      <c r="CP606" s="1562"/>
      <c r="CQ606" s="1562"/>
      <c r="CR606" s="1562"/>
      <c r="CS606" s="1562"/>
      <c r="CT606" s="1562">
        <f t="shared" si="13"/>
        <v>0</v>
      </c>
      <c r="CU606" s="1562"/>
      <c r="CV606" s="1562"/>
      <c r="CW606" s="1562"/>
      <c r="CX606" s="1562"/>
      <c r="CY606" s="1562">
        <f t="shared" si="14"/>
        <v>0</v>
      </c>
      <c r="CZ606" s="1562"/>
      <c r="DA606" s="1562"/>
      <c r="DB606" s="1562"/>
      <c r="DC606" s="1562"/>
      <c r="DD606" s="1562">
        <f t="shared" si="15"/>
        <v>0</v>
      </c>
      <c r="DE606" s="1562"/>
      <c r="DF606" s="1562"/>
      <c r="DG606" s="1562"/>
      <c r="DH606" s="1562"/>
    </row>
    <row r="607" spans="1:112" ht="12.75">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62">
        <f t="shared" si="10"/>
        <v>0</v>
      </c>
      <c r="CF607" s="1562"/>
      <c r="CG607" s="1562"/>
      <c r="CH607" s="1562"/>
      <c r="CI607" s="1562"/>
      <c r="CJ607" s="1562">
        <f t="shared" si="11"/>
        <v>0</v>
      </c>
      <c r="CK607" s="1562"/>
      <c r="CL607" s="1562"/>
      <c r="CM607" s="1562"/>
      <c r="CN607" s="1562"/>
      <c r="CO607" s="1562">
        <f t="shared" si="12"/>
        <v>0</v>
      </c>
      <c r="CP607" s="1562"/>
      <c r="CQ607" s="1562"/>
      <c r="CR607" s="1562"/>
      <c r="CS607" s="1562"/>
      <c r="CT607" s="1562">
        <f t="shared" si="13"/>
        <v>0</v>
      </c>
      <c r="CU607" s="1562"/>
      <c r="CV607" s="1562"/>
      <c r="CW607" s="1562"/>
      <c r="CX607" s="1562"/>
      <c r="CY607" s="1562">
        <f t="shared" si="14"/>
        <v>0</v>
      </c>
      <c r="CZ607" s="1562"/>
      <c r="DA607" s="1562"/>
      <c r="DB607" s="1562"/>
      <c r="DC607" s="1562"/>
      <c r="DD607" s="1562">
        <f t="shared" si="15"/>
        <v>0</v>
      </c>
      <c r="DE607" s="1562"/>
      <c r="DF607" s="1562"/>
      <c r="DG607" s="1562"/>
      <c r="DH607" s="1562"/>
    </row>
    <row r="608" spans="1:112" ht="12.75">
      <c r="A608" s="1300" t="s">
        <v>591</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62">
        <f t="shared" si="10"/>
        <v>0</v>
      </c>
      <c r="CF608" s="1562"/>
      <c r="CG608" s="1562"/>
      <c r="CH608" s="1562"/>
      <c r="CI608" s="1562"/>
      <c r="CJ608" s="1562">
        <f t="shared" si="11"/>
        <v>0</v>
      </c>
      <c r="CK608" s="1562"/>
      <c r="CL608" s="1562"/>
      <c r="CM608" s="1562"/>
      <c r="CN608" s="1562"/>
      <c r="CO608" s="1562">
        <f t="shared" si="12"/>
        <v>0</v>
      </c>
      <c r="CP608" s="1562"/>
      <c r="CQ608" s="1562"/>
      <c r="CR608" s="1562"/>
      <c r="CS608" s="1562"/>
      <c r="CT608" s="1562">
        <f t="shared" si="13"/>
        <v>0</v>
      </c>
      <c r="CU608" s="1562"/>
      <c r="CV608" s="1562"/>
      <c r="CW608" s="1562"/>
      <c r="CX608" s="1562"/>
      <c r="CY608" s="1562">
        <f t="shared" si="14"/>
        <v>0</v>
      </c>
      <c r="CZ608" s="1562"/>
      <c r="DA608" s="1562"/>
      <c r="DB608" s="1562"/>
      <c r="DC608" s="1562"/>
      <c r="DD608" s="1562">
        <f t="shared" si="15"/>
        <v>0</v>
      </c>
      <c r="DE608" s="1562"/>
      <c r="DF608" s="1562"/>
      <c r="DG608" s="1562"/>
      <c r="DH608" s="1562"/>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62">
        <f t="shared" si="10"/>
        <v>0</v>
      </c>
      <c r="CF609" s="1562"/>
      <c r="CG609" s="1562"/>
      <c r="CH609" s="1562"/>
      <c r="CI609" s="1562"/>
      <c r="CJ609" s="1562">
        <f t="shared" si="11"/>
        <v>0</v>
      </c>
      <c r="CK609" s="1562"/>
      <c r="CL609" s="1562"/>
      <c r="CM609" s="1562"/>
      <c r="CN609" s="1562"/>
      <c r="CO609" s="1562">
        <f t="shared" si="12"/>
        <v>0</v>
      </c>
      <c r="CP609" s="1562"/>
      <c r="CQ609" s="1562"/>
      <c r="CR609" s="1562"/>
      <c r="CS609" s="1562"/>
      <c r="CT609" s="1562">
        <f t="shared" si="13"/>
        <v>0</v>
      </c>
      <c r="CU609" s="1562"/>
      <c r="CV609" s="1562"/>
      <c r="CW609" s="1562"/>
      <c r="CX609" s="1562"/>
      <c r="CY609" s="1562">
        <f t="shared" si="14"/>
        <v>0</v>
      </c>
      <c r="CZ609" s="1562"/>
      <c r="DA609" s="1562"/>
      <c r="DB609" s="1562"/>
      <c r="DC609" s="1562"/>
      <c r="DD609" s="1562">
        <f t="shared" si="15"/>
        <v>0</v>
      </c>
      <c r="DE609" s="1562"/>
      <c r="DF609" s="1562"/>
      <c r="DG609" s="1562"/>
      <c r="DH609" s="1562"/>
    </row>
    <row r="610" spans="1:112" ht="13.5"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62">
        <f t="shared" si="10"/>
        <v>0</v>
      </c>
      <c r="CF610" s="1562"/>
      <c r="CG610" s="1562"/>
      <c r="CH610" s="1562"/>
      <c r="CI610" s="1562"/>
      <c r="CJ610" s="1562">
        <f t="shared" si="11"/>
        <v>0</v>
      </c>
      <c r="CK610" s="1562"/>
      <c r="CL610" s="1562"/>
      <c r="CM610" s="1562"/>
      <c r="CN610" s="1562"/>
      <c r="CO610" s="1562">
        <f t="shared" si="12"/>
        <v>0</v>
      </c>
      <c r="CP610" s="1562"/>
      <c r="CQ610" s="1562"/>
      <c r="CR610" s="1562"/>
      <c r="CS610" s="1562"/>
      <c r="CT610" s="1562">
        <f t="shared" si="13"/>
        <v>0</v>
      </c>
      <c r="CU610" s="1562"/>
      <c r="CV610" s="1562"/>
      <c r="CW610" s="1562"/>
      <c r="CX610" s="1562"/>
      <c r="CY610" s="1562">
        <f t="shared" si="14"/>
        <v>0</v>
      </c>
      <c r="CZ610" s="1562"/>
      <c r="DA610" s="1562"/>
      <c r="DB610" s="1562"/>
      <c r="DC610" s="1562"/>
      <c r="DD610" s="1562">
        <f t="shared" si="15"/>
        <v>0</v>
      </c>
      <c r="DE610" s="1562"/>
      <c r="DF610" s="1562"/>
      <c r="DG610" s="1562"/>
      <c r="DH610" s="1562"/>
    </row>
    <row r="611" spans="1:112" ht="12.75">
      <c r="A611" s="50" t="s">
        <v>341</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62">
        <f t="shared" si="10"/>
        <v>0</v>
      </c>
      <c r="CF611" s="1562"/>
      <c r="CG611" s="1562"/>
      <c r="CH611" s="1562"/>
      <c r="CI611" s="1562"/>
      <c r="CJ611" s="1562">
        <f t="shared" si="11"/>
        <v>0</v>
      </c>
      <c r="CK611" s="1562"/>
      <c r="CL611" s="1562"/>
      <c r="CM611" s="1562"/>
      <c r="CN611" s="1562"/>
      <c r="CO611" s="1562">
        <f t="shared" si="12"/>
        <v>0</v>
      </c>
      <c r="CP611" s="1562"/>
      <c r="CQ611" s="1562"/>
      <c r="CR611" s="1562"/>
      <c r="CS611" s="1562"/>
      <c r="CT611" s="1562">
        <f t="shared" si="13"/>
        <v>0</v>
      </c>
      <c r="CU611" s="1562"/>
      <c r="CV611" s="1562"/>
      <c r="CW611" s="1562"/>
      <c r="CX611" s="1562"/>
      <c r="CY611" s="1562">
        <f t="shared" si="14"/>
        <v>0</v>
      </c>
      <c r="CZ611" s="1562"/>
      <c r="DA611" s="1562"/>
      <c r="DB611" s="1562"/>
      <c r="DC611" s="1562"/>
      <c r="DD611" s="1562">
        <f t="shared" si="15"/>
        <v>0</v>
      </c>
      <c r="DE611" s="1562"/>
      <c r="DF611" s="1562"/>
      <c r="DG611" s="1562"/>
      <c r="DH611" s="1562"/>
    </row>
    <row r="612" spans="1:112" ht="12.75">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62">
        <f t="shared" si="10"/>
        <v>0</v>
      </c>
      <c r="CF612" s="1562"/>
      <c r="CG612" s="1562"/>
      <c r="CH612" s="1562"/>
      <c r="CI612" s="1562"/>
      <c r="CJ612" s="1562">
        <f t="shared" si="11"/>
        <v>0</v>
      </c>
      <c r="CK612" s="1562"/>
      <c r="CL612" s="1562"/>
      <c r="CM612" s="1562"/>
      <c r="CN612" s="1562"/>
      <c r="CO612" s="1562">
        <f t="shared" si="12"/>
        <v>0</v>
      </c>
      <c r="CP612" s="1562"/>
      <c r="CQ612" s="1562"/>
      <c r="CR612" s="1562"/>
      <c r="CS612" s="1562"/>
      <c r="CT612" s="1562">
        <f t="shared" si="13"/>
        <v>0</v>
      </c>
      <c r="CU612" s="1562"/>
      <c r="CV612" s="1562"/>
      <c r="CW612" s="1562"/>
      <c r="CX612" s="1562"/>
      <c r="CY612" s="1562">
        <f t="shared" si="14"/>
        <v>0</v>
      </c>
      <c r="CZ612" s="1562"/>
      <c r="DA612" s="1562"/>
      <c r="DB612" s="1562"/>
      <c r="DC612" s="1562"/>
      <c r="DD612" s="1562">
        <f t="shared" si="15"/>
        <v>0</v>
      </c>
      <c r="DE612" s="1562"/>
      <c r="DF612" s="1562"/>
      <c r="DG612" s="1562"/>
      <c r="DH612" s="156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62">
        <f t="shared" si="10"/>
        <v>0</v>
      </c>
      <c r="CF613" s="1562"/>
      <c r="CG613" s="1562"/>
      <c r="CH613" s="1562"/>
      <c r="CI613" s="1562"/>
      <c r="CJ613" s="1562">
        <f t="shared" si="11"/>
        <v>0</v>
      </c>
      <c r="CK613" s="1562"/>
      <c r="CL613" s="1562"/>
      <c r="CM613" s="1562"/>
      <c r="CN613" s="1562"/>
      <c r="CO613" s="1562">
        <f t="shared" si="12"/>
        <v>0</v>
      </c>
      <c r="CP613" s="1562"/>
      <c r="CQ613" s="1562"/>
      <c r="CR613" s="1562"/>
      <c r="CS613" s="1562"/>
      <c r="CT613" s="1562">
        <f t="shared" si="13"/>
        <v>0</v>
      </c>
      <c r="CU613" s="1562"/>
      <c r="CV613" s="1562"/>
      <c r="CW613" s="1562"/>
      <c r="CX613" s="1562"/>
      <c r="CY613" s="1562">
        <f t="shared" si="14"/>
        <v>0</v>
      </c>
      <c r="CZ613" s="1562"/>
      <c r="DA613" s="1562"/>
      <c r="DB613" s="1562"/>
      <c r="DC613" s="1562"/>
      <c r="DD613" s="1562">
        <f t="shared" si="15"/>
        <v>0</v>
      </c>
      <c r="DE613" s="1562"/>
      <c r="DF613" s="1562"/>
      <c r="DG613" s="1562"/>
      <c r="DH613" s="156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36</v>
      </c>
      <c r="AU614" s="1252"/>
      <c r="AV614" s="58"/>
      <c r="AW614" s="58"/>
      <c r="AX614" s="1251">
        <f>SUM(AX589:AY613)</f>
        <v>19</v>
      </c>
      <c r="AY614" s="1252"/>
      <c r="AZ614" s="58"/>
      <c r="BA614" s="1251">
        <f>SUM(BA589:BE613)</f>
        <v>0</v>
      </c>
      <c r="BB614" s="1286"/>
      <c r="BC614" s="1286"/>
      <c r="BD614" s="1286"/>
      <c r="BE614" s="1252"/>
      <c r="BF614" s="1287">
        <f>SUM(BF589:BJ613)</f>
        <v>30</v>
      </c>
      <c r="BG614" s="1287"/>
      <c r="BH614" s="1287"/>
      <c r="BI614" s="1287"/>
      <c r="BJ614" s="1287"/>
      <c r="BK614" s="1287">
        <f>SUM(BK589:BO613)</f>
        <v>23</v>
      </c>
      <c r="BL614" s="1287"/>
      <c r="BM614" s="1287"/>
      <c r="BN614" s="1287"/>
      <c r="BO614" s="1287"/>
      <c r="BP614" s="1287">
        <f>SUM(BP589:BT613)</f>
        <v>18</v>
      </c>
      <c r="BQ614" s="1287"/>
      <c r="BR614" s="1287"/>
      <c r="BS614" s="1287"/>
      <c r="BT614" s="1287"/>
      <c r="BU614" s="1287">
        <f>SUM(BU589:BY613)</f>
        <v>0</v>
      </c>
      <c r="BV614" s="1287"/>
      <c r="BW614" s="1287"/>
      <c r="BX614" s="1287"/>
      <c r="BY614" s="1287"/>
      <c r="BZ614" s="1287">
        <f>SUM(BZ589:CD613)</f>
        <v>0</v>
      </c>
      <c r="CA614" s="1287"/>
      <c r="CB614" s="1287"/>
      <c r="CC614" s="1287"/>
      <c r="CD614" s="1287"/>
      <c r="CE614" s="1287">
        <f>SUM(CE589:CI613)</f>
        <v>0</v>
      </c>
      <c r="CF614" s="1287"/>
      <c r="CG614" s="1287"/>
      <c r="CH614" s="1287"/>
      <c r="CI614" s="1287"/>
      <c r="CJ614" s="1287">
        <f>SUM(CJ589:CN613)</f>
        <v>14</v>
      </c>
      <c r="CK614" s="1287"/>
      <c r="CL614" s="1287"/>
      <c r="CM614" s="1287"/>
      <c r="CN614" s="1287"/>
      <c r="CO614" s="1287">
        <f>SUM(CO589:CS613)</f>
        <v>3</v>
      </c>
      <c r="CP614" s="1287"/>
      <c r="CQ614" s="1287"/>
      <c r="CR614" s="1287"/>
      <c r="CS614" s="1287"/>
      <c r="CT614" s="1287">
        <f>SUM(CT589:CX613)</f>
        <v>2</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2.75">
      <c r="B615" s="1353" t="s">
        <v>498</v>
      </c>
      <c r="C615" s="1354"/>
      <c r="D615" s="1354"/>
      <c r="E615" s="1354"/>
      <c r="F615" s="1354"/>
      <c r="G615" s="1354"/>
      <c r="H615" s="1354"/>
      <c r="I615" s="1354"/>
      <c r="J615" s="1354"/>
      <c r="K615" s="1354"/>
      <c r="L615" s="1354"/>
      <c r="M615" s="1354"/>
      <c r="N615" s="1354"/>
      <c r="O615" s="1355"/>
      <c r="P615" s="1362" t="s">
        <v>346</v>
      </c>
      <c r="Q615" s="1363"/>
      <c r="R615" s="1364"/>
      <c r="S615" s="1276" t="s">
        <v>499</v>
      </c>
      <c r="T615" s="1277"/>
      <c r="U615" s="1278"/>
      <c r="V615" s="1143" t="s">
        <v>18</v>
      </c>
      <c r="W615" s="1143"/>
      <c r="X615" s="1143"/>
      <c r="Y615" s="1143"/>
      <c r="Z615" s="1143"/>
      <c r="AA615" s="1143"/>
      <c r="AB615" s="1143" t="s">
        <v>17</v>
      </c>
      <c r="AC615" s="1143"/>
      <c r="AD615" s="1143"/>
      <c r="AE615" s="1143"/>
      <c r="AF615" s="1143"/>
      <c r="AG615" s="1143" t="s">
        <v>500</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6"/>
      <c r="C616" s="1357"/>
      <c r="D616" s="1357"/>
      <c r="E616" s="1357"/>
      <c r="F616" s="1357"/>
      <c r="G616" s="1357"/>
      <c r="H616" s="1357"/>
      <c r="I616" s="1357"/>
      <c r="J616" s="1357"/>
      <c r="K616" s="1357"/>
      <c r="L616" s="1357"/>
      <c r="M616" s="1357"/>
      <c r="N616" s="1357"/>
      <c r="O616" s="1358"/>
      <c r="P616" s="1365"/>
      <c r="Q616" s="1366"/>
      <c r="R616" s="1367"/>
      <c r="S616" s="1279"/>
      <c r="T616" s="1280"/>
      <c r="U616" s="1281"/>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9"/>
      <c r="C617" s="1360"/>
      <c r="D617" s="1360"/>
      <c r="E617" s="1360"/>
      <c r="F617" s="1360"/>
      <c r="G617" s="1360"/>
      <c r="H617" s="1360"/>
      <c r="I617" s="1360"/>
      <c r="J617" s="1360"/>
      <c r="K617" s="1360"/>
      <c r="L617" s="1360"/>
      <c r="M617" s="1360"/>
      <c r="N617" s="1360"/>
      <c r="O617" s="1361"/>
      <c r="P617" s="1368"/>
      <c r="Q617" s="1369"/>
      <c r="R617" s="1370"/>
      <c r="S617" s="1282"/>
      <c r="T617" s="1283"/>
      <c r="U617" s="1284"/>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0</v>
      </c>
      <c r="BG617" s="1285"/>
      <c r="BH617" s="1285"/>
      <c r="BI617" s="1285"/>
      <c r="BJ617" s="1285"/>
      <c r="BK617" s="1285">
        <f>IF(J754="2 Bedrooms",O754,0)</f>
        <v>1</v>
      </c>
      <c r="BL617" s="1285"/>
      <c r="BM617" s="1285"/>
      <c r="BN617" s="1285"/>
      <c r="BO617" s="1285"/>
      <c r="BP617" s="1285">
        <f>IF(J754="3 Bedrooms",O754,0)</f>
        <v>0</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75" customHeight="1">
      <c r="B618" s="83" t="s">
        <v>119</v>
      </c>
      <c r="C618" s="1177" t="s">
        <v>1810</v>
      </c>
      <c r="D618" s="1301"/>
      <c r="E618" s="1301"/>
      <c r="F618" s="1301"/>
      <c r="G618" s="1301"/>
      <c r="H618" s="1301"/>
      <c r="I618" s="1301"/>
      <c r="J618" s="1301"/>
      <c r="K618" s="1301"/>
      <c r="L618" s="1301"/>
      <c r="M618" s="1301"/>
      <c r="N618" s="1301"/>
      <c r="O618" s="1302"/>
      <c r="P618" s="1117">
        <v>420</v>
      </c>
      <c r="Q618" s="1118"/>
      <c r="R618" s="1119"/>
      <c r="S618" s="1266">
        <v>4.6699999999999998E-2</v>
      </c>
      <c r="T618" s="1129"/>
      <c r="U618" s="1130"/>
      <c r="V618" s="1117" t="s">
        <v>504</v>
      </c>
      <c r="W618" s="1118"/>
      <c r="X618" s="1118"/>
      <c r="Y618" s="1118"/>
      <c r="Z618" s="1118"/>
      <c r="AA618" s="1119"/>
      <c r="AB618" s="1142">
        <v>190468</v>
      </c>
      <c r="AC618" s="1142"/>
      <c r="AD618" s="1142"/>
      <c r="AE618" s="1142"/>
      <c r="AF618" s="1142"/>
      <c r="AG618" s="1142">
        <v>3280500</v>
      </c>
      <c r="AH618" s="1142"/>
      <c r="AI618" s="1142"/>
      <c r="AJ618" s="1142"/>
      <c r="AK618" s="1142"/>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2.75">
      <c r="B619" s="84" t="s">
        <v>120</v>
      </c>
      <c r="C619" s="1151" t="str">
        <f>C546</f>
        <v>HA of City of Riverside Accrued/Deferred interest</v>
      </c>
      <c r="D619" s="1301"/>
      <c r="E619" s="1301"/>
      <c r="F619" s="1301"/>
      <c r="G619" s="1301"/>
      <c r="H619" s="1301"/>
      <c r="I619" s="1301"/>
      <c r="J619" s="1301"/>
      <c r="K619" s="1301"/>
      <c r="L619" s="1301"/>
      <c r="M619" s="1301"/>
      <c r="N619" s="1301"/>
      <c r="O619" s="1302"/>
      <c r="P619" s="1117">
        <v>660</v>
      </c>
      <c r="Q619" s="1118"/>
      <c r="R619" s="1119"/>
      <c r="S619" s="1266"/>
      <c r="T619" s="1129"/>
      <c r="U619" s="1130"/>
      <c r="V619" s="1117"/>
      <c r="W619" s="1118"/>
      <c r="X619" s="1118"/>
      <c r="Y619" s="1118"/>
      <c r="Z619" s="1118"/>
      <c r="AA619" s="1119"/>
      <c r="AB619" s="1142"/>
      <c r="AC619" s="1142"/>
      <c r="AD619" s="1142"/>
      <c r="AE619" s="1142"/>
      <c r="AF619" s="1142"/>
      <c r="AG619" s="1142">
        <v>107263.4</v>
      </c>
      <c r="AH619" s="1142"/>
      <c r="AI619" s="1142"/>
      <c r="AJ619" s="1142"/>
      <c r="AK619" s="1142"/>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2.75">
      <c r="B620" s="84" t="s">
        <v>126</v>
      </c>
      <c r="C620" s="1151" t="str">
        <f t="shared" ref="C620" si="16">C547</f>
        <v>City of Riverside TUMF Fee waiver</v>
      </c>
      <c r="D620" s="1301"/>
      <c r="E620" s="1301"/>
      <c r="F620" s="1301"/>
      <c r="G620" s="1301"/>
      <c r="H620" s="1301"/>
      <c r="I620" s="1301"/>
      <c r="J620" s="1301"/>
      <c r="K620" s="1301"/>
      <c r="L620" s="1301"/>
      <c r="M620" s="1301"/>
      <c r="N620" s="1301"/>
      <c r="O620" s="1302"/>
      <c r="P620" s="1117" t="str">
        <f t="shared" ref="P620" si="17">P547</f>
        <v>N/A</v>
      </c>
      <c r="Q620" s="1118"/>
      <c r="R620" s="1119"/>
      <c r="S620" s="1266"/>
      <c r="T620" s="1129"/>
      <c r="U620" s="1130"/>
      <c r="V620" s="1117"/>
      <c r="W620" s="1118"/>
      <c r="X620" s="1118"/>
      <c r="Y620" s="1118"/>
      <c r="Z620" s="1118"/>
      <c r="AA620" s="1119"/>
      <c r="AB620" s="1142"/>
      <c r="AC620" s="1142"/>
      <c r="AD620" s="1142"/>
      <c r="AE620" s="1142"/>
      <c r="AF620" s="1142"/>
      <c r="AG620" s="1142">
        <v>444648.4</v>
      </c>
      <c r="AH620" s="1142"/>
      <c r="AI620" s="1142"/>
      <c r="AJ620" s="1142"/>
      <c r="AK620" s="1142"/>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2.75">
      <c r="B621" s="84" t="s">
        <v>632</v>
      </c>
      <c r="C621" s="1177" t="s">
        <v>1763</v>
      </c>
      <c r="D621" s="1301"/>
      <c r="E621" s="1301"/>
      <c r="F621" s="1301"/>
      <c r="G621" s="1301"/>
      <c r="H621" s="1301"/>
      <c r="I621" s="1301"/>
      <c r="J621" s="1301"/>
      <c r="K621" s="1301"/>
      <c r="L621" s="1301"/>
      <c r="M621" s="1301"/>
      <c r="N621" s="1301"/>
      <c r="O621" s="1302"/>
      <c r="P621" s="1117">
        <v>660</v>
      </c>
      <c r="Q621" s="1118"/>
      <c r="R621" s="1119"/>
      <c r="S621" s="1266">
        <v>0.03</v>
      </c>
      <c r="T621" s="1129"/>
      <c r="U621" s="1130"/>
      <c r="V621" s="1117" t="s">
        <v>504</v>
      </c>
      <c r="W621" s="1118"/>
      <c r="X621" s="1118"/>
      <c r="Y621" s="1118"/>
      <c r="Z621" s="1118"/>
      <c r="AA621" s="1119"/>
      <c r="AB621" s="1142">
        <v>29527</v>
      </c>
      <c r="AC621" s="1142"/>
      <c r="AD621" s="1142"/>
      <c r="AE621" s="1142"/>
      <c r="AF621" s="1142"/>
      <c r="AG621" s="1142">
        <v>10826931</v>
      </c>
      <c r="AH621" s="1142"/>
      <c r="AI621" s="1142"/>
      <c r="AJ621" s="1142"/>
      <c r="AK621" s="1142"/>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0</v>
      </c>
      <c r="BG621" s="1292"/>
      <c r="BH621" s="1292"/>
      <c r="BI621" s="1292"/>
      <c r="BJ621" s="1293"/>
      <c r="BK621" s="1291">
        <f>SUM(BK617:BO620)</f>
        <v>1</v>
      </c>
      <c r="BL621" s="1292"/>
      <c r="BM621" s="1292"/>
      <c r="BN621" s="1292"/>
      <c r="BO621" s="1293"/>
      <c r="BP621" s="1291">
        <f>SUM(BP617:BT620)</f>
        <v>0</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2.75">
      <c r="B622" s="84" t="s">
        <v>842</v>
      </c>
      <c r="C622" s="1177" t="s">
        <v>1735</v>
      </c>
      <c r="D622" s="1301"/>
      <c r="E622" s="1301"/>
      <c r="F622" s="1301"/>
      <c r="G622" s="1301"/>
      <c r="H622" s="1301"/>
      <c r="I622" s="1301"/>
      <c r="J622" s="1301"/>
      <c r="K622" s="1301"/>
      <c r="L622" s="1301"/>
      <c r="M622" s="1301"/>
      <c r="N622" s="1301"/>
      <c r="O622" s="1302"/>
      <c r="P622" s="1117">
        <v>660</v>
      </c>
      <c r="Q622" s="1118"/>
      <c r="R622" s="1119"/>
      <c r="S622" s="1266">
        <v>0.03</v>
      </c>
      <c r="T622" s="1129"/>
      <c r="U622" s="1130"/>
      <c r="V622" s="1117" t="s">
        <v>504</v>
      </c>
      <c r="W622" s="1118"/>
      <c r="X622" s="1118"/>
      <c r="Y622" s="1118"/>
      <c r="Z622" s="1118"/>
      <c r="AA622" s="1119"/>
      <c r="AB622" s="1142">
        <v>16806</v>
      </c>
      <c r="AC622" s="1142"/>
      <c r="AD622" s="1142"/>
      <c r="AE622" s="1142"/>
      <c r="AF622" s="1142"/>
      <c r="AG622" s="1142">
        <v>4001485</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7" t="s">
        <v>1791</v>
      </c>
      <c r="D623" s="1151"/>
      <c r="E623" s="1151"/>
      <c r="F623" s="1151"/>
      <c r="G623" s="1151"/>
      <c r="H623" s="1151"/>
      <c r="I623" s="1151"/>
      <c r="J623" s="1151"/>
      <c r="K623" s="1151"/>
      <c r="L623" s="1151"/>
      <c r="M623" s="1151"/>
      <c r="N623" s="1151"/>
      <c r="O623" s="1178"/>
      <c r="P623" s="1117">
        <v>660</v>
      </c>
      <c r="Q623" s="1118"/>
      <c r="R623" s="1119"/>
      <c r="S623" s="1266">
        <v>0.03</v>
      </c>
      <c r="T623" s="1129"/>
      <c r="U623" s="1130"/>
      <c r="V623" s="1117" t="s">
        <v>504</v>
      </c>
      <c r="W623" s="1118"/>
      <c r="X623" s="1118"/>
      <c r="Y623" s="1118"/>
      <c r="Z623" s="1118"/>
      <c r="AA623" s="1119"/>
      <c r="AB623" s="1142"/>
      <c r="AC623" s="1142"/>
      <c r="AD623" s="1142"/>
      <c r="AE623" s="1142"/>
      <c r="AF623" s="1142"/>
      <c r="AG623" s="1142">
        <v>3000000</v>
      </c>
      <c r="AH623" s="1142"/>
      <c r="AI623" s="1142"/>
      <c r="AJ623" s="1142"/>
      <c r="AK623" s="1142"/>
      <c r="AL623" s="58"/>
      <c r="AM623" s="61"/>
      <c r="AN623" s="61"/>
      <c r="AO623" s="61"/>
      <c r="AP623" s="61"/>
      <c r="AQ623" s="61"/>
      <c r="AR623" s="61"/>
      <c r="AS623" s="61"/>
      <c r="AT623" s="61"/>
      <c r="AU623" s="61"/>
      <c r="AV623" s="61"/>
      <c r="AW623" s="61"/>
      <c r="AX623" s="61"/>
      <c r="AY623" s="61"/>
      <c r="AZ623" s="61"/>
      <c r="BA623" s="1288">
        <f t="shared" ref="BA623:BA632" si="18">IF(J768="SRO/Studio",O768,0)</f>
        <v>0</v>
      </c>
      <c r="BB623" s="1290"/>
      <c r="BC623" s="1290"/>
      <c r="BD623" s="1290"/>
      <c r="BE623" s="1289"/>
      <c r="BF623" s="1285">
        <f t="shared" ref="BF623:BF632" si="19">IF(J768="1 Bedroom",O768,0)</f>
        <v>0</v>
      </c>
      <c r="BG623" s="1285"/>
      <c r="BH623" s="1285"/>
      <c r="BI623" s="1285"/>
      <c r="BJ623" s="1285"/>
      <c r="BK623" s="1285">
        <f t="shared" ref="BK623:BK632" si="20">IF(J768="2 Bedrooms",O768,0)</f>
        <v>0</v>
      </c>
      <c r="BL623" s="1285"/>
      <c r="BM623" s="1285"/>
      <c r="BN623" s="1285"/>
      <c r="BO623" s="1285"/>
      <c r="BP623" s="1285">
        <f t="shared" ref="BP623:BP632" si="21">IF(J768="3 Bedrooms",O768,0)</f>
        <v>0</v>
      </c>
      <c r="BQ623" s="1285"/>
      <c r="BR623" s="1285"/>
      <c r="BS623" s="1285"/>
      <c r="BT623" s="1285"/>
      <c r="BU623" s="1285">
        <f t="shared" ref="BU623:BU632" si="22">IF(J768="4 Bedrooms",O768,0)</f>
        <v>0</v>
      </c>
      <c r="BV623" s="1285"/>
      <c r="BW623" s="1285"/>
      <c r="BX623" s="1285"/>
      <c r="BY623" s="1285"/>
      <c r="BZ623" s="1285">
        <f t="shared" ref="BZ623:BZ632" si="23">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2.75">
      <c r="B624" s="84" t="s">
        <v>501</v>
      </c>
      <c r="C624" s="1177" t="s">
        <v>1725</v>
      </c>
      <c r="D624" s="1151"/>
      <c r="E624" s="1151"/>
      <c r="F624" s="1151"/>
      <c r="G624" s="1151"/>
      <c r="H624" s="1151"/>
      <c r="I624" s="1151"/>
      <c r="J624" s="1151"/>
      <c r="K624" s="1151"/>
      <c r="L624" s="1151"/>
      <c r="M624" s="1151"/>
      <c r="N624" s="1151"/>
      <c r="O624" s="1178"/>
      <c r="P624" s="1117">
        <v>660</v>
      </c>
      <c r="Q624" s="1118"/>
      <c r="R624" s="1119"/>
      <c r="S624" s="1266"/>
      <c r="T624" s="1129"/>
      <c r="U624" s="1130"/>
      <c r="V624" s="1117"/>
      <c r="W624" s="1118"/>
      <c r="X624" s="1118"/>
      <c r="Y624" s="1118"/>
      <c r="Z624" s="1118"/>
      <c r="AA624" s="1119"/>
      <c r="AB624" s="1142"/>
      <c r="AC624" s="1142"/>
      <c r="AD624" s="1142"/>
      <c r="AE624" s="1142"/>
      <c r="AF624" s="1142"/>
      <c r="AG624" s="1142">
        <v>2000000</v>
      </c>
      <c r="AH624" s="1142"/>
      <c r="AI624" s="1142"/>
      <c r="AJ624" s="1142"/>
      <c r="AK624" s="1142"/>
      <c r="AL624" s="58"/>
      <c r="AM624" s="61"/>
      <c r="AN624" s="61"/>
      <c r="AO624" s="61"/>
      <c r="AP624" s="61"/>
      <c r="AQ624" s="61"/>
      <c r="AR624" s="61"/>
      <c r="AS624" s="61"/>
      <c r="AT624" s="61"/>
      <c r="AU624" s="61"/>
      <c r="AV624" s="61"/>
      <c r="AW624" s="61"/>
      <c r="AX624" s="61"/>
      <c r="AY624" s="61"/>
      <c r="AZ624" s="61"/>
      <c r="BA624" s="1288">
        <f t="shared" si="18"/>
        <v>0</v>
      </c>
      <c r="BB624" s="1290"/>
      <c r="BC624" s="1290"/>
      <c r="BD624" s="1290"/>
      <c r="BE624" s="1289"/>
      <c r="BF624" s="1285">
        <f t="shared" si="19"/>
        <v>0</v>
      </c>
      <c r="BG624" s="1285"/>
      <c r="BH624" s="1285"/>
      <c r="BI624" s="1285"/>
      <c r="BJ624" s="1285"/>
      <c r="BK624" s="1285">
        <f t="shared" si="20"/>
        <v>0</v>
      </c>
      <c r="BL624" s="1285"/>
      <c r="BM624" s="1285"/>
      <c r="BN624" s="1285"/>
      <c r="BO624" s="1285"/>
      <c r="BP624" s="1285">
        <f t="shared" si="21"/>
        <v>0</v>
      </c>
      <c r="BQ624" s="1285"/>
      <c r="BR624" s="1285"/>
      <c r="BS624" s="1285"/>
      <c r="BT624" s="1285"/>
      <c r="BU624" s="1285">
        <f t="shared" si="22"/>
        <v>0</v>
      </c>
      <c r="BV624" s="1285"/>
      <c r="BW624" s="1285"/>
      <c r="BX624" s="1285"/>
      <c r="BY624" s="1285"/>
      <c r="BZ624" s="1285">
        <f t="shared" si="23"/>
        <v>0</v>
      </c>
      <c r="CA624" s="1285"/>
      <c r="CB624" s="1285"/>
      <c r="CC624" s="1285"/>
      <c r="CD624" s="1285"/>
      <c r="CE624" s="58"/>
      <c r="CF624" s="58"/>
      <c r="CG624" s="58"/>
      <c r="CH624" s="58"/>
      <c r="CI624" s="58"/>
      <c r="CJ624" s="58"/>
      <c r="CK624" s="58"/>
      <c r="CL624" s="58"/>
      <c r="CM624" s="58"/>
      <c r="CN624" s="58"/>
      <c r="CO624" s="58"/>
      <c r="CP624" s="58"/>
      <c r="CQ624" s="58"/>
      <c r="CR624" s="58"/>
    </row>
    <row r="625" spans="1:96" ht="12.75">
      <c r="B625" s="84" t="s">
        <v>502</v>
      </c>
      <c r="C625" s="1177" t="s">
        <v>1764</v>
      </c>
      <c r="D625" s="1151"/>
      <c r="E625" s="1151"/>
      <c r="F625" s="1151"/>
      <c r="G625" s="1151"/>
      <c r="H625" s="1151"/>
      <c r="I625" s="1151"/>
      <c r="J625" s="1151"/>
      <c r="K625" s="1151"/>
      <c r="L625" s="1151"/>
      <c r="M625" s="1151"/>
      <c r="N625" s="1151"/>
      <c r="O625" s="1178"/>
      <c r="P625" s="1117"/>
      <c r="Q625" s="1118"/>
      <c r="R625" s="1119"/>
      <c r="S625" s="1266"/>
      <c r="T625" s="1129"/>
      <c r="U625" s="1130"/>
      <c r="V625" s="1117"/>
      <c r="W625" s="1118"/>
      <c r="X625" s="1118"/>
      <c r="Y625" s="1118"/>
      <c r="Z625" s="1118"/>
      <c r="AA625" s="1119"/>
      <c r="AB625" s="1142"/>
      <c r="AC625" s="1142"/>
      <c r="AD625" s="1142"/>
      <c r="AE625" s="1142"/>
      <c r="AF625" s="1142"/>
      <c r="AG625" s="1142">
        <v>1331825</v>
      </c>
      <c r="AH625" s="1142"/>
      <c r="AI625" s="1142"/>
      <c r="AJ625" s="1142"/>
      <c r="AK625" s="1142"/>
      <c r="AL625" s="58"/>
      <c r="AM625" s="61"/>
      <c r="AN625" s="61"/>
      <c r="AO625" s="61"/>
      <c r="AP625" s="61"/>
      <c r="AQ625" s="61"/>
      <c r="AR625" s="61"/>
      <c r="AS625" s="61"/>
      <c r="AT625" s="61"/>
      <c r="AU625" s="61"/>
      <c r="AV625" s="61"/>
      <c r="AW625" s="61"/>
      <c r="AX625" s="61"/>
      <c r="AY625" s="61"/>
      <c r="AZ625" s="61"/>
      <c r="BA625" s="1288">
        <f t="shared" si="18"/>
        <v>0</v>
      </c>
      <c r="BB625" s="1290"/>
      <c r="BC625" s="1290"/>
      <c r="BD625" s="1290"/>
      <c r="BE625" s="1289"/>
      <c r="BF625" s="1285">
        <f t="shared" si="19"/>
        <v>0</v>
      </c>
      <c r="BG625" s="1285"/>
      <c r="BH625" s="1285"/>
      <c r="BI625" s="1285"/>
      <c r="BJ625" s="1285"/>
      <c r="BK625" s="1285">
        <f t="shared" si="20"/>
        <v>0</v>
      </c>
      <c r="BL625" s="1285"/>
      <c r="BM625" s="1285"/>
      <c r="BN625" s="1285"/>
      <c r="BO625" s="1285"/>
      <c r="BP625" s="1285">
        <f t="shared" si="21"/>
        <v>0</v>
      </c>
      <c r="BQ625" s="1285"/>
      <c r="BR625" s="1285"/>
      <c r="BS625" s="1285"/>
      <c r="BT625" s="1285"/>
      <c r="BU625" s="1285">
        <f t="shared" si="22"/>
        <v>0</v>
      </c>
      <c r="BV625" s="1285"/>
      <c r="BW625" s="1285"/>
      <c r="BX625" s="1285"/>
      <c r="BY625" s="1285"/>
      <c r="BZ625" s="1285">
        <f t="shared" si="23"/>
        <v>0</v>
      </c>
      <c r="CA625" s="1285"/>
      <c r="CB625" s="1285"/>
      <c r="CC625" s="1285"/>
      <c r="CD625" s="1285"/>
      <c r="CE625" s="58"/>
      <c r="CF625" s="58"/>
      <c r="CG625" s="58"/>
      <c r="CH625" s="58"/>
      <c r="CI625" s="58"/>
      <c r="CJ625" s="58"/>
      <c r="CK625" s="58"/>
      <c r="CL625" s="58"/>
      <c r="CM625" s="58"/>
      <c r="CN625" s="58"/>
      <c r="CO625" s="58"/>
      <c r="CP625" s="58"/>
      <c r="CQ625" s="58"/>
      <c r="CR625" s="58"/>
    </row>
    <row r="626" spans="1:96" ht="12.75">
      <c r="B626" s="84" t="s">
        <v>508</v>
      </c>
      <c r="C626" s="1177" t="s">
        <v>1811</v>
      </c>
      <c r="D626" s="1151"/>
      <c r="E626" s="1151"/>
      <c r="F626" s="1151"/>
      <c r="G626" s="1151"/>
      <c r="H626" s="1151"/>
      <c r="I626" s="1151"/>
      <c r="J626" s="1151"/>
      <c r="K626" s="1151"/>
      <c r="L626" s="1151"/>
      <c r="M626" s="1151"/>
      <c r="N626" s="1151"/>
      <c r="O626" s="1178"/>
      <c r="P626" s="1117"/>
      <c r="Q626" s="1118"/>
      <c r="R626" s="1119"/>
      <c r="S626" s="1266"/>
      <c r="T626" s="1129"/>
      <c r="U626" s="1130"/>
      <c r="V626" s="1117"/>
      <c r="W626" s="1118"/>
      <c r="X626" s="1118"/>
      <c r="Y626" s="1118"/>
      <c r="Z626" s="1118"/>
      <c r="AA626" s="1119"/>
      <c r="AB626" s="1142"/>
      <c r="AC626" s="1142"/>
      <c r="AD626" s="1142"/>
      <c r="AE626" s="1142"/>
      <c r="AF626" s="1142"/>
      <c r="AG626" s="1142">
        <v>1038230</v>
      </c>
      <c r="AH626" s="1142"/>
      <c r="AI626" s="1142"/>
      <c r="AJ626" s="1142"/>
      <c r="AK626" s="1142"/>
      <c r="AL626" s="58"/>
      <c r="AM626" s="58"/>
      <c r="AN626" s="58"/>
      <c r="AO626" s="58"/>
      <c r="AP626" s="58"/>
      <c r="AQ626" s="58"/>
      <c r="AR626" s="58"/>
      <c r="AS626" s="58"/>
      <c r="AT626" s="58"/>
      <c r="AU626" s="58"/>
      <c r="AV626" s="58"/>
      <c r="AW626" s="58"/>
      <c r="AX626" s="58"/>
      <c r="AY626" s="58"/>
      <c r="AZ626" s="58"/>
      <c r="BA626" s="1288">
        <f t="shared" si="18"/>
        <v>0</v>
      </c>
      <c r="BB626" s="1290"/>
      <c r="BC626" s="1290"/>
      <c r="BD626" s="1290"/>
      <c r="BE626" s="1289"/>
      <c r="BF626" s="1285">
        <f t="shared" si="19"/>
        <v>0</v>
      </c>
      <c r="BG626" s="1285"/>
      <c r="BH626" s="1285"/>
      <c r="BI626" s="1285"/>
      <c r="BJ626" s="1285"/>
      <c r="BK626" s="1285">
        <f t="shared" si="20"/>
        <v>0</v>
      </c>
      <c r="BL626" s="1285"/>
      <c r="BM626" s="1285"/>
      <c r="BN626" s="1285"/>
      <c r="BO626" s="1285"/>
      <c r="BP626" s="1285">
        <f t="shared" si="21"/>
        <v>0</v>
      </c>
      <c r="BQ626" s="1285"/>
      <c r="BR626" s="1285"/>
      <c r="BS626" s="1285"/>
      <c r="BT626" s="1285"/>
      <c r="BU626" s="1285">
        <f t="shared" si="22"/>
        <v>0</v>
      </c>
      <c r="BV626" s="1285"/>
      <c r="BW626" s="1285"/>
      <c r="BX626" s="1285"/>
      <c r="BY626" s="1285"/>
      <c r="BZ626" s="1285">
        <f t="shared" si="23"/>
        <v>0</v>
      </c>
      <c r="CA626" s="1285"/>
      <c r="CB626" s="1285"/>
      <c r="CC626" s="1285"/>
      <c r="CD626" s="1285"/>
      <c r="CE626" s="58"/>
      <c r="CF626" s="58"/>
      <c r="CG626" s="58"/>
      <c r="CH626" s="58"/>
      <c r="CI626" s="58"/>
      <c r="CJ626" s="58"/>
      <c r="CK626" s="58"/>
      <c r="CL626" s="58"/>
      <c r="CM626" s="58"/>
      <c r="CN626" s="58"/>
      <c r="CO626" s="58"/>
      <c r="CP626" s="58"/>
      <c r="CQ626" s="58"/>
      <c r="CR626" s="58"/>
    </row>
    <row r="627" spans="1:96" ht="12.75">
      <c r="B627" s="84" t="s">
        <v>697</v>
      </c>
      <c r="C627" s="1177" t="s">
        <v>1765</v>
      </c>
      <c r="D627" s="1151"/>
      <c r="E627" s="1151"/>
      <c r="F627" s="1151"/>
      <c r="G627" s="1151"/>
      <c r="H627" s="1151"/>
      <c r="I627" s="1151"/>
      <c r="J627" s="1151"/>
      <c r="K627" s="1151"/>
      <c r="L627" s="1151"/>
      <c r="M627" s="1151"/>
      <c r="N627" s="1151"/>
      <c r="O627" s="1178"/>
      <c r="P627" s="1117"/>
      <c r="Q627" s="1118"/>
      <c r="R627" s="1119"/>
      <c r="S627" s="1266"/>
      <c r="T627" s="1129"/>
      <c r="U627" s="1130"/>
      <c r="V627" s="1117"/>
      <c r="W627" s="1118"/>
      <c r="X627" s="1118"/>
      <c r="Y627" s="1118"/>
      <c r="Z627" s="1118"/>
      <c r="AA627" s="1119"/>
      <c r="AB627" s="1142"/>
      <c r="AC627" s="1142"/>
      <c r="AD627" s="1142"/>
      <c r="AE627" s="1142"/>
      <c r="AF627" s="1142"/>
      <c r="AG627" s="1142">
        <v>100000.4</v>
      </c>
      <c r="AH627" s="1142"/>
      <c r="AI627" s="1142"/>
      <c r="AJ627" s="1142"/>
      <c r="AK627" s="1142"/>
      <c r="AL627" s="58"/>
      <c r="AM627" s="58"/>
      <c r="AN627" s="58"/>
      <c r="AO627" s="58"/>
      <c r="AP627" s="58"/>
      <c r="AQ627" s="58"/>
      <c r="AR627" s="58"/>
      <c r="AS627" s="58"/>
      <c r="AT627" s="58"/>
      <c r="AU627" s="58"/>
      <c r="AV627" s="58"/>
      <c r="AW627" s="58"/>
      <c r="AX627" s="58"/>
      <c r="AY627" s="58"/>
      <c r="AZ627" s="58"/>
      <c r="BA627" s="1288">
        <f t="shared" si="18"/>
        <v>0</v>
      </c>
      <c r="BB627" s="1290"/>
      <c r="BC627" s="1290"/>
      <c r="BD627" s="1290"/>
      <c r="BE627" s="1289"/>
      <c r="BF627" s="1285">
        <f t="shared" si="19"/>
        <v>0</v>
      </c>
      <c r="BG627" s="1285"/>
      <c r="BH627" s="1285"/>
      <c r="BI627" s="1285"/>
      <c r="BJ627" s="1285"/>
      <c r="BK627" s="1285">
        <f t="shared" si="20"/>
        <v>0</v>
      </c>
      <c r="BL627" s="1285"/>
      <c r="BM627" s="1285"/>
      <c r="BN627" s="1285"/>
      <c r="BO627" s="1285"/>
      <c r="BP627" s="1285">
        <f t="shared" si="21"/>
        <v>0</v>
      </c>
      <c r="BQ627" s="1285"/>
      <c r="BR627" s="1285"/>
      <c r="BS627" s="1285"/>
      <c r="BT627" s="1285"/>
      <c r="BU627" s="1285">
        <f t="shared" si="22"/>
        <v>0</v>
      </c>
      <c r="BV627" s="1285"/>
      <c r="BW627" s="1285"/>
      <c r="BX627" s="1285"/>
      <c r="BY627" s="1285"/>
      <c r="BZ627" s="1285">
        <f t="shared" si="23"/>
        <v>0</v>
      </c>
      <c r="CA627" s="1285"/>
      <c r="CB627" s="1285"/>
      <c r="CC627" s="1285"/>
      <c r="CD627" s="1285"/>
      <c r="CE627" s="58"/>
      <c r="CF627" s="58"/>
      <c r="CG627" s="58"/>
      <c r="CH627" s="58"/>
      <c r="CI627" s="58"/>
      <c r="CJ627" s="58"/>
      <c r="CK627" s="58"/>
      <c r="CL627" s="58"/>
      <c r="CM627" s="58"/>
      <c r="CN627" s="58"/>
      <c r="CO627" s="58"/>
      <c r="CP627" s="58"/>
      <c r="CQ627" s="58"/>
      <c r="CR627" s="58"/>
    </row>
    <row r="628" spans="1:96" ht="12.75">
      <c r="B628" s="84" t="s">
        <v>386</v>
      </c>
      <c r="C628" s="1151"/>
      <c r="D628" s="1151"/>
      <c r="E628" s="1151"/>
      <c r="F628" s="1151"/>
      <c r="G628" s="1151"/>
      <c r="H628" s="1151"/>
      <c r="I628" s="1151"/>
      <c r="J628" s="1151"/>
      <c r="K628" s="1151"/>
      <c r="L628" s="1151"/>
      <c r="M628" s="1151"/>
      <c r="N628" s="1151"/>
      <c r="O628" s="1178"/>
      <c r="P628" s="1117"/>
      <c r="Q628" s="1118"/>
      <c r="R628" s="1119"/>
      <c r="S628" s="1266"/>
      <c r="T628" s="1129"/>
      <c r="U628" s="1130"/>
      <c r="V628" s="1117"/>
      <c r="W628" s="1118"/>
      <c r="X628" s="1118"/>
      <c r="Y628" s="1118"/>
      <c r="Z628" s="1118"/>
      <c r="AA628" s="1119"/>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88">
        <f t="shared" si="18"/>
        <v>0</v>
      </c>
      <c r="BB628" s="1290"/>
      <c r="BC628" s="1290"/>
      <c r="BD628" s="1290"/>
      <c r="BE628" s="1289"/>
      <c r="BF628" s="1285">
        <f t="shared" si="19"/>
        <v>0</v>
      </c>
      <c r="BG628" s="1285"/>
      <c r="BH628" s="1285"/>
      <c r="BI628" s="1285"/>
      <c r="BJ628" s="1285"/>
      <c r="BK628" s="1285">
        <f t="shared" si="20"/>
        <v>0</v>
      </c>
      <c r="BL628" s="1285"/>
      <c r="BM628" s="1285"/>
      <c r="BN628" s="1285"/>
      <c r="BO628" s="1285"/>
      <c r="BP628" s="1285">
        <f t="shared" si="21"/>
        <v>0</v>
      </c>
      <c r="BQ628" s="1285"/>
      <c r="BR628" s="1285"/>
      <c r="BS628" s="1285"/>
      <c r="BT628" s="1285"/>
      <c r="BU628" s="1285">
        <f t="shared" si="22"/>
        <v>0</v>
      </c>
      <c r="BV628" s="1285"/>
      <c r="BW628" s="1285"/>
      <c r="BX628" s="1285"/>
      <c r="BY628" s="1285"/>
      <c r="BZ628" s="1285">
        <f t="shared" si="23"/>
        <v>0</v>
      </c>
      <c r="CA628" s="1285"/>
      <c r="CB628" s="1285"/>
      <c r="CC628" s="1285"/>
      <c r="CD628" s="1285"/>
      <c r="CE628" s="58"/>
      <c r="CF628" s="58"/>
      <c r="CG628" s="58"/>
      <c r="CH628" s="58"/>
      <c r="CI628" s="58"/>
      <c r="CJ628" s="58"/>
      <c r="CK628" s="58"/>
      <c r="CL628" s="58"/>
      <c r="CM628" s="58"/>
      <c r="CN628" s="58"/>
      <c r="CO628" s="58"/>
      <c r="CP628" s="58"/>
      <c r="CQ628" s="58"/>
      <c r="CR628" s="58"/>
    </row>
    <row r="629" spans="1:96" ht="12.75" customHeight="1">
      <c r="B629" s="84" t="s">
        <v>387</v>
      </c>
      <c r="C629" s="1177"/>
      <c r="D629" s="1151"/>
      <c r="E629" s="1151"/>
      <c r="F629" s="1151"/>
      <c r="G629" s="1151"/>
      <c r="H629" s="1151"/>
      <c r="I629" s="1151"/>
      <c r="J629" s="1151"/>
      <c r="K629" s="1151"/>
      <c r="L629" s="1151"/>
      <c r="M629" s="1151"/>
      <c r="N629" s="1151"/>
      <c r="O629" s="1178"/>
      <c r="P629" s="1117"/>
      <c r="Q629" s="1118"/>
      <c r="R629" s="1119"/>
      <c r="S629" s="1266"/>
      <c r="T629" s="1129"/>
      <c r="U629" s="1130"/>
      <c r="V629" s="1117"/>
      <c r="W629" s="1118"/>
      <c r="X629" s="1118"/>
      <c r="Y629" s="1118"/>
      <c r="Z629" s="1118"/>
      <c r="AA629" s="1119"/>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88">
        <f t="shared" si="18"/>
        <v>0</v>
      </c>
      <c r="BB629" s="1290"/>
      <c r="BC629" s="1290"/>
      <c r="BD629" s="1290"/>
      <c r="BE629" s="1289"/>
      <c r="BF629" s="1285">
        <f t="shared" si="19"/>
        <v>0</v>
      </c>
      <c r="BG629" s="1285"/>
      <c r="BH629" s="1285"/>
      <c r="BI629" s="1285"/>
      <c r="BJ629" s="1285"/>
      <c r="BK629" s="1285">
        <f t="shared" si="20"/>
        <v>0</v>
      </c>
      <c r="BL629" s="1285"/>
      <c r="BM629" s="1285"/>
      <c r="BN629" s="1285"/>
      <c r="BO629" s="1285"/>
      <c r="BP629" s="1285">
        <f t="shared" si="21"/>
        <v>0</v>
      </c>
      <c r="BQ629" s="1285"/>
      <c r="BR629" s="1285"/>
      <c r="BS629" s="1285"/>
      <c r="BT629" s="1285"/>
      <c r="BU629" s="1285">
        <f t="shared" si="22"/>
        <v>0</v>
      </c>
      <c r="BV629" s="1285"/>
      <c r="BW629" s="1285"/>
      <c r="BX629" s="1285"/>
      <c r="BY629" s="1285"/>
      <c r="BZ629" s="1285">
        <f t="shared" si="23"/>
        <v>0</v>
      </c>
      <c r="CA629" s="1285"/>
      <c r="CB629" s="1285"/>
      <c r="CC629" s="1285"/>
      <c r="CD629" s="1285"/>
      <c r="CE629" s="58"/>
      <c r="CF629" s="58"/>
      <c r="CG629" s="58"/>
      <c r="CH629" s="58"/>
      <c r="CI629" s="58"/>
      <c r="CJ629" s="58"/>
      <c r="CK629" s="58"/>
      <c r="CL629" s="58"/>
      <c r="CM629" s="58"/>
      <c r="CN629" s="58"/>
      <c r="CO629" s="58"/>
      <c r="CP629" s="58"/>
      <c r="CQ629" s="58"/>
      <c r="CR629" s="58"/>
    </row>
    <row r="630" spans="1:96" ht="12.75" customHeight="1">
      <c r="B630" s="1376" t="s">
        <v>135</v>
      </c>
      <c r="C630" s="1376"/>
      <c r="D630" s="1376"/>
      <c r="E630" s="1376"/>
      <c r="F630" s="1376"/>
      <c r="G630" s="1376"/>
      <c r="H630" s="1376"/>
      <c r="I630" s="1376"/>
      <c r="J630" s="1376"/>
      <c r="K630" s="1376"/>
      <c r="L630" s="1376"/>
      <c r="M630" s="1376"/>
      <c r="N630" s="1376"/>
      <c r="O630" s="1376"/>
      <c r="P630" s="1376"/>
      <c r="Q630" s="1376"/>
      <c r="R630" s="1376"/>
      <c r="S630" s="1376"/>
      <c r="T630" s="1376"/>
      <c r="U630" s="1376"/>
      <c r="V630" s="1376"/>
      <c r="W630" s="1376"/>
      <c r="X630" s="1376"/>
      <c r="Y630" s="1376"/>
      <c r="Z630" s="1376"/>
      <c r="AA630" s="1376"/>
      <c r="AB630" s="1376"/>
      <c r="AC630" s="1376"/>
      <c r="AD630" s="1376"/>
      <c r="AE630" s="1376"/>
      <c r="AF630" s="1376"/>
      <c r="AG630" s="1214">
        <f>SUM(AG618:AJ629)</f>
        <v>26130883.199999999</v>
      </c>
      <c r="AH630" s="1215"/>
      <c r="AI630" s="1215"/>
      <c r="AJ630" s="1215"/>
      <c r="AK630" s="1216"/>
      <c r="AM630" s="61"/>
      <c r="AN630" s="61"/>
      <c r="AO630" s="61"/>
      <c r="AP630" s="61"/>
      <c r="AQ630" s="61"/>
      <c r="AR630" s="61"/>
      <c r="AS630" s="61"/>
      <c r="AT630" s="61"/>
      <c r="AU630" s="61"/>
      <c r="AV630" s="61"/>
      <c r="AW630" s="61"/>
      <c r="AX630" s="61"/>
      <c r="AY630" s="61"/>
      <c r="AZ630" s="61"/>
      <c r="BA630" s="1288">
        <f t="shared" si="18"/>
        <v>0</v>
      </c>
      <c r="BB630" s="1290"/>
      <c r="BC630" s="1290"/>
      <c r="BD630" s="1290"/>
      <c r="BE630" s="1289"/>
      <c r="BF630" s="1285">
        <f t="shared" si="19"/>
        <v>0</v>
      </c>
      <c r="BG630" s="1285"/>
      <c r="BH630" s="1285"/>
      <c r="BI630" s="1285"/>
      <c r="BJ630" s="1285"/>
      <c r="BK630" s="1285">
        <f t="shared" si="20"/>
        <v>0</v>
      </c>
      <c r="BL630" s="1285"/>
      <c r="BM630" s="1285"/>
      <c r="BN630" s="1285"/>
      <c r="BO630" s="1285"/>
      <c r="BP630" s="1285">
        <f t="shared" si="21"/>
        <v>0</v>
      </c>
      <c r="BQ630" s="1285"/>
      <c r="BR630" s="1285"/>
      <c r="BS630" s="1285"/>
      <c r="BT630" s="1285"/>
      <c r="BU630" s="1285">
        <f t="shared" si="22"/>
        <v>0</v>
      </c>
      <c r="BV630" s="1285"/>
      <c r="BW630" s="1285"/>
      <c r="BX630" s="1285"/>
      <c r="BY630" s="1285"/>
      <c r="BZ630" s="1285">
        <f t="shared" si="23"/>
        <v>0</v>
      </c>
      <c r="CA630" s="1285"/>
      <c r="CB630" s="1285"/>
      <c r="CC630" s="1285"/>
      <c r="CD630" s="1285"/>
      <c r="CE630" s="58"/>
      <c r="CF630" s="58"/>
      <c r="CG630" s="58"/>
      <c r="CH630" s="58"/>
      <c r="CI630" s="58"/>
      <c r="CJ630" s="58"/>
      <c r="CK630" s="58"/>
      <c r="CL630" s="58"/>
      <c r="CM630" s="58"/>
      <c r="CN630" s="58"/>
      <c r="CO630" s="58"/>
      <c r="CP630" s="58"/>
      <c r="CQ630" s="58"/>
      <c r="CR630" s="58"/>
    </row>
    <row r="631" spans="1:96" ht="12.75">
      <c r="B631" s="1376" t="s">
        <v>283</v>
      </c>
      <c r="C631" s="1376"/>
      <c r="D631" s="1376"/>
      <c r="E631" s="1376"/>
      <c r="F631" s="1376"/>
      <c r="G631" s="1376"/>
      <c r="H631" s="1376"/>
      <c r="I631" s="1376"/>
      <c r="J631" s="1376"/>
      <c r="K631" s="1376"/>
      <c r="L631" s="1376"/>
      <c r="M631" s="1376"/>
      <c r="N631" s="1376"/>
      <c r="O631" s="1376"/>
      <c r="P631" s="1376"/>
      <c r="Q631" s="1376"/>
      <c r="R631" s="1376"/>
      <c r="S631" s="1376"/>
      <c r="T631" s="1376"/>
      <c r="U631" s="1376"/>
      <c r="V631" s="1376"/>
      <c r="W631" s="1376"/>
      <c r="X631" s="1376"/>
      <c r="Y631" s="1376"/>
      <c r="Z631" s="1376"/>
      <c r="AA631" s="1376"/>
      <c r="AB631" s="1376"/>
      <c r="AC631" s="1376"/>
      <c r="AD631" s="1376"/>
      <c r="AE631" s="1376"/>
      <c r="AF631" s="1376"/>
      <c r="AG631" s="1202">
        <v>18268878.300000001</v>
      </c>
      <c r="AH631" s="1203"/>
      <c r="AI631" s="1203"/>
      <c r="AJ631" s="1203"/>
      <c r="AK631" s="1204"/>
      <c r="AM631" s="61"/>
      <c r="AN631" s="61"/>
      <c r="AO631" s="61"/>
      <c r="AP631" s="61"/>
      <c r="AQ631" s="61"/>
      <c r="AR631" s="61"/>
      <c r="AS631" s="61"/>
      <c r="AT631" s="61"/>
      <c r="AU631" s="61"/>
      <c r="AV631" s="61"/>
      <c r="AW631" s="61"/>
      <c r="AX631" s="61"/>
      <c r="AY631" s="61"/>
      <c r="AZ631" s="61"/>
      <c r="BA631" s="1288">
        <f t="shared" si="18"/>
        <v>0</v>
      </c>
      <c r="BB631" s="1290"/>
      <c r="BC631" s="1290"/>
      <c r="BD631" s="1290"/>
      <c r="BE631" s="1289"/>
      <c r="BF631" s="1285">
        <f t="shared" si="19"/>
        <v>0</v>
      </c>
      <c r="BG631" s="1285"/>
      <c r="BH631" s="1285"/>
      <c r="BI631" s="1285"/>
      <c r="BJ631" s="1285"/>
      <c r="BK631" s="1285">
        <f t="shared" si="20"/>
        <v>0</v>
      </c>
      <c r="BL631" s="1285"/>
      <c r="BM631" s="1285"/>
      <c r="BN631" s="1285"/>
      <c r="BO631" s="1285"/>
      <c r="BP631" s="1285">
        <f t="shared" si="21"/>
        <v>0</v>
      </c>
      <c r="BQ631" s="1285"/>
      <c r="BR631" s="1285"/>
      <c r="BS631" s="1285"/>
      <c r="BT631" s="1285"/>
      <c r="BU631" s="1285">
        <f t="shared" si="22"/>
        <v>0</v>
      </c>
      <c r="BV631" s="1285"/>
      <c r="BW631" s="1285"/>
      <c r="BX631" s="1285"/>
      <c r="BY631" s="1285"/>
      <c r="BZ631" s="1285">
        <f t="shared" si="23"/>
        <v>0</v>
      </c>
      <c r="CA631" s="1285"/>
      <c r="CB631" s="1285"/>
      <c r="CC631" s="1285"/>
      <c r="CD631" s="1285"/>
      <c r="CE631" s="58"/>
      <c r="CF631" s="58"/>
      <c r="CG631" s="58"/>
      <c r="CH631" s="58"/>
      <c r="CI631" s="58"/>
      <c r="CJ631" s="58"/>
      <c r="CK631" s="58"/>
      <c r="CL631" s="58"/>
      <c r="CM631" s="58"/>
      <c r="CN631" s="58"/>
      <c r="CO631" s="58"/>
      <c r="CP631" s="58"/>
      <c r="CQ631" s="58"/>
      <c r="CR631" s="58"/>
    </row>
    <row r="632" spans="1:96" ht="12.75">
      <c r="B632" s="1376" t="s">
        <v>284</v>
      </c>
      <c r="C632" s="1376"/>
      <c r="D632" s="1376"/>
      <c r="E632" s="1376"/>
      <c r="F632" s="1376"/>
      <c r="G632" s="1376"/>
      <c r="H632" s="1376"/>
      <c r="I632" s="1376"/>
      <c r="J632" s="1376"/>
      <c r="K632" s="1376"/>
      <c r="L632" s="1376"/>
      <c r="M632" s="1376"/>
      <c r="N632" s="1376"/>
      <c r="O632" s="1376"/>
      <c r="P632" s="1376"/>
      <c r="Q632" s="1376"/>
      <c r="R632" s="1376"/>
      <c r="S632" s="1376"/>
      <c r="T632" s="1376"/>
      <c r="U632" s="1376"/>
      <c r="V632" s="1376"/>
      <c r="W632" s="1376"/>
      <c r="X632" s="1376"/>
      <c r="Y632" s="1376"/>
      <c r="Z632" s="1376"/>
      <c r="AA632" s="1376"/>
      <c r="AB632" s="1376"/>
      <c r="AC632" s="1376"/>
      <c r="AD632" s="1376"/>
      <c r="AE632" s="1376"/>
      <c r="AF632" s="1376"/>
      <c r="AG632" s="1214">
        <f>AG630+AG631</f>
        <v>44399761.5</v>
      </c>
      <c r="AH632" s="1215"/>
      <c r="AI632" s="1215"/>
      <c r="AJ632" s="1215"/>
      <c r="AK632" s="1216"/>
      <c r="AM632" s="61"/>
      <c r="AN632" s="61"/>
      <c r="AO632" s="61"/>
      <c r="AP632" s="61"/>
      <c r="AQ632" s="61"/>
      <c r="AR632" s="61"/>
      <c r="AS632" s="61"/>
      <c r="AT632" s="61"/>
      <c r="AU632" s="61"/>
      <c r="AV632" s="61"/>
      <c r="AW632" s="61"/>
      <c r="AX632" s="61"/>
      <c r="AY632" s="61"/>
      <c r="AZ632" s="61"/>
      <c r="BA632" s="1288">
        <f t="shared" si="18"/>
        <v>0</v>
      </c>
      <c r="BB632" s="1290"/>
      <c r="BC632" s="1290"/>
      <c r="BD632" s="1290"/>
      <c r="BE632" s="1289"/>
      <c r="BF632" s="1285">
        <f t="shared" si="19"/>
        <v>0</v>
      </c>
      <c r="BG632" s="1285"/>
      <c r="BH632" s="1285"/>
      <c r="BI632" s="1285"/>
      <c r="BJ632" s="1285"/>
      <c r="BK632" s="1285">
        <f t="shared" si="20"/>
        <v>0</v>
      </c>
      <c r="BL632" s="1285"/>
      <c r="BM632" s="1285"/>
      <c r="BN632" s="1285"/>
      <c r="BO632" s="1285"/>
      <c r="BP632" s="1285">
        <f t="shared" si="21"/>
        <v>0</v>
      </c>
      <c r="BQ632" s="1285"/>
      <c r="BR632" s="1285"/>
      <c r="BS632" s="1285"/>
      <c r="BT632" s="1285"/>
      <c r="BU632" s="1285">
        <f t="shared" si="22"/>
        <v>0</v>
      </c>
      <c r="BV632" s="1285"/>
      <c r="BW632" s="1285"/>
      <c r="BX632" s="1285"/>
      <c r="BY632" s="1285"/>
      <c r="BZ632" s="1285">
        <f t="shared" si="23"/>
        <v>0</v>
      </c>
      <c r="CA632" s="1285"/>
      <c r="CB632" s="1285"/>
      <c r="CC632" s="1285"/>
      <c r="CD632" s="128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0</v>
      </c>
      <c r="BB633" s="1292"/>
      <c r="BC633" s="1292"/>
      <c r="BD633" s="1292"/>
      <c r="BE633" s="1293"/>
      <c r="BF633" s="1291">
        <f>SUM(BF623:BJ632)</f>
        <v>0</v>
      </c>
      <c r="BG633" s="1292"/>
      <c r="BH633" s="1292"/>
      <c r="BI633" s="1292"/>
      <c r="BJ633" s="1293"/>
      <c r="BK633" s="1291">
        <f>SUM(BK623:BO632)</f>
        <v>0</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2.75">
      <c r="A634" s="87" t="s">
        <v>119</v>
      </c>
      <c r="B634" s="12" t="s">
        <v>510</v>
      </c>
      <c r="G634" s="1174" t="str">
        <f>C618</f>
        <v>CCRC Tax Exempt Permanent Loan</v>
      </c>
      <c r="H634" s="1174"/>
      <c r="I634" s="1174"/>
      <c r="J634" s="1174"/>
      <c r="K634" s="1174"/>
      <c r="L634" s="1174"/>
      <c r="M634" s="1174"/>
      <c r="N634" s="1174"/>
      <c r="O634" s="1174"/>
      <c r="P634" s="1174"/>
      <c r="Q634" s="1174"/>
      <c r="R634" s="1174"/>
      <c r="S634" s="14"/>
      <c r="T634" s="87" t="s">
        <v>120</v>
      </c>
      <c r="U634" s="12" t="s">
        <v>510</v>
      </c>
      <c r="Z634" s="1174" t="str">
        <f>C619</f>
        <v>HA of City of Riverside Accrued/Deferred interest</v>
      </c>
      <c r="AA634" s="1174"/>
      <c r="AB634" s="1174"/>
      <c r="AC634" s="1174"/>
      <c r="AD634" s="1174"/>
      <c r="AE634" s="1174"/>
      <c r="AF634" s="1174"/>
      <c r="AG634" s="1174"/>
      <c r="AH634" s="1174"/>
      <c r="AI634" s="1174"/>
      <c r="AJ634" s="1174"/>
      <c r="AK634" s="117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1771</v>
      </c>
      <c r="H635" s="1087"/>
      <c r="I635" s="1087"/>
      <c r="J635" s="1087"/>
      <c r="K635" s="1087"/>
      <c r="L635" s="1087"/>
      <c r="M635" s="1087"/>
      <c r="N635" s="1087"/>
      <c r="O635" s="1087"/>
      <c r="P635" s="1087"/>
      <c r="Q635" s="1087"/>
      <c r="R635" s="1087"/>
      <c r="S635" s="14"/>
      <c r="T635" s="35"/>
      <c r="U635" s="12" t="s">
        <v>92</v>
      </c>
      <c r="Z635" s="1087" t="str">
        <f>Z560</f>
        <v>3900 Main Street, 5th Floor</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1">
        <f>BA614+BA621+BA633</f>
        <v>0</v>
      </c>
      <c r="BB635" s="1292"/>
      <c r="BC635" s="1292"/>
      <c r="BD635" s="1292"/>
      <c r="BE635" s="1293"/>
      <c r="BF635" s="1291">
        <f>BF614+BF621+BF633</f>
        <v>30</v>
      </c>
      <c r="BG635" s="1292"/>
      <c r="BH635" s="1292"/>
      <c r="BI635" s="1292"/>
      <c r="BJ635" s="1293"/>
      <c r="BK635" s="1291">
        <f>BK614+BK621+BK633</f>
        <v>24</v>
      </c>
      <c r="BL635" s="1292"/>
      <c r="BM635" s="1292"/>
      <c r="BN635" s="1292"/>
      <c r="BO635" s="1293"/>
      <c r="BP635" s="1291">
        <f>BP614+BP621+BP633</f>
        <v>18</v>
      </c>
      <c r="BQ635" s="1292"/>
      <c r="BR635" s="1292"/>
      <c r="BS635" s="1292"/>
      <c r="BT635" s="1293"/>
      <c r="BU635" s="1291">
        <f>BU614+BU621+BU633</f>
        <v>0</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2.75">
      <c r="A636" s="35"/>
      <c r="B636" s="12" t="s">
        <v>631</v>
      </c>
      <c r="G636" s="1087" t="s">
        <v>1772</v>
      </c>
      <c r="H636" s="1087"/>
      <c r="I636" s="1087"/>
      <c r="J636" s="1087"/>
      <c r="K636" s="1087"/>
      <c r="L636" s="1087"/>
      <c r="M636" s="1087"/>
      <c r="N636" s="1087"/>
      <c r="O636" s="1087"/>
      <c r="P636" s="1087"/>
      <c r="Q636" s="1087"/>
      <c r="R636" s="1087"/>
      <c r="S636" s="88"/>
      <c r="T636" s="35"/>
      <c r="U636" s="12" t="s">
        <v>631</v>
      </c>
      <c r="Z636" s="1086" t="str">
        <f>Z561</f>
        <v>Riverside</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1769</v>
      </c>
      <c r="H637" s="1087"/>
      <c r="I637" s="1087"/>
      <c r="J637" s="1087"/>
      <c r="K637" s="1087"/>
      <c r="L637" s="1087"/>
      <c r="M637" s="1087"/>
      <c r="N637" s="1087"/>
      <c r="O637" s="1087"/>
      <c r="P637" s="1087"/>
      <c r="Q637" s="1087"/>
      <c r="R637" s="1087"/>
      <c r="S637" s="14"/>
      <c r="T637" s="35"/>
      <c r="U637" s="12" t="s">
        <v>19</v>
      </c>
      <c r="Z637" s="1086" t="str">
        <f>Z562</f>
        <v>Jeff McLaughlin</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76" t="s">
        <v>1770</v>
      </c>
      <c r="H638" s="1121"/>
      <c r="I638" s="1121"/>
      <c r="J638" s="1121"/>
      <c r="K638" s="1121"/>
      <c r="L638" s="1121"/>
      <c r="O638" s="140" t="s">
        <v>220</v>
      </c>
      <c r="P638" s="1151"/>
      <c r="Q638" s="1151"/>
      <c r="R638" s="1151"/>
      <c r="S638" s="16"/>
      <c r="T638" s="35"/>
      <c r="U638" s="12" t="s">
        <v>338</v>
      </c>
      <c r="Z638" s="1121" t="str">
        <f>Z563</f>
        <v>951.826.5649</v>
      </c>
      <c r="AA638" s="1121"/>
      <c r="AB638" s="1121"/>
      <c r="AC638" s="1121"/>
      <c r="AD638" s="1121"/>
      <c r="AE638" s="1121"/>
      <c r="AH638" s="140" t="s">
        <v>220</v>
      </c>
      <c r="AI638" s="1151"/>
      <c r="AJ638" s="1151"/>
      <c r="AK638" s="115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75" t="s">
        <v>1812</v>
      </c>
      <c r="I639" s="1087"/>
      <c r="J639" s="1087"/>
      <c r="K639" s="1087"/>
      <c r="L639" s="1087"/>
      <c r="M639" s="1087"/>
      <c r="N639" s="1087"/>
      <c r="O639" s="1087"/>
      <c r="P639" s="1087"/>
      <c r="Q639" s="1087"/>
      <c r="R639" s="1087"/>
      <c r="S639" s="14"/>
      <c r="T639" s="35"/>
      <c r="U639" s="12" t="s">
        <v>20</v>
      </c>
      <c r="AA639" s="1087" t="s">
        <v>1767</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592</v>
      </c>
      <c r="O640" s="1115"/>
      <c r="T640" s="35"/>
      <c r="U640" s="12" t="s">
        <v>22</v>
      </c>
      <c r="AG640" s="1115" t="s">
        <v>592</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4" t="str">
        <f>C620</f>
        <v>City of Riverside TUMF Fee waiver</v>
      </c>
      <c r="H642" s="1174"/>
      <c r="I642" s="1174"/>
      <c r="J642" s="1174"/>
      <c r="K642" s="1174"/>
      <c r="L642" s="1174"/>
      <c r="M642" s="1174"/>
      <c r="N642" s="1174"/>
      <c r="O642" s="1174"/>
      <c r="P642" s="1174"/>
      <c r="Q642" s="1174"/>
      <c r="R642" s="1174"/>
      <c r="T642" s="87" t="s">
        <v>632</v>
      </c>
      <c r="U642" s="12" t="s">
        <v>510</v>
      </c>
      <c r="Z642" s="1174" t="str">
        <f>C621</f>
        <v>HCD AHSC</v>
      </c>
      <c r="AA642" s="1174"/>
      <c r="AB642" s="1174"/>
      <c r="AC642" s="1174"/>
      <c r="AD642" s="1174"/>
      <c r="AE642" s="1174"/>
      <c r="AF642" s="1174"/>
      <c r="AG642" s="1174"/>
      <c r="AH642" s="1174"/>
      <c r="AI642" s="1174"/>
      <c r="AJ642" s="1174"/>
      <c r="AK642" s="117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tr">
        <f>G635</f>
        <v>100 West Broadway, Suite 100</v>
      </c>
      <c r="H643" s="1087"/>
      <c r="I643" s="1087"/>
      <c r="J643" s="1087"/>
      <c r="K643" s="1087"/>
      <c r="L643" s="1087"/>
      <c r="M643" s="1087"/>
      <c r="N643" s="1087"/>
      <c r="O643" s="1087"/>
      <c r="P643" s="1087"/>
      <c r="Q643" s="1087"/>
      <c r="R643" s="1087"/>
      <c r="T643" s="35"/>
      <c r="U643" s="12" t="s">
        <v>92</v>
      </c>
      <c r="Z643" s="1087" t="s">
        <v>1736</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tr">
        <f>G636</f>
        <v>Glendale</v>
      </c>
      <c r="H644" s="1086"/>
      <c r="I644" s="1086"/>
      <c r="J644" s="1086"/>
      <c r="K644" s="1086"/>
      <c r="L644" s="1086"/>
      <c r="M644" s="1086"/>
      <c r="N644" s="1086"/>
      <c r="O644" s="1086"/>
      <c r="P644" s="1086"/>
      <c r="Q644" s="1086"/>
      <c r="R644" s="1086"/>
      <c r="T644" s="35"/>
      <c r="U644" s="12" t="s">
        <v>631</v>
      </c>
      <c r="Z644" s="1086" t="s">
        <v>73</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tr">
        <f>G637</f>
        <v>Mark Rasmussen</v>
      </c>
      <c r="H645" s="1086"/>
      <c r="I645" s="1086"/>
      <c r="J645" s="1086"/>
      <c r="K645" s="1086"/>
      <c r="L645" s="1086"/>
      <c r="M645" s="1086"/>
      <c r="N645" s="1086"/>
      <c r="O645" s="1086"/>
      <c r="P645" s="1086"/>
      <c r="Q645" s="1086"/>
      <c r="R645" s="1086"/>
      <c r="T645" s="35"/>
      <c r="U645" s="12" t="s">
        <v>19</v>
      </c>
      <c r="Z645" s="1086" t="s">
        <v>1733</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1" t="str">
        <f>G638</f>
        <v>(818) 550-9807</v>
      </c>
      <c r="H646" s="1121"/>
      <c r="I646" s="1121"/>
      <c r="J646" s="1121"/>
      <c r="K646" s="1121"/>
      <c r="L646" s="1121"/>
      <c r="O646" s="140" t="s">
        <v>220</v>
      </c>
      <c r="P646" s="1151"/>
      <c r="Q646" s="1151"/>
      <c r="R646" s="1151"/>
      <c r="T646" s="35"/>
      <c r="U646" s="12" t="s">
        <v>338</v>
      </c>
      <c r="Z646" s="1176" t="s">
        <v>1734</v>
      </c>
      <c r="AA646" s="1121"/>
      <c r="AB646" s="1121"/>
      <c r="AC646" s="1121"/>
      <c r="AD646" s="1121"/>
      <c r="AE646" s="1121"/>
      <c r="AH646" s="140" t="s">
        <v>220</v>
      </c>
      <c r="AI646" s="1151"/>
      <c r="AJ646" s="1151"/>
      <c r="AK646" s="115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1766</v>
      </c>
      <c r="I647" s="1087"/>
      <c r="J647" s="1087"/>
      <c r="K647" s="1087"/>
      <c r="L647" s="1087"/>
      <c r="M647" s="1087"/>
      <c r="N647" s="1087"/>
      <c r="O647" s="1087"/>
      <c r="P647" s="1087"/>
      <c r="Q647" s="1087"/>
      <c r="R647" s="1087"/>
      <c r="T647" s="35"/>
      <c r="U647" s="12" t="s">
        <v>20</v>
      </c>
      <c r="AA647" s="1175" t="s">
        <v>1768</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592</v>
      </c>
      <c r="O648" s="1115"/>
      <c r="T648" s="35"/>
      <c r="U648" s="12" t="s">
        <v>22</v>
      </c>
      <c r="AG648" s="1115" t="s">
        <v>592</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1346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4" t="str">
        <f>C622</f>
        <v>HCD-VHHP</v>
      </c>
      <c r="H650" s="1174"/>
      <c r="I650" s="1174"/>
      <c r="J650" s="1174"/>
      <c r="K650" s="1174"/>
      <c r="L650" s="1174"/>
      <c r="M650" s="1174"/>
      <c r="N650" s="1174"/>
      <c r="O650" s="1174"/>
      <c r="P650" s="1174"/>
      <c r="Q650" s="1174"/>
      <c r="R650" s="1174"/>
      <c r="T650" s="87" t="s">
        <v>635</v>
      </c>
      <c r="U650" s="12" t="s">
        <v>510</v>
      </c>
      <c r="Z650" s="1174" t="str">
        <f>C623</f>
        <v>HA of the City of Riverside</v>
      </c>
      <c r="AA650" s="1174"/>
      <c r="AB650" s="1174"/>
      <c r="AC650" s="1174"/>
      <c r="AD650" s="1174"/>
      <c r="AE650" s="1174"/>
      <c r="AF650" s="1174"/>
      <c r="AG650" s="1174"/>
      <c r="AH650" s="1174"/>
      <c r="AI650" s="1174"/>
      <c r="AJ650" s="1174"/>
      <c r="AK650" s="1174"/>
      <c r="AM650" s="58"/>
      <c r="AN650" s="463">
        <f t="shared" si="24"/>
        <v>1616</v>
      </c>
      <c r="AO650" s="58"/>
      <c r="AP650" s="58"/>
      <c r="AQ650" s="58"/>
      <c r="AR650" s="58"/>
      <c r="AS650" s="399"/>
      <c r="AT650" s="473">
        <f t="shared" ref="AT650:AT674" si="25">G709</f>
        <v>14</v>
      </c>
      <c r="AU650" s="477">
        <f>AT650/$AT$675</f>
        <v>0.19718309859154928</v>
      </c>
      <c r="AV650" s="478">
        <f t="shared" ref="AV650:AV674" si="26">IF(AU650=0," ",AU650*AD709)</f>
        <v>5.9154929577464779E-2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t="s">
        <v>1788</v>
      </c>
      <c r="H651" s="1087"/>
      <c r="I651" s="1087"/>
      <c r="J651" s="1087"/>
      <c r="K651" s="1087"/>
      <c r="L651" s="1087"/>
      <c r="M651" s="1087"/>
      <c r="N651" s="1087"/>
      <c r="O651" s="1087"/>
      <c r="P651" s="1087"/>
      <c r="Q651" s="1087"/>
      <c r="R651" s="1087"/>
      <c r="T651" s="35"/>
      <c r="U651" s="12" t="s">
        <v>92</v>
      </c>
      <c r="Z651" s="1087" t="s">
        <v>1728</v>
      </c>
      <c r="AA651" s="1087"/>
      <c r="AB651" s="1087"/>
      <c r="AC651" s="1087"/>
      <c r="AD651" s="1087"/>
      <c r="AE651" s="1087"/>
      <c r="AF651" s="1087"/>
      <c r="AG651" s="1087"/>
      <c r="AH651" s="1087"/>
      <c r="AI651" s="1087"/>
      <c r="AJ651" s="1087"/>
      <c r="AK651" s="1087"/>
      <c r="AM651" s="58"/>
      <c r="AN651" s="463">
        <f t="shared" si="24"/>
        <v>1866</v>
      </c>
      <c r="AO651" s="58"/>
      <c r="AP651" s="58"/>
      <c r="AQ651" s="58"/>
      <c r="AR651" s="58"/>
      <c r="AS651" s="399"/>
      <c r="AT651" s="474">
        <f t="shared" si="25"/>
        <v>3</v>
      </c>
      <c r="AU651" s="477">
        <f t="shared" ref="AU651:AU674" si="27">AT651/$AT$675</f>
        <v>4.2253521126760563E-2</v>
      </c>
      <c r="AV651" s="478">
        <f t="shared" si="26"/>
        <v>1.2676056338028168E-2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t="str">
        <f>Z644</f>
        <v>Sacramento</v>
      </c>
      <c r="H652" s="1087"/>
      <c r="I652" s="1087"/>
      <c r="J652" s="1087"/>
      <c r="K652" s="1087"/>
      <c r="L652" s="1087"/>
      <c r="M652" s="1087"/>
      <c r="N652" s="1087"/>
      <c r="O652" s="1087"/>
      <c r="P652" s="1087"/>
      <c r="Q652" s="1087"/>
      <c r="R652" s="1087"/>
      <c r="T652" s="35"/>
      <c r="U652" s="12" t="s">
        <v>631</v>
      </c>
      <c r="Z652" s="1086" t="s">
        <v>72</v>
      </c>
      <c r="AA652" s="1086"/>
      <c r="AB652" s="1086"/>
      <c r="AC652" s="1086"/>
      <c r="AD652" s="1086"/>
      <c r="AE652" s="1086"/>
      <c r="AF652" s="1086"/>
      <c r="AG652" s="1086"/>
      <c r="AH652" s="1086"/>
      <c r="AI652" s="1086"/>
      <c r="AJ652" s="1086"/>
      <c r="AK652" s="1086"/>
      <c r="AM652" s="58"/>
      <c r="AN652" s="463">
        <f t="shared" si="24"/>
        <v>1346</v>
      </c>
      <c r="AO652" s="58"/>
      <c r="AP652" s="58"/>
      <c r="AQ652" s="58"/>
      <c r="AR652" s="58"/>
      <c r="AS652" s="399"/>
      <c r="AT652" s="474">
        <f t="shared" si="25"/>
        <v>2</v>
      </c>
      <c r="AU652" s="477">
        <f t="shared" si="27"/>
        <v>2.8169014084507043E-2</v>
      </c>
      <c r="AV652" s="478">
        <f t="shared" si="26"/>
        <v>8.4507042253521118E-3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t="s">
        <v>1789</v>
      </c>
      <c r="H653" s="1087"/>
      <c r="I653" s="1087"/>
      <c r="J653" s="1087"/>
      <c r="K653" s="1087"/>
      <c r="L653" s="1087"/>
      <c r="M653" s="1087"/>
      <c r="N653" s="1087"/>
      <c r="O653" s="1087"/>
      <c r="P653" s="1087"/>
      <c r="Q653" s="1087"/>
      <c r="R653" s="1087"/>
      <c r="T653" s="35"/>
      <c r="U653" s="12" t="s">
        <v>19</v>
      </c>
      <c r="Z653" s="1086" t="s">
        <v>1730</v>
      </c>
      <c r="AA653" s="1086"/>
      <c r="AB653" s="1086"/>
      <c r="AC653" s="1086"/>
      <c r="AD653" s="1086"/>
      <c r="AE653" s="1086"/>
      <c r="AF653" s="1086"/>
      <c r="AG653" s="1086"/>
      <c r="AH653" s="1086"/>
      <c r="AI653" s="1086"/>
      <c r="AJ653" s="1086"/>
      <c r="AK653" s="1086"/>
      <c r="AM653" s="58"/>
      <c r="AN653" s="463">
        <f t="shared" si="24"/>
        <v>1616</v>
      </c>
      <c r="AO653" s="58"/>
      <c r="AP653" s="58"/>
      <c r="AQ653" s="58"/>
      <c r="AR653" s="58"/>
      <c r="AS653" s="399"/>
      <c r="AT653" s="474">
        <f t="shared" si="25"/>
        <v>2</v>
      </c>
      <c r="AU653" s="477">
        <f t="shared" si="27"/>
        <v>2.8169014084507043E-2</v>
      </c>
      <c r="AV653" s="478">
        <f t="shared" si="26"/>
        <v>1.2676056338028169E-2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76" t="s">
        <v>1790</v>
      </c>
      <c r="H654" s="1121"/>
      <c r="I654" s="1121"/>
      <c r="J654" s="1121"/>
      <c r="K654" s="1121"/>
      <c r="L654" s="1121"/>
      <c r="O654" s="140" t="s">
        <v>220</v>
      </c>
      <c r="P654" s="1151"/>
      <c r="Q654" s="1151"/>
      <c r="R654" s="1151"/>
      <c r="T654" s="35"/>
      <c r="U654" s="12" t="s">
        <v>338</v>
      </c>
      <c r="Z654" s="1176" t="s">
        <v>1793</v>
      </c>
      <c r="AA654" s="1121"/>
      <c r="AB654" s="1121"/>
      <c r="AC654" s="1121"/>
      <c r="AD654" s="1121"/>
      <c r="AE654" s="1121"/>
      <c r="AH654" s="140" t="s">
        <v>220</v>
      </c>
      <c r="AI654" s="1151"/>
      <c r="AJ654" s="1151"/>
      <c r="AK654" s="1151"/>
      <c r="AM654" s="58"/>
      <c r="AN654" s="463">
        <f t="shared" si="24"/>
        <v>1866</v>
      </c>
      <c r="AO654" s="58"/>
      <c r="AP654" s="58"/>
      <c r="AQ654" s="58"/>
      <c r="AR654" s="58"/>
      <c r="AS654" s="399"/>
      <c r="AT654" s="474">
        <f t="shared" si="25"/>
        <v>7</v>
      </c>
      <c r="AU654" s="477">
        <f t="shared" si="27"/>
        <v>9.8591549295774641E-2</v>
      </c>
      <c r="AV654" s="478">
        <f t="shared" si="26"/>
        <v>4.4366197183098588E-2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t="s">
        <v>1768</v>
      </c>
      <c r="I655" s="1087"/>
      <c r="J655" s="1087"/>
      <c r="K655" s="1087"/>
      <c r="L655" s="1087"/>
      <c r="M655" s="1087"/>
      <c r="N655" s="1087"/>
      <c r="O655" s="1087"/>
      <c r="P655" s="1087"/>
      <c r="Q655" s="1087"/>
      <c r="R655" s="1087"/>
      <c r="T655" s="35"/>
      <c r="U655" s="12" t="s">
        <v>20</v>
      </c>
      <c r="AA655" s="1087" t="s">
        <v>1768</v>
      </c>
      <c r="AB655" s="1087"/>
      <c r="AC655" s="1087"/>
      <c r="AD655" s="1087"/>
      <c r="AE655" s="1087"/>
      <c r="AF655" s="1087"/>
      <c r="AG655" s="1087"/>
      <c r="AH655" s="1087"/>
      <c r="AI655" s="1087"/>
      <c r="AJ655" s="1087"/>
      <c r="AK655" s="1087"/>
      <c r="AM655" s="58"/>
      <c r="AN655" s="463">
        <f t="shared" si="24"/>
        <v>1346</v>
      </c>
      <c r="AO655" s="58"/>
      <c r="AP655" s="58"/>
      <c r="AQ655" s="58"/>
      <c r="AR655" s="58"/>
      <c r="AS655" s="399"/>
      <c r="AT655" s="474">
        <f t="shared" si="25"/>
        <v>6</v>
      </c>
      <c r="AU655" s="477">
        <f t="shared" si="27"/>
        <v>8.4507042253521125E-2</v>
      </c>
      <c r="AV655" s="478">
        <f t="shared" si="26"/>
        <v>3.8028169014084505E-2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592</v>
      </c>
      <c r="O656" s="1115"/>
      <c r="T656" s="35"/>
      <c r="U656" s="12" t="s">
        <v>22</v>
      </c>
      <c r="AG656" s="1115" t="s">
        <v>592</v>
      </c>
      <c r="AH656" s="1115"/>
      <c r="AM656" s="58"/>
      <c r="AN656" s="463">
        <f t="shared" si="24"/>
        <v>1346</v>
      </c>
      <c r="AO656" s="58"/>
      <c r="AP656" s="58"/>
      <c r="AQ656" s="58"/>
      <c r="AR656" s="58"/>
      <c r="AS656" s="399"/>
      <c r="AT656" s="474">
        <f t="shared" si="25"/>
        <v>3</v>
      </c>
      <c r="AU656" s="477">
        <f t="shared" si="27"/>
        <v>4.2253521126760563E-2</v>
      </c>
      <c r="AV656" s="478">
        <f t="shared" si="26"/>
        <v>2.1126760563380281E-2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4"/>
        <v>1616</v>
      </c>
      <c r="AO657" s="58"/>
      <c r="AP657" s="58"/>
      <c r="AQ657" s="58"/>
      <c r="AR657" s="58"/>
      <c r="AS657" s="399"/>
      <c r="AT657" s="474">
        <f t="shared" si="25"/>
        <v>5</v>
      </c>
      <c r="AU657" s="477">
        <f t="shared" si="27"/>
        <v>7.0422535211267609E-2</v>
      </c>
      <c r="AV657" s="478">
        <f t="shared" si="26"/>
        <v>3.5211267605633804E-2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4" t="str">
        <f>C624</f>
        <v>State Budget Allocation</v>
      </c>
      <c r="H658" s="1174"/>
      <c r="I658" s="1174"/>
      <c r="J658" s="1174"/>
      <c r="K658" s="1174"/>
      <c r="L658" s="1174"/>
      <c r="M658" s="1174"/>
      <c r="N658" s="1174"/>
      <c r="O658" s="1174"/>
      <c r="P658" s="1174"/>
      <c r="Q658" s="1174"/>
      <c r="R658" s="1174"/>
      <c r="T658" s="87" t="s">
        <v>502</v>
      </c>
      <c r="U658" s="12" t="s">
        <v>510</v>
      </c>
      <c r="Z658" s="1174" t="str">
        <f>C625</f>
        <v>Deferred developer fee</v>
      </c>
      <c r="AA658" s="1174"/>
      <c r="AB658" s="1174"/>
      <c r="AC658" s="1174"/>
      <c r="AD658" s="1174"/>
      <c r="AE658" s="1174"/>
      <c r="AF658" s="1174"/>
      <c r="AG658" s="1174"/>
      <c r="AH658" s="1174"/>
      <c r="AI658" s="1174"/>
      <c r="AJ658" s="1174"/>
      <c r="AK658" s="1174"/>
      <c r="AM658" s="58"/>
      <c r="AN658" s="463">
        <f t="shared" si="24"/>
        <v>1866</v>
      </c>
      <c r="AO658" s="58"/>
      <c r="AP658" s="58"/>
      <c r="AQ658" s="58"/>
      <c r="AR658" s="58"/>
      <c r="AS658" s="399"/>
      <c r="AT658" s="474">
        <f t="shared" si="25"/>
        <v>7</v>
      </c>
      <c r="AU658" s="477">
        <f t="shared" si="27"/>
        <v>9.8591549295774641E-2</v>
      </c>
      <c r="AV658" s="478">
        <f t="shared" si="26"/>
        <v>4.9295774647887321E-2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t="s">
        <v>1758</v>
      </c>
      <c r="H659" s="1087"/>
      <c r="I659" s="1087"/>
      <c r="J659" s="1087"/>
      <c r="K659" s="1087"/>
      <c r="L659" s="1087"/>
      <c r="M659" s="1087"/>
      <c r="N659" s="1087"/>
      <c r="O659" s="1087"/>
      <c r="P659" s="1087"/>
      <c r="Q659" s="1087"/>
      <c r="R659" s="1087"/>
      <c r="T659" s="35"/>
      <c r="U659" s="12" t="s">
        <v>92</v>
      </c>
      <c r="Z659" s="1087" t="s">
        <v>1755</v>
      </c>
      <c r="AA659" s="1087"/>
      <c r="AB659" s="1087"/>
      <c r="AC659" s="1087"/>
      <c r="AD659" s="1087"/>
      <c r="AE659" s="1087"/>
      <c r="AF659" s="1087"/>
      <c r="AG659" s="1087"/>
      <c r="AH659" s="1087"/>
      <c r="AI659" s="1087"/>
      <c r="AJ659" s="1087"/>
      <c r="AK659" s="1087"/>
      <c r="AM659" s="58"/>
      <c r="AN659" s="463">
        <f t="shared" si="24"/>
        <v>1346</v>
      </c>
      <c r="AO659" s="58"/>
      <c r="AP659" s="58"/>
      <c r="AQ659" s="58"/>
      <c r="AR659" s="58"/>
      <c r="AS659" s="399"/>
      <c r="AT659" s="474">
        <f t="shared" si="25"/>
        <v>6</v>
      </c>
      <c r="AU659" s="477">
        <f t="shared" si="27"/>
        <v>8.4507042253521125E-2</v>
      </c>
      <c r="AV659" s="478">
        <f t="shared" si="26"/>
        <v>4.2253521126760563E-2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t="s">
        <v>72</v>
      </c>
      <c r="H660" s="1087"/>
      <c r="I660" s="1087"/>
      <c r="J660" s="1087"/>
      <c r="K660" s="1087"/>
      <c r="L660" s="1087"/>
      <c r="M660" s="1087"/>
      <c r="N660" s="1087"/>
      <c r="O660" s="1087"/>
      <c r="P660" s="1087"/>
      <c r="Q660" s="1087"/>
      <c r="R660" s="1087"/>
      <c r="T660" s="35"/>
      <c r="U660" s="12" t="s">
        <v>631</v>
      </c>
      <c r="Z660" s="1086" t="s">
        <v>791</v>
      </c>
      <c r="AA660" s="1086"/>
      <c r="AB660" s="1086"/>
      <c r="AC660" s="1086"/>
      <c r="AD660" s="1086"/>
      <c r="AE660" s="1086"/>
      <c r="AF660" s="1086"/>
      <c r="AG660" s="1086"/>
      <c r="AH660" s="1086"/>
      <c r="AI660" s="1086"/>
      <c r="AJ660" s="1086"/>
      <c r="AK660" s="1086"/>
      <c r="AM660" s="58"/>
      <c r="AN660" s="463">
        <f t="shared" si="24"/>
        <v>1616</v>
      </c>
      <c r="AO660" s="58"/>
      <c r="AP660" s="58"/>
      <c r="AQ660" s="58"/>
      <c r="AR660" s="58"/>
      <c r="AS660" s="399"/>
      <c r="AT660" s="474">
        <f t="shared" si="25"/>
        <v>6</v>
      </c>
      <c r="AU660" s="477">
        <f t="shared" si="27"/>
        <v>8.4507042253521125E-2</v>
      </c>
      <c r="AV660" s="478">
        <f t="shared" si="26"/>
        <v>5.0704225352112671E-2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t="s">
        <v>1756</v>
      </c>
      <c r="AA661" s="1086"/>
      <c r="AB661" s="1086"/>
      <c r="AC661" s="1086"/>
      <c r="AD661" s="1086"/>
      <c r="AE661" s="1086"/>
      <c r="AF661" s="1086"/>
      <c r="AG661" s="1086"/>
      <c r="AH661" s="1086"/>
      <c r="AI661" s="1086"/>
      <c r="AJ661" s="1086"/>
      <c r="AK661" s="1086"/>
      <c r="AM661" s="58"/>
      <c r="AN661" s="463">
        <f t="shared" si="24"/>
        <v>1866</v>
      </c>
      <c r="AO661" s="58"/>
      <c r="AP661" s="58"/>
      <c r="AQ661" s="58"/>
      <c r="AR661" s="58"/>
      <c r="AS661" s="399"/>
      <c r="AT661" s="474">
        <f t="shared" si="25"/>
        <v>6</v>
      </c>
      <c r="AU661" s="477">
        <f t="shared" si="27"/>
        <v>8.4507042253521125E-2</v>
      </c>
      <c r="AV661" s="478">
        <f t="shared" si="26"/>
        <v>5.0704225352112671E-2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76" t="s">
        <v>1759</v>
      </c>
      <c r="H662" s="1121"/>
      <c r="I662" s="1121"/>
      <c r="J662" s="1121"/>
      <c r="K662" s="1121"/>
      <c r="L662" s="1121"/>
      <c r="O662" s="140" t="s">
        <v>220</v>
      </c>
      <c r="P662" s="1151"/>
      <c r="Q662" s="1151"/>
      <c r="R662" s="1151"/>
      <c r="T662" s="35"/>
      <c r="U662" s="12" t="s">
        <v>338</v>
      </c>
      <c r="Z662" s="1176" t="s">
        <v>1757</v>
      </c>
      <c r="AA662" s="1121"/>
      <c r="AB662" s="1121"/>
      <c r="AC662" s="1121"/>
      <c r="AD662" s="1121"/>
      <c r="AE662" s="1121"/>
      <c r="AH662" s="140" t="s">
        <v>220</v>
      </c>
      <c r="AI662" s="1151"/>
      <c r="AJ662" s="1151"/>
      <c r="AK662" s="1151"/>
      <c r="AM662" s="58"/>
      <c r="AN662" s="463" t="str">
        <f t="shared" si="24"/>
        <v>N/A</v>
      </c>
      <c r="AO662" s="58"/>
      <c r="AP662" s="58"/>
      <c r="AQ662" s="58"/>
      <c r="AR662" s="58"/>
      <c r="AS662" s="399"/>
      <c r="AT662" s="474">
        <f t="shared" si="25"/>
        <v>4</v>
      </c>
      <c r="AU662" s="477">
        <f t="shared" si="27"/>
        <v>5.6338028169014086E-2</v>
      </c>
      <c r="AV662" s="478">
        <f t="shared" si="26"/>
        <v>3.3802816901408447E-2</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75" t="s">
        <v>1808</v>
      </c>
      <c r="I663" s="1087"/>
      <c r="J663" s="1087"/>
      <c r="K663" s="1087"/>
      <c r="L663" s="1087"/>
      <c r="M663" s="1087"/>
      <c r="N663" s="1087"/>
      <c r="O663" s="1087"/>
      <c r="P663" s="1087"/>
      <c r="Q663" s="1087"/>
      <c r="R663" s="1087"/>
      <c r="T663" s="35"/>
      <c r="U663" s="12" t="s">
        <v>20</v>
      </c>
      <c r="AA663" s="1087" t="s">
        <v>1761</v>
      </c>
      <c r="AB663" s="1087"/>
      <c r="AC663" s="1087"/>
      <c r="AD663" s="1087"/>
      <c r="AE663" s="1087"/>
      <c r="AF663" s="1087"/>
      <c r="AG663" s="1087"/>
      <c r="AH663" s="1087"/>
      <c r="AI663" s="1087"/>
      <c r="AJ663" s="1087"/>
      <c r="AK663" s="1087"/>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592</v>
      </c>
      <c r="O664" s="1115"/>
      <c r="T664" s="35"/>
      <c r="U664" s="12" t="s">
        <v>22</v>
      </c>
      <c r="AG664" s="1115" t="s">
        <v>592</v>
      </c>
      <c r="AH664" s="1115"/>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4" t="str">
        <f>C626</f>
        <v>GP Equity (Developer Fee)</v>
      </c>
      <c r="H666" s="1174"/>
      <c r="I666" s="1174"/>
      <c r="J666" s="1174"/>
      <c r="K666" s="1174"/>
      <c r="L666" s="1174"/>
      <c r="M666" s="1174"/>
      <c r="N666" s="1174"/>
      <c r="O666" s="1174"/>
      <c r="P666" s="1174"/>
      <c r="Q666" s="1174"/>
      <c r="R666" s="1174"/>
      <c r="T666" s="87" t="s">
        <v>697</v>
      </c>
      <c r="U666" s="12" t="s">
        <v>510</v>
      </c>
      <c r="Z666" s="1174" t="str">
        <f>C627</f>
        <v>CDLAC Performance Deposit Refund</v>
      </c>
      <c r="AA666" s="1174"/>
      <c r="AB666" s="1174"/>
      <c r="AC666" s="1174"/>
      <c r="AD666" s="1174"/>
      <c r="AE666" s="1174"/>
      <c r="AF666" s="1174"/>
      <c r="AG666" s="1174"/>
      <c r="AH666" s="1174"/>
      <c r="AI666" s="1174"/>
      <c r="AJ666" s="1174"/>
      <c r="AK666" s="1174"/>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t="s">
        <v>1760</v>
      </c>
      <c r="H667" s="1087"/>
      <c r="I667" s="1087"/>
      <c r="J667" s="1087"/>
      <c r="K667" s="1087"/>
      <c r="L667" s="1087"/>
      <c r="M667" s="1087"/>
      <c r="N667" s="1087"/>
      <c r="O667" s="1087"/>
      <c r="P667" s="1087"/>
      <c r="Q667" s="1087"/>
      <c r="R667" s="1087"/>
      <c r="T667" s="35"/>
      <c r="U667" s="12" t="s">
        <v>92</v>
      </c>
      <c r="Z667" s="1087" t="str">
        <f>+G601</f>
        <v>1230 Columbia Street, #950</v>
      </c>
      <c r="AA667" s="1087"/>
      <c r="AB667" s="1087"/>
      <c r="AC667" s="1087"/>
      <c r="AD667" s="1087"/>
      <c r="AE667" s="1087"/>
      <c r="AF667" s="1087"/>
      <c r="AG667" s="1087"/>
      <c r="AH667" s="1087"/>
      <c r="AI667" s="1087"/>
      <c r="AJ667" s="1087"/>
      <c r="AK667" s="1087"/>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t="s">
        <v>791</v>
      </c>
      <c r="H668" s="1087"/>
      <c r="I668" s="1087"/>
      <c r="J668" s="1087"/>
      <c r="K668" s="1087"/>
      <c r="L668" s="1087"/>
      <c r="M668" s="1087"/>
      <c r="N668" s="1087"/>
      <c r="O668" s="1087"/>
      <c r="P668" s="1087"/>
      <c r="Q668" s="1087"/>
      <c r="R668" s="1087"/>
      <c r="T668" s="35"/>
      <c r="U668" s="12" t="s">
        <v>631</v>
      </c>
      <c r="Z668" s="1086" t="str">
        <f>+G602</f>
        <v>San Diego CA 92101</v>
      </c>
      <c r="AA668" s="1086"/>
      <c r="AB668" s="1086"/>
      <c r="AC668" s="1086"/>
      <c r="AD668" s="1086"/>
      <c r="AE668" s="1086"/>
      <c r="AF668" s="1086"/>
      <c r="AG668" s="1086"/>
      <c r="AH668" s="1086"/>
      <c r="AI668" s="1086"/>
      <c r="AJ668" s="1086"/>
      <c r="AK668" s="1086"/>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t="s">
        <v>1756</v>
      </c>
      <c r="H669" s="1087"/>
      <c r="I669" s="1087"/>
      <c r="J669" s="1087"/>
      <c r="K669" s="1087"/>
      <c r="L669" s="1087"/>
      <c r="M669" s="1087"/>
      <c r="N669" s="1087"/>
      <c r="O669" s="1087"/>
      <c r="P669" s="1087"/>
      <c r="Q669" s="1087"/>
      <c r="R669" s="1087"/>
      <c r="T669" s="35"/>
      <c r="U669" s="12" t="s">
        <v>19</v>
      </c>
      <c r="Z669" s="1086" t="str">
        <f>+G603</f>
        <v>Peter Armstrong</v>
      </c>
      <c r="AA669" s="1086"/>
      <c r="AB669" s="1086"/>
      <c r="AC669" s="1086"/>
      <c r="AD669" s="1086"/>
      <c r="AE669" s="1086"/>
      <c r="AF669" s="1086"/>
      <c r="AG669" s="1086"/>
      <c r="AH669" s="1086"/>
      <c r="AI669" s="1086"/>
      <c r="AJ669" s="1086"/>
      <c r="AK669" s="1086"/>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76" t="s">
        <v>1757</v>
      </c>
      <c r="H670" s="1121"/>
      <c r="I670" s="1121"/>
      <c r="J670" s="1121"/>
      <c r="K670" s="1121"/>
      <c r="L670" s="1121"/>
      <c r="O670" s="140" t="s">
        <v>220</v>
      </c>
      <c r="P670" s="1151"/>
      <c r="Q670" s="1151"/>
      <c r="R670" s="1151"/>
      <c r="T670" s="35"/>
      <c r="U670" s="12" t="s">
        <v>338</v>
      </c>
      <c r="Z670" s="1121" t="str">
        <f>+G604</f>
        <v>(619) 677-2300</v>
      </c>
      <c r="AA670" s="1121"/>
      <c r="AB670" s="1121"/>
      <c r="AC670" s="1121"/>
      <c r="AD670" s="1121"/>
      <c r="AE670" s="1121"/>
      <c r="AH670" s="140" t="s">
        <v>220</v>
      </c>
      <c r="AI670" s="1151"/>
      <c r="AJ670" s="1151"/>
      <c r="AK670" s="1151"/>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t="s">
        <v>1773</v>
      </c>
      <c r="I671" s="1087"/>
      <c r="J671" s="1087"/>
      <c r="K671" s="1087"/>
      <c r="L671" s="1087"/>
      <c r="M671" s="1087"/>
      <c r="N671" s="1087"/>
      <c r="O671" s="1087"/>
      <c r="P671" s="1087"/>
      <c r="Q671" s="1087"/>
      <c r="R671" s="1087"/>
      <c r="T671" s="35"/>
      <c r="U671" s="12" t="s">
        <v>20</v>
      </c>
      <c r="AA671" s="1087" t="s">
        <v>1774</v>
      </c>
      <c r="AB671" s="1087"/>
      <c r="AC671" s="1087"/>
      <c r="AD671" s="1087"/>
      <c r="AE671" s="1087"/>
      <c r="AF671" s="1087"/>
      <c r="AG671" s="1087"/>
      <c r="AH671" s="1087"/>
      <c r="AI671" s="1087"/>
      <c r="AJ671" s="1087"/>
      <c r="AK671" s="1087"/>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592</v>
      </c>
      <c r="O672" s="1115"/>
      <c r="T672" s="35"/>
      <c r="U672" s="12" t="s">
        <v>22</v>
      </c>
      <c r="AG672" s="1115" t="s">
        <v>592</v>
      </c>
      <c r="AH672" s="1115"/>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4">
        <f>C628</f>
        <v>0</v>
      </c>
      <c r="H674" s="1174"/>
      <c r="I674" s="1174"/>
      <c r="J674" s="1174"/>
      <c r="K674" s="1174"/>
      <c r="L674" s="1174"/>
      <c r="M674" s="1174"/>
      <c r="N674" s="1174"/>
      <c r="O674" s="1174"/>
      <c r="P674" s="1174"/>
      <c r="Q674" s="1174"/>
      <c r="R674" s="1174"/>
      <c r="T674" s="87" t="s">
        <v>387</v>
      </c>
      <c r="U674" s="12" t="s">
        <v>510</v>
      </c>
      <c r="Z674" s="1174">
        <f>C629</f>
        <v>0</v>
      </c>
      <c r="AA674" s="1174"/>
      <c r="AB674" s="1174"/>
      <c r="AC674" s="1174"/>
      <c r="AD674" s="1174"/>
      <c r="AE674" s="1174"/>
      <c r="AF674" s="1174"/>
      <c r="AG674" s="1174"/>
      <c r="AH674" s="1174"/>
      <c r="AI674" s="1174"/>
      <c r="AJ674" s="1174"/>
      <c r="AK674" s="1174"/>
      <c r="AM674" s="58"/>
      <c r="AN674" s="58"/>
      <c r="AO674" s="58"/>
      <c r="AP674" s="58"/>
      <c r="AS674" s="399"/>
      <c r="AT674" s="474">
        <f t="shared" si="25"/>
        <v>0</v>
      </c>
      <c r="AU674" s="477">
        <f t="shared" si="27"/>
        <v>0</v>
      </c>
      <c r="AV674" s="478" t="str">
        <f t="shared" si="26"/>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71</v>
      </c>
      <c r="AU675" s="480">
        <f>SUM(AU650:AU674)</f>
        <v>1</v>
      </c>
      <c r="AV675" s="480">
        <f>SUM(AV650:AV674)</f>
        <v>0.45845070422535211</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1"/>
      <c r="Q678" s="1151"/>
      <c r="R678" s="1151"/>
      <c r="U678" s="12" t="s">
        <v>338</v>
      </c>
      <c r="Z678" s="1121"/>
      <c r="AA678" s="1121"/>
      <c r="AB678" s="1121"/>
      <c r="AC678" s="1121"/>
      <c r="AD678" s="1121"/>
      <c r="AE678" s="1121"/>
      <c r="AH678" s="140" t="s">
        <v>220</v>
      </c>
      <c r="AI678" s="1151"/>
      <c r="AJ678" s="1151"/>
      <c r="AK678" s="115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592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43784</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4">
        <v>43875</v>
      </c>
      <c r="AF687" s="1374"/>
      <c r="AG687" s="1374"/>
      <c r="AH687" s="1374"/>
      <c r="AI687" s="137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44013</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5">
        <v>0.55189999999999995</v>
      </c>
      <c r="AF690" s="1375"/>
      <c r="AG690" s="1375"/>
      <c r="AH690" s="1375"/>
      <c r="AI690" s="137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4" t="str">
        <f>H330</f>
        <v>California Municipal Finance Authority</v>
      </c>
      <c r="X691" s="1174"/>
      <c r="Y691" s="1174"/>
      <c r="Z691" s="1174"/>
      <c r="AA691" s="1174"/>
      <c r="AB691" s="1174"/>
      <c r="AC691" s="1174"/>
      <c r="AD691" s="1174"/>
      <c r="AE691" s="1174"/>
      <c r="AF691" s="1174"/>
      <c r="AG691" s="1174"/>
      <c r="AH691" s="1174"/>
      <c r="AI691" s="1174"/>
      <c r="AJ691" s="1174"/>
      <c r="AK691" s="117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1"/>
      <c r="S696" s="1151"/>
      <c r="T696" s="115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4" t="s">
        <v>421</v>
      </c>
      <c r="C705" s="1385"/>
      <c r="D705" s="1385"/>
      <c r="E705" s="1385"/>
      <c r="F705" s="1386"/>
      <c r="G705" s="1384" t="s">
        <v>302</v>
      </c>
      <c r="H705" s="1385"/>
      <c r="I705" s="1385"/>
      <c r="J705" s="1386"/>
      <c r="K705" s="1384" t="s">
        <v>492</v>
      </c>
      <c r="L705" s="1385"/>
      <c r="M705" s="1385"/>
      <c r="N705" s="1385"/>
      <c r="O705" s="1386"/>
      <c r="P705" s="1384" t="s">
        <v>303</v>
      </c>
      <c r="Q705" s="1385"/>
      <c r="R705" s="1385"/>
      <c r="S705" s="1385"/>
      <c r="T705" s="1386"/>
      <c r="U705" s="1384" t="s">
        <v>304</v>
      </c>
      <c r="V705" s="1385"/>
      <c r="W705" s="1385"/>
      <c r="X705" s="1386"/>
      <c r="Y705" s="1384" t="s">
        <v>305</v>
      </c>
      <c r="Z705" s="1385"/>
      <c r="AA705" s="1385"/>
      <c r="AB705" s="1385"/>
      <c r="AC705" s="1386"/>
      <c r="AD705" s="1384" t="s">
        <v>422</v>
      </c>
      <c r="AE705" s="1385"/>
      <c r="AF705" s="1385"/>
      <c r="AG705" s="1385"/>
      <c r="AH705" s="1386"/>
      <c r="AI705" s="1384" t="s">
        <v>698</v>
      </c>
      <c r="AJ705" s="1385"/>
      <c r="AK705" s="138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7"/>
      <c r="C706" s="1388"/>
      <c r="D706" s="1388"/>
      <c r="E706" s="1388"/>
      <c r="F706" s="1389"/>
      <c r="G706" s="1387"/>
      <c r="H706" s="1388"/>
      <c r="I706" s="1388"/>
      <c r="J706" s="1389"/>
      <c r="K706" s="1387"/>
      <c r="L706" s="1388"/>
      <c r="M706" s="1388"/>
      <c r="N706" s="1388"/>
      <c r="O706" s="1389"/>
      <c r="P706" s="1387"/>
      <c r="Q706" s="1388"/>
      <c r="R706" s="1388"/>
      <c r="S706" s="1388"/>
      <c r="T706" s="1389"/>
      <c r="U706" s="1387"/>
      <c r="V706" s="1388"/>
      <c r="W706" s="1388"/>
      <c r="X706" s="1389"/>
      <c r="Y706" s="1387"/>
      <c r="Z706" s="1388"/>
      <c r="AA706" s="1388"/>
      <c r="AB706" s="1388"/>
      <c r="AC706" s="1389"/>
      <c r="AD706" s="1387"/>
      <c r="AE706" s="1388"/>
      <c r="AF706" s="1388"/>
      <c r="AG706" s="1388"/>
      <c r="AH706" s="1389"/>
      <c r="AI706" s="1387"/>
      <c r="AJ706" s="1388"/>
      <c r="AK706" s="138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7"/>
      <c r="C707" s="1388"/>
      <c r="D707" s="1388"/>
      <c r="E707" s="1388"/>
      <c r="F707" s="1389"/>
      <c r="G707" s="1387"/>
      <c r="H707" s="1388"/>
      <c r="I707" s="1388"/>
      <c r="J707" s="1389"/>
      <c r="K707" s="1387"/>
      <c r="L707" s="1388"/>
      <c r="M707" s="1388"/>
      <c r="N707" s="1388"/>
      <c r="O707" s="1389"/>
      <c r="P707" s="1387"/>
      <c r="Q707" s="1388"/>
      <c r="R707" s="1388"/>
      <c r="S707" s="1388"/>
      <c r="T707" s="1389"/>
      <c r="U707" s="1387"/>
      <c r="V707" s="1388"/>
      <c r="W707" s="1388"/>
      <c r="X707" s="1389"/>
      <c r="Y707" s="1387"/>
      <c r="Z707" s="1388"/>
      <c r="AA707" s="1388"/>
      <c r="AB707" s="1388"/>
      <c r="AC707" s="1389"/>
      <c r="AD707" s="1387"/>
      <c r="AE707" s="1388"/>
      <c r="AF707" s="1388"/>
      <c r="AG707" s="1388"/>
      <c r="AH707" s="1389"/>
      <c r="AI707" s="1387"/>
      <c r="AJ707" s="1388"/>
      <c r="AK707" s="138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0"/>
      <c r="C708" s="1391"/>
      <c r="D708" s="1391"/>
      <c r="E708" s="1391"/>
      <c r="F708" s="1392"/>
      <c r="G708" s="1390"/>
      <c r="H708" s="1391"/>
      <c r="I708" s="1391"/>
      <c r="J708" s="1392"/>
      <c r="K708" s="1390"/>
      <c r="L708" s="1391"/>
      <c r="M708" s="1391"/>
      <c r="N708" s="1391"/>
      <c r="O708" s="1392"/>
      <c r="P708" s="1390"/>
      <c r="Q708" s="1391"/>
      <c r="R708" s="1391"/>
      <c r="S708" s="1391"/>
      <c r="T708" s="1392"/>
      <c r="U708" s="1390"/>
      <c r="V708" s="1391"/>
      <c r="W708" s="1391"/>
      <c r="X708" s="1392"/>
      <c r="Y708" s="1390"/>
      <c r="Z708" s="1391"/>
      <c r="AA708" s="1391"/>
      <c r="AB708" s="1391"/>
      <c r="AC708" s="1392"/>
      <c r="AD708" s="1390"/>
      <c r="AE708" s="1391"/>
      <c r="AF708" s="1391"/>
      <c r="AG708" s="1391"/>
      <c r="AH708" s="1392"/>
      <c r="AI708" s="1390"/>
      <c r="AJ708" s="1391"/>
      <c r="AK708" s="139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1" t="s">
        <v>348</v>
      </c>
      <c r="C709" s="1262"/>
      <c r="D709" s="1262"/>
      <c r="E709" s="1262"/>
      <c r="F709" s="1377"/>
      <c r="G709" s="1371">
        <v>14</v>
      </c>
      <c r="H709" s="1372"/>
      <c r="I709" s="1372"/>
      <c r="J709" s="1373"/>
      <c r="K709" s="1381">
        <f>404-U709</f>
        <v>329</v>
      </c>
      <c r="L709" s="1382"/>
      <c r="M709" s="1382"/>
      <c r="N709" s="1382"/>
      <c r="O709" s="1383"/>
      <c r="P709" s="1378">
        <f t="shared" ref="P709:P733" si="28">G709*K709</f>
        <v>4606</v>
      </c>
      <c r="Q709" s="1379"/>
      <c r="R709" s="1379"/>
      <c r="S709" s="1379"/>
      <c r="T709" s="1380"/>
      <c r="U709" s="1381">
        <v>75</v>
      </c>
      <c r="V709" s="1382"/>
      <c r="W709" s="1382"/>
      <c r="X709" s="1383"/>
      <c r="Y709" s="1378">
        <f>K709+U709</f>
        <v>404</v>
      </c>
      <c r="Z709" s="1379"/>
      <c r="AA709" s="1379"/>
      <c r="AB709" s="1379"/>
      <c r="AC709" s="1380"/>
      <c r="AD709" s="1180">
        <v>0.3</v>
      </c>
      <c r="AE709" s="1181"/>
      <c r="AF709" s="1181"/>
      <c r="AG709" s="1181"/>
      <c r="AH709" s="1182"/>
      <c r="AI709" s="1271">
        <f t="shared" ref="AI709:AI733" si="29">IF($AD709&gt;0,($Y709/$AN649), " ")</f>
        <v>0.300148588410104</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1" t="s">
        <v>170</v>
      </c>
      <c r="C710" s="1262"/>
      <c r="D710" s="1262"/>
      <c r="E710" s="1262"/>
      <c r="F710" s="1377"/>
      <c r="G710" s="1371">
        <v>3</v>
      </c>
      <c r="H710" s="1372"/>
      <c r="I710" s="1372"/>
      <c r="J710" s="1373"/>
      <c r="K710" s="1381">
        <f>485-U710</f>
        <v>392</v>
      </c>
      <c r="L710" s="1382"/>
      <c r="M710" s="1382"/>
      <c r="N710" s="1382"/>
      <c r="O710" s="1383"/>
      <c r="P710" s="1378">
        <f t="shared" si="28"/>
        <v>1176</v>
      </c>
      <c r="Q710" s="1379"/>
      <c r="R710" s="1379"/>
      <c r="S710" s="1379"/>
      <c r="T710" s="1380"/>
      <c r="U710" s="1381">
        <v>93</v>
      </c>
      <c r="V710" s="1382"/>
      <c r="W710" s="1382"/>
      <c r="X710" s="1383"/>
      <c r="Y710" s="1378">
        <f t="shared" ref="Y710:Y733" si="30">K710+U710</f>
        <v>485</v>
      </c>
      <c r="Z710" s="1379"/>
      <c r="AA710" s="1379"/>
      <c r="AB710" s="1379"/>
      <c r="AC710" s="1380"/>
      <c r="AD710" s="1180">
        <v>0.3</v>
      </c>
      <c r="AE710" s="1181"/>
      <c r="AF710" s="1181"/>
      <c r="AG710" s="1181"/>
      <c r="AH710" s="1182"/>
      <c r="AI710" s="1271">
        <f t="shared" si="29"/>
        <v>0.30012376237623761</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1" t="s">
        <v>171</v>
      </c>
      <c r="C711" s="1262"/>
      <c r="D711" s="1262"/>
      <c r="E711" s="1262"/>
      <c r="F711" s="1377"/>
      <c r="G711" s="1371">
        <v>2</v>
      </c>
      <c r="H711" s="1372"/>
      <c r="I711" s="1372"/>
      <c r="J711" s="1373"/>
      <c r="K711" s="1381">
        <f>560-U711</f>
        <v>448</v>
      </c>
      <c r="L711" s="1382"/>
      <c r="M711" s="1382"/>
      <c r="N711" s="1382"/>
      <c r="O711" s="1383"/>
      <c r="P711" s="1378">
        <f t="shared" si="28"/>
        <v>896</v>
      </c>
      <c r="Q711" s="1379"/>
      <c r="R711" s="1379"/>
      <c r="S711" s="1379"/>
      <c r="T711" s="1380"/>
      <c r="U711" s="1381">
        <v>112</v>
      </c>
      <c r="V711" s="1382"/>
      <c r="W711" s="1382"/>
      <c r="X711" s="1383"/>
      <c r="Y711" s="1378">
        <f t="shared" si="30"/>
        <v>560</v>
      </c>
      <c r="Z711" s="1379"/>
      <c r="AA711" s="1379"/>
      <c r="AB711" s="1379"/>
      <c r="AC711" s="1380"/>
      <c r="AD711" s="1180">
        <v>0.3</v>
      </c>
      <c r="AE711" s="1181"/>
      <c r="AF711" s="1181"/>
      <c r="AG711" s="1181"/>
      <c r="AH711" s="1182"/>
      <c r="AI711" s="1271">
        <f t="shared" si="29"/>
        <v>0.30010718113612006</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1" t="s">
        <v>348</v>
      </c>
      <c r="C712" s="1262"/>
      <c r="D712" s="1262"/>
      <c r="E712" s="1262"/>
      <c r="F712" s="1377"/>
      <c r="G712" s="1371">
        <v>2</v>
      </c>
      <c r="H712" s="1372"/>
      <c r="I712" s="1372"/>
      <c r="J712" s="1373"/>
      <c r="K712" s="1381">
        <f>606-U712</f>
        <v>531</v>
      </c>
      <c r="L712" s="1382"/>
      <c r="M712" s="1382"/>
      <c r="N712" s="1382"/>
      <c r="O712" s="1383"/>
      <c r="P712" s="1116">
        <f t="shared" si="28"/>
        <v>1062</v>
      </c>
      <c r="Q712" s="1116"/>
      <c r="R712" s="1116"/>
      <c r="S712" s="1116"/>
      <c r="T712" s="1116"/>
      <c r="U712" s="1381">
        <v>75</v>
      </c>
      <c r="V712" s="1382"/>
      <c r="W712" s="1382"/>
      <c r="X712" s="1383"/>
      <c r="Y712" s="1116">
        <f t="shared" si="30"/>
        <v>606</v>
      </c>
      <c r="Z712" s="1116"/>
      <c r="AA712" s="1116"/>
      <c r="AB712" s="1116"/>
      <c r="AC712" s="1116"/>
      <c r="AD712" s="1180">
        <v>0.45</v>
      </c>
      <c r="AE712" s="1181"/>
      <c r="AF712" s="1181"/>
      <c r="AG712" s="1181"/>
      <c r="AH712" s="1182"/>
      <c r="AI712" s="1271">
        <f t="shared" si="29"/>
        <v>0.45022288261515603</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1" t="s">
        <v>170</v>
      </c>
      <c r="C713" s="1262"/>
      <c r="D713" s="1262"/>
      <c r="E713" s="1262"/>
      <c r="F713" s="1377"/>
      <c r="G713" s="1371">
        <v>7</v>
      </c>
      <c r="H713" s="1372"/>
      <c r="I713" s="1372"/>
      <c r="J713" s="1373"/>
      <c r="K713" s="1381">
        <f>727-U713</f>
        <v>634</v>
      </c>
      <c r="L713" s="1382"/>
      <c r="M713" s="1382"/>
      <c r="N713" s="1382"/>
      <c r="O713" s="1383"/>
      <c r="P713" s="1116">
        <f t="shared" si="28"/>
        <v>4438</v>
      </c>
      <c r="Q713" s="1116"/>
      <c r="R713" s="1116"/>
      <c r="S713" s="1116"/>
      <c r="T713" s="1116"/>
      <c r="U713" s="1381">
        <v>93</v>
      </c>
      <c r="V713" s="1382"/>
      <c r="W713" s="1382"/>
      <c r="X713" s="1383"/>
      <c r="Y713" s="1116">
        <f t="shared" si="30"/>
        <v>727</v>
      </c>
      <c r="Z713" s="1116"/>
      <c r="AA713" s="1116"/>
      <c r="AB713" s="1116"/>
      <c r="AC713" s="1116"/>
      <c r="AD713" s="1180">
        <v>0.45</v>
      </c>
      <c r="AE713" s="1181"/>
      <c r="AF713" s="1181"/>
      <c r="AG713" s="1181"/>
      <c r="AH713" s="1182"/>
      <c r="AI713" s="1271">
        <f t="shared" si="29"/>
        <v>0.44987623762376239</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1" t="s">
        <v>171</v>
      </c>
      <c r="C714" s="1262"/>
      <c r="D714" s="1262"/>
      <c r="E714" s="1262"/>
      <c r="F714" s="1377"/>
      <c r="G714" s="1371">
        <v>6</v>
      </c>
      <c r="H714" s="1372"/>
      <c r="I714" s="1372"/>
      <c r="J714" s="1373"/>
      <c r="K714" s="1381">
        <f>840-U714</f>
        <v>728</v>
      </c>
      <c r="L714" s="1382"/>
      <c r="M714" s="1382"/>
      <c r="N714" s="1382"/>
      <c r="O714" s="1383"/>
      <c r="P714" s="1116">
        <f t="shared" si="28"/>
        <v>4368</v>
      </c>
      <c r="Q714" s="1116"/>
      <c r="R714" s="1116"/>
      <c r="S714" s="1116"/>
      <c r="T714" s="1116"/>
      <c r="U714" s="1381">
        <v>112</v>
      </c>
      <c r="V714" s="1382"/>
      <c r="W714" s="1382"/>
      <c r="X714" s="1383"/>
      <c r="Y714" s="1116">
        <f t="shared" si="30"/>
        <v>840</v>
      </c>
      <c r="Z714" s="1116"/>
      <c r="AA714" s="1116"/>
      <c r="AB714" s="1116"/>
      <c r="AC714" s="1116"/>
      <c r="AD714" s="1180">
        <v>0.45</v>
      </c>
      <c r="AE714" s="1181"/>
      <c r="AF714" s="1181"/>
      <c r="AG714" s="1181"/>
      <c r="AH714" s="1182"/>
      <c r="AI714" s="1271">
        <f t="shared" si="29"/>
        <v>0.45016077170418006</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1" t="s">
        <v>348</v>
      </c>
      <c r="C715" s="1262"/>
      <c r="D715" s="1262"/>
      <c r="E715" s="1262"/>
      <c r="F715" s="1377"/>
      <c r="G715" s="1371">
        <v>3</v>
      </c>
      <c r="H715" s="1372"/>
      <c r="I715" s="1372"/>
      <c r="J715" s="1373"/>
      <c r="K715" s="1381">
        <f>673-U715</f>
        <v>598</v>
      </c>
      <c r="L715" s="1382"/>
      <c r="M715" s="1382"/>
      <c r="N715" s="1382"/>
      <c r="O715" s="1383"/>
      <c r="P715" s="1116">
        <f t="shared" si="28"/>
        <v>1794</v>
      </c>
      <c r="Q715" s="1116"/>
      <c r="R715" s="1116"/>
      <c r="S715" s="1116"/>
      <c r="T715" s="1116"/>
      <c r="U715" s="1381">
        <v>75</v>
      </c>
      <c r="V715" s="1382"/>
      <c r="W715" s="1382"/>
      <c r="X715" s="1383"/>
      <c r="Y715" s="1116">
        <f t="shared" si="30"/>
        <v>673</v>
      </c>
      <c r="Z715" s="1116"/>
      <c r="AA715" s="1116"/>
      <c r="AB715" s="1116"/>
      <c r="AC715" s="1116"/>
      <c r="AD715" s="1180">
        <v>0.5</v>
      </c>
      <c r="AE715" s="1181"/>
      <c r="AF715" s="1181"/>
      <c r="AG715" s="1181"/>
      <c r="AH715" s="1182"/>
      <c r="AI715" s="1271">
        <f t="shared" si="29"/>
        <v>0.5</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1" t="s">
        <v>348</v>
      </c>
      <c r="C716" s="1262"/>
      <c r="D716" s="1262"/>
      <c r="E716" s="1262"/>
      <c r="F716" s="1377"/>
      <c r="G716" s="1371">
        <v>5</v>
      </c>
      <c r="H716" s="1372"/>
      <c r="I716" s="1372"/>
      <c r="J716" s="1373"/>
      <c r="K716" s="1393">
        <f>673-U716</f>
        <v>598</v>
      </c>
      <c r="L716" s="1393"/>
      <c r="M716" s="1393"/>
      <c r="N716" s="1393"/>
      <c r="O716" s="1393"/>
      <c r="P716" s="1116">
        <f t="shared" si="28"/>
        <v>2990</v>
      </c>
      <c r="Q716" s="1116"/>
      <c r="R716" s="1116"/>
      <c r="S716" s="1116"/>
      <c r="T716" s="1116"/>
      <c r="U716" s="1381">
        <v>75</v>
      </c>
      <c r="V716" s="1382"/>
      <c r="W716" s="1382"/>
      <c r="X716" s="1383"/>
      <c r="Y716" s="1116">
        <f t="shared" si="30"/>
        <v>673</v>
      </c>
      <c r="Z716" s="1116"/>
      <c r="AA716" s="1116"/>
      <c r="AB716" s="1116"/>
      <c r="AC716" s="1116"/>
      <c r="AD716" s="1180">
        <v>0.5</v>
      </c>
      <c r="AE716" s="1181"/>
      <c r="AF716" s="1181"/>
      <c r="AG716" s="1181"/>
      <c r="AH716" s="1182"/>
      <c r="AI716" s="1271">
        <f t="shared" si="29"/>
        <v>0.5</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1" t="s">
        <v>170</v>
      </c>
      <c r="C717" s="1262"/>
      <c r="D717" s="1262"/>
      <c r="E717" s="1262"/>
      <c r="F717" s="1377"/>
      <c r="G717" s="1371">
        <v>7</v>
      </c>
      <c r="H717" s="1372"/>
      <c r="I717" s="1372"/>
      <c r="J717" s="1373"/>
      <c r="K717" s="1393">
        <f>808-U717</f>
        <v>715</v>
      </c>
      <c r="L717" s="1393"/>
      <c r="M717" s="1393"/>
      <c r="N717" s="1393"/>
      <c r="O717" s="1393"/>
      <c r="P717" s="1116">
        <f t="shared" si="28"/>
        <v>5005</v>
      </c>
      <c r="Q717" s="1116"/>
      <c r="R717" s="1116"/>
      <c r="S717" s="1116"/>
      <c r="T717" s="1116"/>
      <c r="U717" s="1381">
        <v>93</v>
      </c>
      <c r="V717" s="1382"/>
      <c r="W717" s="1382"/>
      <c r="X717" s="1383"/>
      <c r="Y717" s="1116">
        <f t="shared" si="30"/>
        <v>808</v>
      </c>
      <c r="Z717" s="1116"/>
      <c r="AA717" s="1116"/>
      <c r="AB717" s="1116"/>
      <c r="AC717" s="1116"/>
      <c r="AD717" s="1180">
        <v>0.5</v>
      </c>
      <c r="AE717" s="1181"/>
      <c r="AF717" s="1181"/>
      <c r="AG717" s="1181"/>
      <c r="AH717" s="1182"/>
      <c r="AI717" s="1271">
        <f t="shared" si="29"/>
        <v>0.5</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1" t="s">
        <v>171</v>
      </c>
      <c r="C718" s="1262"/>
      <c r="D718" s="1262"/>
      <c r="E718" s="1262"/>
      <c r="F718" s="1377"/>
      <c r="G718" s="1371">
        <v>6</v>
      </c>
      <c r="H718" s="1372"/>
      <c r="I718" s="1372"/>
      <c r="J718" s="1373"/>
      <c r="K718" s="1543">
        <f>933-U718</f>
        <v>821</v>
      </c>
      <c r="L718" s="1543"/>
      <c r="M718" s="1543"/>
      <c r="N718" s="1543"/>
      <c r="O718" s="1543"/>
      <c r="P718" s="1544">
        <f t="shared" si="28"/>
        <v>4926</v>
      </c>
      <c r="Q718" s="1544"/>
      <c r="R718" s="1544"/>
      <c r="S718" s="1544"/>
      <c r="T718" s="1544"/>
      <c r="U718" s="1381">
        <v>112</v>
      </c>
      <c r="V718" s="1382"/>
      <c r="W718" s="1382"/>
      <c r="X718" s="1383"/>
      <c r="Y718" s="1544">
        <f t="shared" si="30"/>
        <v>933</v>
      </c>
      <c r="Z718" s="1544"/>
      <c r="AA718" s="1544"/>
      <c r="AB718" s="1544"/>
      <c r="AC718" s="1544"/>
      <c r="AD718" s="1180">
        <v>0.5</v>
      </c>
      <c r="AE718" s="1181"/>
      <c r="AF718" s="1181"/>
      <c r="AG718" s="1181"/>
      <c r="AH718" s="1182"/>
      <c r="AI718" s="1271">
        <f t="shared" si="29"/>
        <v>0.5</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1" t="s">
        <v>348</v>
      </c>
      <c r="C719" s="1262"/>
      <c r="D719" s="1262"/>
      <c r="E719" s="1262"/>
      <c r="F719" s="1377"/>
      <c r="G719" s="1371">
        <v>6</v>
      </c>
      <c r="H719" s="1372"/>
      <c r="I719" s="1372"/>
      <c r="J719" s="1373"/>
      <c r="K719" s="1393">
        <f>808-U719</f>
        <v>733</v>
      </c>
      <c r="L719" s="1393"/>
      <c r="M719" s="1393"/>
      <c r="N719" s="1393"/>
      <c r="O719" s="1393"/>
      <c r="P719" s="1116">
        <f t="shared" si="28"/>
        <v>4398</v>
      </c>
      <c r="Q719" s="1116"/>
      <c r="R719" s="1116"/>
      <c r="S719" s="1116"/>
      <c r="T719" s="1116"/>
      <c r="U719" s="1381">
        <v>75</v>
      </c>
      <c r="V719" s="1382"/>
      <c r="W719" s="1382"/>
      <c r="X719" s="1383"/>
      <c r="Y719" s="1116">
        <f t="shared" si="30"/>
        <v>808</v>
      </c>
      <c r="Z719" s="1116"/>
      <c r="AA719" s="1116"/>
      <c r="AB719" s="1116"/>
      <c r="AC719" s="1116"/>
      <c r="AD719" s="1180">
        <v>0.6</v>
      </c>
      <c r="AE719" s="1181"/>
      <c r="AF719" s="1181"/>
      <c r="AG719" s="1181"/>
      <c r="AH719" s="1182"/>
      <c r="AI719" s="1271">
        <f t="shared" si="29"/>
        <v>0.600297176820208</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1" t="s">
        <v>170</v>
      </c>
      <c r="C720" s="1262"/>
      <c r="D720" s="1262"/>
      <c r="E720" s="1262"/>
      <c r="F720" s="1377"/>
      <c r="G720" s="1371">
        <v>6</v>
      </c>
      <c r="H720" s="1372"/>
      <c r="I720" s="1372"/>
      <c r="J720" s="1373"/>
      <c r="K720" s="1393">
        <f>970-U720</f>
        <v>877</v>
      </c>
      <c r="L720" s="1393"/>
      <c r="M720" s="1393"/>
      <c r="N720" s="1393"/>
      <c r="O720" s="1393"/>
      <c r="P720" s="1116">
        <f t="shared" si="28"/>
        <v>5262</v>
      </c>
      <c r="Q720" s="1116"/>
      <c r="R720" s="1116"/>
      <c r="S720" s="1116"/>
      <c r="T720" s="1116"/>
      <c r="U720" s="1381">
        <v>93</v>
      </c>
      <c r="V720" s="1382"/>
      <c r="W720" s="1382"/>
      <c r="X720" s="1383"/>
      <c r="Y720" s="1116">
        <f t="shared" si="30"/>
        <v>970</v>
      </c>
      <c r="Z720" s="1116"/>
      <c r="AA720" s="1116"/>
      <c r="AB720" s="1116"/>
      <c r="AC720" s="1116"/>
      <c r="AD720" s="1180">
        <v>0.6</v>
      </c>
      <c r="AE720" s="1181"/>
      <c r="AF720" s="1181"/>
      <c r="AG720" s="1181"/>
      <c r="AH720" s="1182"/>
      <c r="AI720" s="1271">
        <f t="shared" si="29"/>
        <v>0.60024752475247523</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1" t="s">
        <v>171</v>
      </c>
      <c r="C721" s="1262"/>
      <c r="D721" s="1262"/>
      <c r="E721" s="1262"/>
      <c r="F721" s="1377"/>
      <c r="G721" s="1371">
        <v>4</v>
      </c>
      <c r="H721" s="1372"/>
      <c r="I721" s="1372"/>
      <c r="J721" s="1373"/>
      <c r="K721" s="1393">
        <f>1120-U721</f>
        <v>1008</v>
      </c>
      <c r="L721" s="1393"/>
      <c r="M721" s="1393"/>
      <c r="N721" s="1393"/>
      <c r="O721" s="1393"/>
      <c r="P721" s="1116">
        <f t="shared" si="28"/>
        <v>4032</v>
      </c>
      <c r="Q721" s="1116"/>
      <c r="R721" s="1116"/>
      <c r="S721" s="1116"/>
      <c r="T721" s="1116"/>
      <c r="U721" s="1381">
        <v>112</v>
      </c>
      <c r="V721" s="1382"/>
      <c r="W721" s="1382"/>
      <c r="X721" s="1383"/>
      <c r="Y721" s="1116">
        <f t="shared" si="30"/>
        <v>1120</v>
      </c>
      <c r="Z721" s="1116"/>
      <c r="AA721" s="1116"/>
      <c r="AB721" s="1116"/>
      <c r="AC721" s="1116"/>
      <c r="AD721" s="1180">
        <v>0.6</v>
      </c>
      <c r="AE721" s="1181"/>
      <c r="AF721" s="1181"/>
      <c r="AG721" s="1181"/>
      <c r="AH721" s="1182"/>
      <c r="AI721" s="1271">
        <f t="shared" si="29"/>
        <v>0.60021436227224012</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1"/>
      <c r="C722" s="1262"/>
      <c r="D722" s="1262"/>
      <c r="E722" s="1262"/>
      <c r="F722" s="1377"/>
      <c r="G722" s="1371"/>
      <c r="H722" s="1372"/>
      <c r="I722" s="1372"/>
      <c r="J722" s="1373"/>
      <c r="K722" s="1393"/>
      <c r="L722" s="1393"/>
      <c r="M722" s="1393"/>
      <c r="N722" s="1393"/>
      <c r="O722" s="1393"/>
      <c r="P722" s="1116">
        <f t="shared" si="28"/>
        <v>0</v>
      </c>
      <c r="Q722" s="1116"/>
      <c r="R722" s="1116"/>
      <c r="S722" s="1116"/>
      <c r="T722" s="1116"/>
      <c r="U722" s="1381">
        <v>0</v>
      </c>
      <c r="V722" s="1382"/>
      <c r="W722" s="1382"/>
      <c r="X722" s="1383"/>
      <c r="Y722" s="1116">
        <f t="shared" si="30"/>
        <v>0</v>
      </c>
      <c r="Z722" s="1116"/>
      <c r="AA722" s="1116"/>
      <c r="AB722" s="1116"/>
      <c r="AC722" s="1116"/>
      <c r="AD722" s="1180">
        <v>0</v>
      </c>
      <c r="AE722" s="1181"/>
      <c r="AF722" s="1181"/>
      <c r="AG722" s="1181"/>
      <c r="AH722" s="1182"/>
      <c r="AI722" s="1271" t="str">
        <f t="shared" si="29"/>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1"/>
      <c r="C723" s="1262"/>
      <c r="D723" s="1262"/>
      <c r="E723" s="1262"/>
      <c r="F723" s="1377"/>
      <c r="G723" s="1371"/>
      <c r="H723" s="1372"/>
      <c r="I723" s="1372"/>
      <c r="J723" s="1373"/>
      <c r="K723" s="1393"/>
      <c r="L723" s="1393"/>
      <c r="M723" s="1393"/>
      <c r="N723" s="1393"/>
      <c r="O723" s="1393"/>
      <c r="P723" s="1116">
        <f t="shared" si="28"/>
        <v>0</v>
      </c>
      <c r="Q723" s="1116"/>
      <c r="R723" s="1116"/>
      <c r="S723" s="1116"/>
      <c r="T723" s="1116"/>
      <c r="U723" s="1381">
        <v>0</v>
      </c>
      <c r="V723" s="1382"/>
      <c r="W723" s="1382"/>
      <c r="X723" s="1383"/>
      <c r="Y723" s="1116">
        <f t="shared" si="30"/>
        <v>0</v>
      </c>
      <c r="Z723" s="1116"/>
      <c r="AA723" s="1116"/>
      <c r="AB723" s="1116"/>
      <c r="AC723" s="1116"/>
      <c r="AD723" s="1180">
        <v>0</v>
      </c>
      <c r="AE723" s="1181"/>
      <c r="AF723" s="1181"/>
      <c r="AG723" s="1181"/>
      <c r="AH723" s="1182"/>
      <c r="AI723" s="1271" t="str">
        <f t="shared" si="29"/>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1"/>
      <c r="C724" s="1262"/>
      <c r="D724" s="1262"/>
      <c r="E724" s="1262"/>
      <c r="F724" s="1377"/>
      <c r="G724" s="1371"/>
      <c r="H724" s="1372"/>
      <c r="I724" s="1372"/>
      <c r="J724" s="1373"/>
      <c r="K724" s="1393"/>
      <c r="L724" s="1393"/>
      <c r="M724" s="1393"/>
      <c r="N724" s="1393"/>
      <c r="O724" s="1393"/>
      <c r="P724" s="1116">
        <f t="shared" si="28"/>
        <v>0</v>
      </c>
      <c r="Q724" s="1116"/>
      <c r="R724" s="1116"/>
      <c r="S724" s="1116"/>
      <c r="T724" s="1116"/>
      <c r="U724" s="1381">
        <v>0</v>
      </c>
      <c r="V724" s="1382"/>
      <c r="W724" s="1382"/>
      <c r="X724" s="1383"/>
      <c r="Y724" s="1116">
        <f>K724+U724</f>
        <v>0</v>
      </c>
      <c r="Z724" s="1116"/>
      <c r="AA724" s="1116"/>
      <c r="AB724" s="1116"/>
      <c r="AC724" s="1116"/>
      <c r="AD724" s="1180">
        <v>0</v>
      </c>
      <c r="AE724" s="1181"/>
      <c r="AF724" s="1181"/>
      <c r="AG724" s="1181"/>
      <c r="AH724" s="1182"/>
      <c r="AI724" s="1271" t="str">
        <f t="shared" si="29"/>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1"/>
      <c r="C725" s="1262"/>
      <c r="D725" s="1262"/>
      <c r="E725" s="1262"/>
      <c r="F725" s="1377"/>
      <c r="G725" s="1371"/>
      <c r="H725" s="1372"/>
      <c r="I725" s="1372"/>
      <c r="J725" s="1373"/>
      <c r="K725" s="1393"/>
      <c r="L725" s="1393"/>
      <c r="M725" s="1393"/>
      <c r="N725" s="1393"/>
      <c r="O725" s="1393"/>
      <c r="P725" s="1116">
        <f t="shared" si="28"/>
        <v>0</v>
      </c>
      <c r="Q725" s="1116"/>
      <c r="R725" s="1116"/>
      <c r="S725" s="1116"/>
      <c r="T725" s="1116"/>
      <c r="U725" s="1381">
        <v>0</v>
      </c>
      <c r="V725" s="1382"/>
      <c r="W725" s="1382"/>
      <c r="X725" s="1383"/>
      <c r="Y725" s="1116">
        <f>K725+U725</f>
        <v>0</v>
      </c>
      <c r="Z725" s="1116"/>
      <c r="AA725" s="1116"/>
      <c r="AB725" s="1116"/>
      <c r="AC725" s="1116"/>
      <c r="AD725" s="1180">
        <v>0</v>
      </c>
      <c r="AE725" s="1181"/>
      <c r="AF725" s="1181"/>
      <c r="AG725" s="1181"/>
      <c r="AH725" s="1182"/>
      <c r="AI725" s="1271" t="str">
        <f t="shared" si="29"/>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1"/>
      <c r="C726" s="1262"/>
      <c r="D726" s="1262"/>
      <c r="E726" s="1262"/>
      <c r="F726" s="1377"/>
      <c r="G726" s="1371"/>
      <c r="H726" s="1372"/>
      <c r="I726" s="1372"/>
      <c r="J726" s="1373"/>
      <c r="K726" s="1393"/>
      <c r="L726" s="1393"/>
      <c r="M726" s="1393"/>
      <c r="N726" s="1393"/>
      <c r="O726" s="1393"/>
      <c r="P726" s="1116">
        <f t="shared" si="28"/>
        <v>0</v>
      </c>
      <c r="Q726" s="1116"/>
      <c r="R726" s="1116"/>
      <c r="S726" s="1116"/>
      <c r="T726" s="1116"/>
      <c r="U726" s="1381">
        <v>0</v>
      </c>
      <c r="V726" s="1382"/>
      <c r="W726" s="1382"/>
      <c r="X726" s="1383"/>
      <c r="Y726" s="1116">
        <f>K726+U726</f>
        <v>0</v>
      </c>
      <c r="Z726" s="1116"/>
      <c r="AA726" s="1116"/>
      <c r="AB726" s="1116"/>
      <c r="AC726" s="1116"/>
      <c r="AD726" s="1180">
        <v>0</v>
      </c>
      <c r="AE726" s="1181"/>
      <c r="AF726" s="1181"/>
      <c r="AG726" s="1181"/>
      <c r="AH726" s="1182"/>
      <c r="AI726" s="1271" t="str">
        <f t="shared" si="29"/>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1"/>
      <c r="C727" s="1262"/>
      <c r="D727" s="1262"/>
      <c r="E727" s="1262"/>
      <c r="F727" s="1377"/>
      <c r="G727" s="1371"/>
      <c r="H727" s="1372"/>
      <c r="I727" s="1372"/>
      <c r="J727" s="1373"/>
      <c r="K727" s="1393"/>
      <c r="L727" s="1393"/>
      <c r="M727" s="1393"/>
      <c r="N727" s="1393"/>
      <c r="O727" s="1393"/>
      <c r="P727" s="1116">
        <f t="shared" si="28"/>
        <v>0</v>
      </c>
      <c r="Q727" s="1116"/>
      <c r="R727" s="1116"/>
      <c r="S727" s="1116"/>
      <c r="T727" s="1116"/>
      <c r="U727" s="1381">
        <v>0</v>
      </c>
      <c r="V727" s="1382"/>
      <c r="W727" s="1382"/>
      <c r="X727" s="1383"/>
      <c r="Y727" s="1116">
        <f>K727+U727</f>
        <v>0</v>
      </c>
      <c r="Z727" s="1116"/>
      <c r="AA727" s="1116"/>
      <c r="AB727" s="1116"/>
      <c r="AC727" s="1116"/>
      <c r="AD727" s="1180">
        <v>0</v>
      </c>
      <c r="AE727" s="1181"/>
      <c r="AF727" s="1181"/>
      <c r="AG727" s="1181"/>
      <c r="AH727" s="1182"/>
      <c r="AI727" s="1271" t="str">
        <f t="shared" si="29"/>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1"/>
      <c r="C728" s="1262"/>
      <c r="D728" s="1262"/>
      <c r="E728" s="1262"/>
      <c r="F728" s="1377"/>
      <c r="G728" s="1371"/>
      <c r="H728" s="1372"/>
      <c r="I728" s="1372"/>
      <c r="J728" s="1373"/>
      <c r="K728" s="1393"/>
      <c r="L728" s="1393"/>
      <c r="M728" s="1393"/>
      <c r="N728" s="1393"/>
      <c r="O728" s="1393"/>
      <c r="P728" s="1116">
        <f t="shared" si="28"/>
        <v>0</v>
      </c>
      <c r="Q728" s="1116"/>
      <c r="R728" s="1116"/>
      <c r="S728" s="1116"/>
      <c r="T728" s="1116"/>
      <c r="U728" s="1381">
        <v>0</v>
      </c>
      <c r="V728" s="1382"/>
      <c r="W728" s="1382"/>
      <c r="X728" s="1383"/>
      <c r="Y728" s="1116">
        <f>K728+U728</f>
        <v>0</v>
      </c>
      <c r="Z728" s="1116"/>
      <c r="AA728" s="1116"/>
      <c r="AB728" s="1116"/>
      <c r="AC728" s="1116"/>
      <c r="AD728" s="1180">
        <v>0</v>
      </c>
      <c r="AE728" s="1181"/>
      <c r="AF728" s="1181"/>
      <c r="AG728" s="1181"/>
      <c r="AH728" s="1182"/>
      <c r="AI728" s="1271" t="str">
        <f t="shared" si="29"/>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77"/>
      <c r="G729" s="1371"/>
      <c r="H729" s="1372"/>
      <c r="I729" s="1372"/>
      <c r="J729" s="1373"/>
      <c r="K729" s="1393"/>
      <c r="L729" s="1393"/>
      <c r="M729" s="1393"/>
      <c r="N729" s="1393"/>
      <c r="O729" s="1393"/>
      <c r="P729" s="1116">
        <f t="shared" si="28"/>
        <v>0</v>
      </c>
      <c r="Q729" s="1116"/>
      <c r="R729" s="1116"/>
      <c r="S729" s="1116"/>
      <c r="T729" s="1116"/>
      <c r="U729" s="1381">
        <v>0</v>
      </c>
      <c r="V729" s="1382"/>
      <c r="W729" s="1382"/>
      <c r="X729" s="1383"/>
      <c r="Y729" s="1116">
        <f t="shared" si="30"/>
        <v>0</v>
      </c>
      <c r="Z729" s="1116"/>
      <c r="AA729" s="1116"/>
      <c r="AB729" s="1116"/>
      <c r="AC729" s="1116"/>
      <c r="AD729" s="1180">
        <v>0</v>
      </c>
      <c r="AE729" s="1181"/>
      <c r="AF729" s="1181"/>
      <c r="AG729" s="1181"/>
      <c r="AH729" s="1182"/>
      <c r="AI729" s="1271" t="str">
        <f t="shared" si="29"/>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77"/>
      <c r="G730" s="1371"/>
      <c r="H730" s="1372"/>
      <c r="I730" s="1372"/>
      <c r="J730" s="1373"/>
      <c r="K730" s="1393"/>
      <c r="L730" s="1393"/>
      <c r="M730" s="1393"/>
      <c r="N730" s="1393"/>
      <c r="O730" s="1393"/>
      <c r="P730" s="1116">
        <f t="shared" si="28"/>
        <v>0</v>
      </c>
      <c r="Q730" s="1116"/>
      <c r="R730" s="1116"/>
      <c r="S730" s="1116"/>
      <c r="T730" s="1116"/>
      <c r="U730" s="1381">
        <v>0</v>
      </c>
      <c r="V730" s="1382"/>
      <c r="W730" s="1382"/>
      <c r="X730" s="1383"/>
      <c r="Y730" s="1116">
        <f t="shared" si="30"/>
        <v>0</v>
      </c>
      <c r="Z730" s="1116"/>
      <c r="AA730" s="1116"/>
      <c r="AB730" s="1116"/>
      <c r="AC730" s="1116"/>
      <c r="AD730" s="1180">
        <v>0</v>
      </c>
      <c r="AE730" s="1181"/>
      <c r="AF730" s="1181"/>
      <c r="AG730" s="1181"/>
      <c r="AH730" s="1182"/>
      <c r="AI730" s="1271" t="str">
        <f t="shared" si="29"/>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1"/>
      <c r="C731" s="1262"/>
      <c r="D731" s="1262"/>
      <c r="E731" s="1262"/>
      <c r="F731" s="1377"/>
      <c r="G731" s="1371"/>
      <c r="H731" s="1372"/>
      <c r="I731" s="1372"/>
      <c r="J731" s="1373"/>
      <c r="K731" s="1393"/>
      <c r="L731" s="1393"/>
      <c r="M731" s="1393"/>
      <c r="N731" s="1393"/>
      <c r="O731" s="1393"/>
      <c r="P731" s="1116">
        <f t="shared" si="28"/>
        <v>0</v>
      </c>
      <c r="Q731" s="1116"/>
      <c r="R731" s="1116"/>
      <c r="S731" s="1116"/>
      <c r="T731" s="1116"/>
      <c r="U731" s="1381">
        <v>0</v>
      </c>
      <c r="V731" s="1382"/>
      <c r="W731" s="1382"/>
      <c r="X731" s="1383"/>
      <c r="Y731" s="1116">
        <f t="shared" si="30"/>
        <v>0</v>
      </c>
      <c r="Z731" s="1116"/>
      <c r="AA731" s="1116"/>
      <c r="AB731" s="1116"/>
      <c r="AC731" s="1116"/>
      <c r="AD731" s="1180">
        <v>0</v>
      </c>
      <c r="AE731" s="1181"/>
      <c r="AF731" s="1181"/>
      <c r="AG731" s="1181"/>
      <c r="AH731" s="1182"/>
      <c r="AI731" s="1271" t="str">
        <f t="shared" si="29"/>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1"/>
      <c r="C732" s="1262"/>
      <c r="D732" s="1262"/>
      <c r="E732" s="1262"/>
      <c r="F732" s="1377"/>
      <c r="G732" s="1371"/>
      <c r="H732" s="1372"/>
      <c r="I732" s="1372"/>
      <c r="J732" s="1373"/>
      <c r="K732" s="1393"/>
      <c r="L732" s="1393"/>
      <c r="M732" s="1393"/>
      <c r="N732" s="1393"/>
      <c r="O732" s="1393"/>
      <c r="P732" s="1116">
        <f t="shared" si="28"/>
        <v>0</v>
      </c>
      <c r="Q732" s="1116"/>
      <c r="R732" s="1116"/>
      <c r="S732" s="1116"/>
      <c r="T732" s="1116"/>
      <c r="U732" s="1381">
        <v>0</v>
      </c>
      <c r="V732" s="1382"/>
      <c r="W732" s="1382"/>
      <c r="X732" s="1383"/>
      <c r="Y732" s="1116">
        <f t="shared" si="30"/>
        <v>0</v>
      </c>
      <c r="Z732" s="1116"/>
      <c r="AA732" s="1116"/>
      <c r="AB732" s="1116"/>
      <c r="AC732" s="1116"/>
      <c r="AD732" s="1180">
        <v>0</v>
      </c>
      <c r="AE732" s="1181"/>
      <c r="AF732" s="1181"/>
      <c r="AG732" s="1181"/>
      <c r="AH732" s="1182"/>
      <c r="AI732" s="1271" t="str">
        <f t="shared" si="29"/>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1"/>
      <c r="C733" s="1262"/>
      <c r="D733" s="1262"/>
      <c r="E733" s="1262"/>
      <c r="F733" s="1377"/>
      <c r="G733" s="1371"/>
      <c r="H733" s="1372"/>
      <c r="I733" s="1372"/>
      <c r="J733" s="1373"/>
      <c r="K733" s="1393"/>
      <c r="L733" s="1393"/>
      <c r="M733" s="1393"/>
      <c r="N733" s="1393"/>
      <c r="O733" s="1393"/>
      <c r="P733" s="1116">
        <f t="shared" si="28"/>
        <v>0</v>
      </c>
      <c r="Q733" s="1116"/>
      <c r="R733" s="1116"/>
      <c r="S733" s="1116"/>
      <c r="T733" s="1116"/>
      <c r="U733" s="1381">
        <v>0</v>
      </c>
      <c r="V733" s="1382"/>
      <c r="W733" s="1382"/>
      <c r="X733" s="1383"/>
      <c r="Y733" s="1116">
        <f t="shared" si="30"/>
        <v>0</v>
      </c>
      <c r="Z733" s="1116"/>
      <c r="AA733" s="1116"/>
      <c r="AB733" s="1116"/>
      <c r="AC733" s="1116"/>
      <c r="AD733" s="1180">
        <v>0</v>
      </c>
      <c r="AE733" s="1181"/>
      <c r="AF733" s="1181"/>
      <c r="AG733" s="1181"/>
      <c r="AH733" s="1182"/>
      <c r="AI733" s="1268" t="str">
        <f t="shared" si="29"/>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45">
        <f>SUM(G709:J733)</f>
        <v>71</v>
      </c>
      <c r="H734" s="1546"/>
      <c r="I734" s="1546"/>
      <c r="J734" s="1547"/>
      <c r="K734" s="1263" t="s">
        <v>131</v>
      </c>
      <c r="L734" s="1264"/>
      <c r="M734" s="1264"/>
      <c r="N734" s="1264"/>
      <c r="O734" s="1265"/>
      <c r="P734" s="1378">
        <f>SUM(P709:T733)</f>
        <v>44953</v>
      </c>
      <c r="Q734" s="1379"/>
      <c r="R734" s="1379"/>
      <c r="S734" s="1379"/>
      <c r="T734" s="1380"/>
      <c r="Y734" s="1553" t="s">
        <v>999</v>
      </c>
      <c r="Z734" s="1554"/>
      <c r="AA734" s="1554"/>
      <c r="AB734" s="1554"/>
      <c r="AC734" s="1555"/>
      <c r="AD734" s="1139">
        <f>AV675</f>
        <v>0.45845070422535211</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642</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4" t="s">
        <v>421</v>
      </c>
      <c r="K750" s="1385"/>
      <c r="L750" s="1385"/>
      <c r="M750" s="1385"/>
      <c r="N750" s="1386"/>
      <c r="O750" s="1395" t="s">
        <v>302</v>
      </c>
      <c r="P750" s="1395"/>
      <c r="Q750" s="1395"/>
      <c r="R750" s="1395"/>
      <c r="S750" s="1395"/>
      <c r="T750" s="1395" t="s">
        <v>492</v>
      </c>
      <c r="U750" s="1395"/>
      <c r="V750" s="1395"/>
      <c r="W750" s="1395"/>
      <c r="X750" s="1395"/>
      <c r="Y750" s="1395" t="s">
        <v>303</v>
      </c>
      <c r="Z750" s="1395"/>
      <c r="AA750" s="1395"/>
      <c r="AB750" s="1395"/>
      <c r="AC750" s="139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7"/>
      <c r="K751" s="1388"/>
      <c r="L751" s="1388"/>
      <c r="M751" s="1388"/>
      <c r="N751" s="1389"/>
      <c r="O751" s="1395"/>
      <c r="P751" s="1395"/>
      <c r="Q751" s="1395"/>
      <c r="R751" s="1395"/>
      <c r="S751" s="1395"/>
      <c r="T751" s="1395"/>
      <c r="U751" s="1395"/>
      <c r="V751" s="1395"/>
      <c r="W751" s="1395"/>
      <c r="X751" s="1395"/>
      <c r="Y751" s="1395"/>
      <c r="Z751" s="1395"/>
      <c r="AA751" s="1395"/>
      <c r="AB751" s="1395"/>
      <c r="AC751" s="139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7"/>
      <c r="K752" s="1388"/>
      <c r="L752" s="1388"/>
      <c r="M752" s="1388"/>
      <c r="N752" s="1389"/>
      <c r="O752" s="1395"/>
      <c r="P752" s="1395"/>
      <c r="Q752" s="1395"/>
      <c r="R752" s="1395"/>
      <c r="S752" s="1395"/>
      <c r="T752" s="1395"/>
      <c r="U752" s="1395"/>
      <c r="V752" s="1395"/>
      <c r="W752" s="1395"/>
      <c r="X752" s="1395"/>
      <c r="Y752" s="1395"/>
      <c r="Z752" s="1395"/>
      <c r="AA752" s="1395"/>
      <c r="AB752" s="1395"/>
      <c r="AC752" s="139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0"/>
      <c r="K753" s="1391"/>
      <c r="L753" s="1391"/>
      <c r="M753" s="1391"/>
      <c r="N753" s="1392"/>
      <c r="O753" s="1395"/>
      <c r="P753" s="1395"/>
      <c r="Q753" s="1395"/>
      <c r="R753" s="1395"/>
      <c r="S753" s="1395"/>
      <c r="T753" s="1395"/>
      <c r="U753" s="1395"/>
      <c r="V753" s="1395"/>
      <c r="W753" s="1395"/>
      <c r="X753" s="1395"/>
      <c r="Y753" s="1395"/>
      <c r="Z753" s="1395"/>
      <c r="AA753" s="1395"/>
      <c r="AB753" s="1395"/>
      <c r="AC753" s="139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t="s">
        <v>170</v>
      </c>
      <c r="K754" s="1262"/>
      <c r="L754" s="1262"/>
      <c r="M754" s="1262"/>
      <c r="N754" s="1377"/>
      <c r="O754" s="1275">
        <v>1</v>
      </c>
      <c r="P754" s="1275"/>
      <c r="Q754" s="1275"/>
      <c r="R754" s="1275"/>
      <c r="S754" s="1275"/>
      <c r="T754" s="1393"/>
      <c r="U754" s="1393"/>
      <c r="V754" s="1393"/>
      <c r="W754" s="1393"/>
      <c r="X754" s="1393"/>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77"/>
      <c r="O755" s="1275"/>
      <c r="P755" s="1275"/>
      <c r="Q755" s="1275"/>
      <c r="R755" s="1275"/>
      <c r="S755" s="1275"/>
      <c r="T755" s="1393"/>
      <c r="U755" s="1393"/>
      <c r="V755" s="1393"/>
      <c r="W755" s="1393"/>
      <c r="X755" s="1393"/>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77"/>
      <c r="O756" s="1275"/>
      <c r="P756" s="1275"/>
      <c r="Q756" s="1275"/>
      <c r="R756" s="1275"/>
      <c r="S756" s="1275"/>
      <c r="T756" s="1393"/>
      <c r="U756" s="1393"/>
      <c r="V756" s="1393"/>
      <c r="W756" s="1393"/>
      <c r="X756" s="1393"/>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77"/>
      <c r="O757" s="1275"/>
      <c r="P757" s="1275"/>
      <c r="Q757" s="1275"/>
      <c r="R757" s="1275"/>
      <c r="S757" s="1275"/>
      <c r="T757" s="1393"/>
      <c r="U757" s="1393"/>
      <c r="V757" s="1393"/>
      <c r="W757" s="1393"/>
      <c r="X757" s="1393"/>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396">
        <f>SUM(O754:S757)</f>
        <v>1</v>
      </c>
      <c r="P758" s="1397"/>
      <c r="Q758" s="1397"/>
      <c r="R758" s="1397"/>
      <c r="S758" s="1398"/>
      <c r="T758" s="1399" t="s">
        <v>131</v>
      </c>
      <c r="U758" s="1400"/>
      <c r="V758" s="1400"/>
      <c r="W758" s="1400"/>
      <c r="X758" s="1401"/>
      <c r="Y758" s="1378">
        <f>SUM(Y754:AC757)</f>
        <v>0</v>
      </c>
      <c r="Z758" s="1402"/>
      <c r="AA758" s="1402"/>
      <c r="AB758" s="1402"/>
      <c r="AC758" s="140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723</v>
      </c>
      <c r="K760" s="11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4" t="s">
        <v>421</v>
      </c>
      <c r="K764" s="1385"/>
      <c r="L764" s="1385"/>
      <c r="M764" s="1385"/>
      <c r="N764" s="1386"/>
      <c r="O764" s="1395" t="s">
        <v>302</v>
      </c>
      <c r="P764" s="1395"/>
      <c r="Q764" s="1395"/>
      <c r="R764" s="1395"/>
      <c r="S764" s="1395"/>
      <c r="T764" s="1395" t="s">
        <v>492</v>
      </c>
      <c r="U764" s="1395"/>
      <c r="V764" s="1395"/>
      <c r="W764" s="1395"/>
      <c r="X764" s="1395"/>
      <c r="Y764" s="1395" t="s">
        <v>303</v>
      </c>
      <c r="Z764" s="1395"/>
      <c r="AA764" s="1395"/>
      <c r="AB764" s="1395"/>
      <c r="AC764" s="139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7"/>
      <c r="K765" s="1388"/>
      <c r="L765" s="1388"/>
      <c r="M765" s="1388"/>
      <c r="N765" s="1389"/>
      <c r="O765" s="1395"/>
      <c r="P765" s="1395"/>
      <c r="Q765" s="1395"/>
      <c r="R765" s="1395"/>
      <c r="S765" s="1395"/>
      <c r="T765" s="1395"/>
      <c r="U765" s="1395"/>
      <c r="V765" s="1395"/>
      <c r="W765" s="1395"/>
      <c r="X765" s="1395"/>
      <c r="Y765" s="1395"/>
      <c r="Z765" s="1395"/>
      <c r="AA765" s="1395"/>
      <c r="AB765" s="1395"/>
      <c r="AC765" s="139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7"/>
      <c r="K766" s="1388"/>
      <c r="L766" s="1388"/>
      <c r="M766" s="1388"/>
      <c r="N766" s="1389"/>
      <c r="O766" s="1395"/>
      <c r="P766" s="1395"/>
      <c r="Q766" s="1395"/>
      <c r="R766" s="1395"/>
      <c r="S766" s="1395"/>
      <c r="T766" s="1395"/>
      <c r="U766" s="1395"/>
      <c r="V766" s="1395"/>
      <c r="W766" s="1395"/>
      <c r="X766" s="1395"/>
      <c r="Y766" s="1395"/>
      <c r="Z766" s="1395"/>
      <c r="AA766" s="1395"/>
      <c r="AB766" s="1395"/>
      <c r="AC766" s="139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0"/>
      <c r="K767" s="1391"/>
      <c r="L767" s="1391"/>
      <c r="M767" s="1391"/>
      <c r="N767" s="1392"/>
      <c r="O767" s="1395"/>
      <c r="P767" s="1395"/>
      <c r="Q767" s="1395"/>
      <c r="R767" s="1395"/>
      <c r="S767" s="1395"/>
      <c r="T767" s="1395"/>
      <c r="U767" s="1395"/>
      <c r="V767" s="1395"/>
      <c r="W767" s="1395"/>
      <c r="X767" s="1395"/>
      <c r="Y767" s="1395"/>
      <c r="Z767" s="1395"/>
      <c r="AA767" s="1395"/>
      <c r="AB767" s="1395"/>
      <c r="AC767" s="139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77"/>
      <c r="O768" s="1275"/>
      <c r="P768" s="1275"/>
      <c r="Q768" s="1275"/>
      <c r="R768" s="1275"/>
      <c r="S768" s="1275"/>
      <c r="T768" s="1393"/>
      <c r="U768" s="1393"/>
      <c r="V768" s="1393"/>
      <c r="W768" s="1393"/>
      <c r="X768" s="1393"/>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77"/>
      <c r="O769" s="1275"/>
      <c r="P769" s="1275"/>
      <c r="Q769" s="1275"/>
      <c r="R769" s="1275"/>
      <c r="S769" s="1275"/>
      <c r="T769" s="1393"/>
      <c r="U769" s="1393"/>
      <c r="V769" s="1393"/>
      <c r="W769" s="1393"/>
      <c r="X769" s="1393"/>
      <c r="Y769" s="1116">
        <f t="shared" ref="Y769:Y777" si="31">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77"/>
      <c r="O770" s="1275"/>
      <c r="P770" s="1275"/>
      <c r="Q770" s="1275"/>
      <c r="R770" s="1275"/>
      <c r="S770" s="1275"/>
      <c r="T770" s="1393"/>
      <c r="U770" s="1393"/>
      <c r="V770" s="1393"/>
      <c r="W770" s="1393"/>
      <c r="X770" s="1393"/>
      <c r="Y770" s="1116">
        <f t="shared" si="31"/>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77"/>
      <c r="O771" s="1275"/>
      <c r="P771" s="1275"/>
      <c r="Q771" s="1275"/>
      <c r="R771" s="1275"/>
      <c r="S771" s="1275"/>
      <c r="T771" s="1393"/>
      <c r="U771" s="1393"/>
      <c r="V771" s="1393"/>
      <c r="W771" s="1393"/>
      <c r="X771" s="1393"/>
      <c r="Y771" s="1116">
        <f t="shared" si="31"/>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77"/>
      <c r="O772" s="1275"/>
      <c r="P772" s="1275"/>
      <c r="Q772" s="1275"/>
      <c r="R772" s="1275"/>
      <c r="S772" s="1275"/>
      <c r="T772" s="1393"/>
      <c r="U772" s="1393"/>
      <c r="V772" s="1393"/>
      <c r="W772" s="1393"/>
      <c r="X772" s="1393"/>
      <c r="Y772" s="1116">
        <f t="shared" si="31"/>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77"/>
      <c r="O773" s="1275"/>
      <c r="P773" s="1275"/>
      <c r="Q773" s="1275"/>
      <c r="R773" s="1275"/>
      <c r="S773" s="1275"/>
      <c r="T773" s="1393"/>
      <c r="U773" s="1393"/>
      <c r="V773" s="1393"/>
      <c r="W773" s="1393"/>
      <c r="X773" s="1393"/>
      <c r="Y773" s="1116">
        <f t="shared" si="31"/>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77"/>
      <c r="O774" s="1275"/>
      <c r="P774" s="1275"/>
      <c r="Q774" s="1275"/>
      <c r="R774" s="1275"/>
      <c r="S774" s="1275"/>
      <c r="T774" s="1393"/>
      <c r="U774" s="1393"/>
      <c r="V774" s="1393"/>
      <c r="W774" s="1393"/>
      <c r="X774" s="1393"/>
      <c r="Y774" s="1116">
        <f t="shared" si="31"/>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77"/>
      <c r="O775" s="1275"/>
      <c r="P775" s="1275"/>
      <c r="Q775" s="1275"/>
      <c r="R775" s="1275"/>
      <c r="S775" s="1275"/>
      <c r="T775" s="1393"/>
      <c r="U775" s="1393"/>
      <c r="V775" s="1393"/>
      <c r="W775" s="1393"/>
      <c r="X775" s="1393"/>
      <c r="Y775" s="1116">
        <f t="shared" si="31"/>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77"/>
      <c r="O776" s="1275"/>
      <c r="P776" s="1275"/>
      <c r="Q776" s="1275"/>
      <c r="R776" s="1275"/>
      <c r="S776" s="1275"/>
      <c r="T776" s="1393"/>
      <c r="U776" s="1393"/>
      <c r="V776" s="1393"/>
      <c r="W776" s="1393"/>
      <c r="X776" s="1393"/>
      <c r="Y776" s="1116">
        <f t="shared" si="31"/>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77"/>
      <c r="O777" s="1275"/>
      <c r="P777" s="1275"/>
      <c r="Q777" s="1275"/>
      <c r="R777" s="1275"/>
      <c r="S777" s="1275"/>
      <c r="T777" s="1393"/>
      <c r="U777" s="1393"/>
      <c r="V777" s="1393"/>
      <c r="W777" s="1393"/>
      <c r="X777" s="1393"/>
      <c r="Y777" s="1116">
        <f t="shared" si="31"/>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0">
        <f>SUM(O768:S777)</f>
        <v>0</v>
      </c>
      <c r="P778" s="1410"/>
      <c r="Q778" s="1410"/>
      <c r="R778" s="1410"/>
      <c r="S778" s="1410"/>
      <c r="T778" s="1399" t="s">
        <v>131</v>
      </c>
      <c r="U778" s="1400"/>
      <c r="V778" s="1400"/>
      <c r="W778" s="1400"/>
      <c r="X778" s="1401"/>
      <c r="Y778" s="1378">
        <f>SUM(Y768:AC777)</f>
        <v>0</v>
      </c>
      <c r="Z778" s="1379"/>
      <c r="AA778" s="1379"/>
      <c r="AB778" s="1379"/>
      <c r="AC778" s="138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1" t="s">
        <v>516</v>
      </c>
      <c r="BB779" s="1552"/>
      <c r="BC779" s="58"/>
      <c r="BD779" s="58"/>
      <c r="BE779" s="58"/>
      <c r="BF779" s="51" t="s">
        <v>685</v>
      </c>
      <c r="BG779" s="51"/>
      <c r="BH779" s="51"/>
      <c r="BI779" s="51"/>
      <c r="BJ779" s="51"/>
      <c r="BK779" s="51"/>
      <c r="BL779" s="51"/>
      <c r="BM779" s="51"/>
      <c r="BN779" s="51"/>
      <c r="BO779" s="1548" t="str">
        <f>T191</f>
        <v>Riverside</v>
      </c>
      <c r="BP779" s="1549"/>
      <c r="BQ779" s="1549"/>
      <c r="BR779" s="1549"/>
      <c r="BS779" s="1549"/>
      <c r="BT779" s="1549"/>
      <c r="BU779" s="15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44953</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539436</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4">
        <v>34</v>
      </c>
      <c r="AA786" s="1445"/>
      <c r="AB786" s="1445"/>
      <c r="AC786" s="1445"/>
      <c r="AD786" s="1445"/>
      <c r="AE786" s="14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6">
        <v>20</v>
      </c>
      <c r="AA787" s="1445"/>
      <c r="AB787" s="1445"/>
      <c r="AC787" s="1445"/>
      <c r="AD787" s="1445"/>
      <c r="AE787" s="14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51410</v>
      </c>
      <c r="AA788" s="1412"/>
      <c r="AB788" s="1412"/>
      <c r="AC788" s="1412"/>
      <c r="AD788" s="1412"/>
      <c r="AE788" s="141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317112</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13824</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9" t="s">
        <v>357</v>
      </c>
      <c r="Q796" s="1474"/>
      <c r="R796" s="1474"/>
      <c r="S796" s="1474"/>
      <c r="T796" s="1474"/>
      <c r="U796" s="1474"/>
      <c r="V796" s="1474"/>
      <c r="W796" s="1474"/>
      <c r="X796" s="1474"/>
      <c r="Y796" s="1475"/>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13824</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870372</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7" t="s">
        <v>133</v>
      </c>
      <c r="N803" s="1567"/>
      <c r="O803" s="1567"/>
      <c r="P803" s="1568"/>
      <c r="Q803" s="1556" t="s">
        <v>309</v>
      </c>
      <c r="R803" s="1556"/>
      <c r="S803" s="1556"/>
      <c r="T803" s="1556"/>
      <c r="U803" s="1556" t="s">
        <v>310</v>
      </c>
      <c r="V803" s="1556"/>
      <c r="W803" s="1556"/>
      <c r="X803" s="1556"/>
      <c r="Y803" s="1556" t="s">
        <v>311</v>
      </c>
      <c r="Z803" s="1556"/>
      <c r="AA803" s="1556"/>
      <c r="AB803" s="1556"/>
      <c r="AC803" s="1556" t="s">
        <v>385</v>
      </c>
      <c r="AD803" s="1556"/>
      <c r="AE803" s="1556"/>
      <c r="AF803" s="1556"/>
      <c r="AG803" s="1458" t="s">
        <v>358</v>
      </c>
      <c r="AH803" s="1458"/>
      <c r="AI803" s="1458"/>
      <c r="AJ803" s="1458"/>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9"/>
      <c r="N804" s="1569"/>
      <c r="O804" s="1569"/>
      <c r="P804" s="1570"/>
      <c r="Q804" s="1556"/>
      <c r="R804" s="1556"/>
      <c r="S804" s="1556"/>
      <c r="T804" s="1556"/>
      <c r="U804" s="1556"/>
      <c r="V804" s="1556"/>
      <c r="W804" s="1556"/>
      <c r="X804" s="1556"/>
      <c r="Y804" s="1556"/>
      <c r="Z804" s="1556"/>
      <c r="AA804" s="1556"/>
      <c r="AB804" s="1556"/>
      <c r="AC804" s="1556"/>
      <c r="AD804" s="1556"/>
      <c r="AE804" s="1556"/>
      <c r="AF804" s="1556"/>
      <c r="AG804" s="1458"/>
      <c r="AH804" s="1458"/>
      <c r="AI804" s="1458"/>
      <c r="AJ804" s="1458"/>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4" t="s">
        <v>45</v>
      </c>
      <c r="D805" s="1415"/>
      <c r="E805" s="1415"/>
      <c r="F805" s="1415"/>
      <c r="G805" s="1415"/>
      <c r="H805" s="1415"/>
      <c r="I805" s="80"/>
      <c r="J805" s="80"/>
      <c r="K805" s="80"/>
      <c r="L805" s="81"/>
      <c r="M805" s="1404"/>
      <c r="N805" s="1404"/>
      <c r="O805" s="1404"/>
      <c r="P805" s="1404"/>
      <c r="Q805" s="1404">
        <v>10</v>
      </c>
      <c r="R805" s="1404"/>
      <c r="S805" s="1404"/>
      <c r="T805" s="1404"/>
      <c r="U805" s="1404">
        <v>12</v>
      </c>
      <c r="V805" s="1404"/>
      <c r="W805" s="1404"/>
      <c r="X805" s="1404"/>
      <c r="Y805" s="1404">
        <v>15</v>
      </c>
      <c r="Z805" s="1404"/>
      <c r="AA805" s="1404"/>
      <c r="AB805" s="1404"/>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55"/>
      <c r="E806" s="1155"/>
      <c r="F806" s="1155"/>
      <c r="G806" s="1155"/>
      <c r="H806" s="1155"/>
      <c r="I806" s="77"/>
      <c r="J806" s="77"/>
      <c r="K806" s="77"/>
      <c r="L806" s="78"/>
      <c r="M806" s="1404"/>
      <c r="N806" s="1404"/>
      <c r="O806" s="1404"/>
      <c r="P806" s="1404"/>
      <c r="Q806" s="1404">
        <v>0</v>
      </c>
      <c r="R806" s="1404"/>
      <c r="S806" s="1404"/>
      <c r="T806" s="1404"/>
      <c r="U806" s="1404">
        <v>0</v>
      </c>
      <c r="V806" s="1404"/>
      <c r="W806" s="1404"/>
      <c r="X806" s="1404"/>
      <c r="Y806" s="1404">
        <v>0</v>
      </c>
      <c r="Z806" s="1404"/>
      <c r="AA806" s="1404"/>
      <c r="AB806" s="1404"/>
      <c r="AC806" s="1184"/>
      <c r="AD806" s="1185"/>
      <c r="AE806" s="1185"/>
      <c r="AF806" s="1186"/>
      <c r="AG806" s="1184">
        <v>0</v>
      </c>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55"/>
      <c r="E807" s="1155"/>
      <c r="F807" s="1155"/>
      <c r="G807" s="1155"/>
      <c r="H807" s="1155"/>
      <c r="I807" s="96"/>
      <c r="J807" s="96"/>
      <c r="K807" s="96"/>
      <c r="L807" s="97"/>
      <c r="M807" s="1404"/>
      <c r="N807" s="1404"/>
      <c r="O807" s="1404"/>
      <c r="P807" s="1404"/>
      <c r="Q807" s="1404">
        <v>6</v>
      </c>
      <c r="R807" s="1404"/>
      <c r="S807" s="1404"/>
      <c r="T807" s="1404"/>
      <c r="U807" s="1404">
        <v>9</v>
      </c>
      <c r="V807" s="1404"/>
      <c r="W807" s="1404"/>
      <c r="X807" s="1404"/>
      <c r="Y807" s="1404">
        <v>11</v>
      </c>
      <c r="Z807" s="1404"/>
      <c r="AA807" s="1404"/>
      <c r="AB807" s="1404"/>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841</v>
      </c>
      <c r="D808" s="1155"/>
      <c r="E808" s="1155"/>
      <c r="F808" s="1155"/>
      <c r="G808" s="1155"/>
      <c r="H808" s="1155"/>
      <c r="I808" s="96"/>
      <c r="J808" s="96"/>
      <c r="K808" s="96"/>
      <c r="L808" s="97"/>
      <c r="M808" s="1404"/>
      <c r="N808" s="1404"/>
      <c r="O808" s="1404"/>
      <c r="P808" s="1404"/>
      <c r="Q808" s="1404">
        <v>21</v>
      </c>
      <c r="R808" s="1404"/>
      <c r="S808" s="1404"/>
      <c r="T808" s="1404"/>
      <c r="U808" s="1404">
        <v>29</v>
      </c>
      <c r="V808" s="1404"/>
      <c r="W808" s="1404"/>
      <c r="X808" s="1404"/>
      <c r="Y808" s="1404">
        <v>38</v>
      </c>
      <c r="Z808" s="1404"/>
      <c r="AA808" s="1404"/>
      <c r="AB808" s="1404"/>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506</v>
      </c>
      <c r="D809" s="1155"/>
      <c r="E809" s="1155"/>
      <c r="F809" s="1155"/>
      <c r="G809" s="1155"/>
      <c r="H809" s="1155"/>
      <c r="I809" s="96"/>
      <c r="J809" s="96"/>
      <c r="K809" s="96"/>
      <c r="L809" s="97"/>
      <c r="M809" s="1404"/>
      <c r="N809" s="1404"/>
      <c r="O809" s="1404"/>
      <c r="P809" s="1404"/>
      <c r="Q809" s="1404">
        <v>14</v>
      </c>
      <c r="R809" s="1404"/>
      <c r="S809" s="1404"/>
      <c r="T809" s="1404"/>
      <c r="U809" s="1404">
        <v>19</v>
      </c>
      <c r="V809" s="1404"/>
      <c r="W809" s="1404"/>
      <c r="X809" s="1404"/>
      <c r="Y809" s="1404">
        <v>24</v>
      </c>
      <c r="Z809" s="1404"/>
      <c r="AA809" s="1404"/>
      <c r="AB809" s="1404"/>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4" t="s">
        <v>865</v>
      </c>
      <c r="D810" s="1155"/>
      <c r="E810" s="1155"/>
      <c r="F810" s="1155"/>
      <c r="G810" s="1155"/>
      <c r="H810" s="1155"/>
      <c r="I810" s="96"/>
      <c r="J810" s="96"/>
      <c r="K810" s="96"/>
      <c r="L810" s="97"/>
      <c r="M810" s="1404"/>
      <c r="N810" s="1404"/>
      <c r="O810" s="1404"/>
      <c r="P810" s="1404"/>
      <c r="Q810" s="1404"/>
      <c r="R810" s="1404"/>
      <c r="S810" s="1404"/>
      <c r="T810" s="1404"/>
      <c r="U810" s="1404"/>
      <c r="V810" s="1404"/>
      <c r="W810" s="1404"/>
      <c r="X810" s="1404"/>
      <c r="Y810" s="1404"/>
      <c r="Z810" s="1404"/>
      <c r="AA810" s="1404"/>
      <c r="AB810" s="1404"/>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3" t="s">
        <v>1738</v>
      </c>
      <c r="G811" s="1194"/>
      <c r="H811" s="1194"/>
      <c r="I811" s="1194"/>
      <c r="J811" s="1194"/>
      <c r="K811" s="1194"/>
      <c r="L811" s="1195"/>
      <c r="M811" s="1404"/>
      <c r="N811" s="1404"/>
      <c r="O811" s="1404"/>
      <c r="P811" s="1404"/>
      <c r="Q811" s="1404">
        <v>24</v>
      </c>
      <c r="R811" s="1404"/>
      <c r="S811" s="1404"/>
      <c r="T811" s="1404"/>
      <c r="U811" s="1404">
        <v>24</v>
      </c>
      <c r="V811" s="1404"/>
      <c r="W811" s="1404"/>
      <c r="X811" s="1404"/>
      <c r="Y811" s="1404">
        <v>24</v>
      </c>
      <c r="Z811" s="1404"/>
      <c r="AA811" s="1404"/>
      <c r="AB811" s="1404"/>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05">
        <f>SUM(M805:P811)</f>
        <v>0</v>
      </c>
      <c r="N812" s="1405"/>
      <c r="O812" s="1405"/>
      <c r="P812" s="1405"/>
      <c r="Q812" s="1405">
        <f>SUM(Q805:T811)</f>
        <v>75</v>
      </c>
      <c r="R812" s="1405"/>
      <c r="S812" s="1405"/>
      <c r="T812" s="1405"/>
      <c r="U812" s="1405">
        <f>SUM(U805:X811)</f>
        <v>93</v>
      </c>
      <c r="V812" s="1405"/>
      <c r="W812" s="1405"/>
      <c r="X812" s="1405"/>
      <c r="Y812" s="1405">
        <f>SUM(Y805:AB811)</f>
        <v>112</v>
      </c>
      <c r="Z812" s="1405"/>
      <c r="AA812" s="1405"/>
      <c r="AB812" s="1405"/>
      <c r="AC812" s="1405">
        <f>SUM(AC805:AF811)</f>
        <v>0</v>
      </c>
      <c r="AD812" s="1405"/>
      <c r="AE812" s="1405"/>
      <c r="AF812" s="1405"/>
      <c r="AG812" s="1405">
        <f>SUM(AG805:AJ811)</f>
        <v>0</v>
      </c>
      <c r="AH812" s="1405"/>
      <c r="AI812" s="1405"/>
      <c r="AJ812" s="1405"/>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6" t="s">
        <v>1737</v>
      </c>
      <c r="D817" s="1507"/>
      <c r="E817" s="1507"/>
      <c r="F817" s="1507"/>
      <c r="G817" s="1507"/>
      <c r="H817" s="1507"/>
      <c r="I817" s="1507"/>
      <c r="J817" s="1507"/>
      <c r="K817" s="1507"/>
      <c r="L817" s="1507"/>
      <c r="M817" s="1507"/>
      <c r="N817" s="1507"/>
      <c r="O817" s="1507"/>
      <c r="P817" s="1507"/>
      <c r="Q817" s="1507"/>
      <c r="R817" s="1507"/>
      <c r="S817" s="1507"/>
      <c r="T817" s="1507"/>
      <c r="U817" s="1507"/>
      <c r="V817" s="1507"/>
      <c r="W817" s="1507"/>
      <c r="X817" s="1507"/>
      <c r="Y817" s="1507"/>
      <c r="Z817" s="1507"/>
      <c r="AA817" s="1507"/>
      <c r="AB817" s="1507"/>
      <c r="AC817" s="1507"/>
      <c r="AD817" s="1507"/>
      <c r="AE817" s="1507"/>
      <c r="AF817" s="1507"/>
      <c r="AG817" s="1507"/>
      <c r="AH817" s="1507"/>
      <c r="AI817" s="1507"/>
      <c r="AJ817" s="1508"/>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2">
        <v>100</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2">
        <f>1200+7500</f>
        <v>8700</v>
      </c>
      <c r="X823" s="1142"/>
      <c r="Y823" s="1142"/>
      <c r="Z823" s="1142"/>
      <c r="AA823" s="1142"/>
      <c r="AB823" s="1142"/>
      <c r="AC823" s="1142"/>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2">
        <f>9600+7575</f>
        <v>17175</v>
      </c>
      <c r="X824" s="1142"/>
      <c r="Y824" s="1142"/>
      <c r="Z824" s="1142"/>
      <c r="AA824" s="1142"/>
      <c r="AB824" s="1142"/>
      <c r="AC824" s="1142"/>
      <c r="AD824" s="12"/>
      <c r="AE824" s="12"/>
      <c r="AF824" s="12"/>
      <c r="AG824" s="12"/>
      <c r="AH824" s="12"/>
      <c r="AI824" s="12"/>
      <c r="AJ824" s="12"/>
      <c r="AK824" s="12"/>
      <c r="AL824" s="12"/>
      <c r="AS824" s="21"/>
      <c r="AT824" s="56"/>
      <c r="AV824" s="1577">
        <f>ROUNDDOWN(AP908*2,2)</f>
        <v>0</v>
      </c>
      <c r="AW824" s="1577"/>
      <c r="AX824" s="1577"/>
      <c r="AY824" s="1577"/>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2">
        <v>18000</v>
      </c>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1739</v>
      </c>
      <c r="N826" s="1194"/>
      <c r="O826" s="1194"/>
      <c r="P826" s="1194"/>
      <c r="Q826" s="1194"/>
      <c r="R826" s="1194"/>
      <c r="S826" s="1194"/>
      <c r="T826" s="1194"/>
      <c r="U826" s="1194"/>
      <c r="V826" s="1195"/>
      <c r="W826" s="1142">
        <f>7681+6000</f>
        <v>13681</v>
      </c>
      <c r="X826" s="1142"/>
      <c r="Y826" s="1142"/>
      <c r="Z826" s="1142"/>
      <c r="AA826" s="1142"/>
      <c r="AB826" s="1142"/>
      <c r="AC826" s="11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57656</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2">
        <v>55269</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7"/>
      <c r="X831" s="1417"/>
      <c r="Y831" s="1417"/>
      <c r="Z831" s="1417"/>
      <c r="AA831" s="1417"/>
      <c r="AB831" s="1417"/>
      <c r="AC831" s="1417"/>
      <c r="AD831" s="12"/>
      <c r="AE831" s="12"/>
      <c r="AF831" s="12"/>
      <c r="AG831" s="12"/>
      <c r="AH831" s="12"/>
      <c r="AI831" s="12"/>
      <c r="AJ831" s="12"/>
      <c r="AK831" s="12"/>
      <c r="AL831" s="12"/>
      <c r="AM831" s="130"/>
      <c r="AN831" s="130"/>
      <c r="AO831" s="21"/>
      <c r="AP831" s="21"/>
      <c r="AQ831" s="21"/>
      <c r="AR831" s="21"/>
      <c r="AS831" s="21"/>
      <c r="AT831" s="1453"/>
      <c r="AU831" s="1453"/>
      <c r="AV831" s="1453"/>
      <c r="AW831" s="1453"/>
      <c r="AX831" s="1453"/>
      <c r="AY831" s="1453"/>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7">
        <f>5184+3250</f>
        <v>8434</v>
      </c>
      <c r="X832" s="1417"/>
      <c r="Y832" s="1417"/>
      <c r="Z832" s="1417"/>
      <c r="AA832" s="1417"/>
      <c r="AB832" s="1417"/>
      <c r="AC832" s="141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7">
        <v>34080</v>
      </c>
      <c r="X833" s="1417"/>
      <c r="Y833" s="1417"/>
      <c r="Z833" s="1417"/>
      <c r="AA833" s="1417"/>
      <c r="AB833" s="1417"/>
      <c r="AC833" s="141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7">
        <f>43200+15725</f>
        <v>58925</v>
      </c>
      <c r="X834" s="1417"/>
      <c r="Y834" s="1417"/>
      <c r="Z834" s="1417"/>
      <c r="AA834" s="1417"/>
      <c r="AB834" s="1417"/>
      <c r="AC834" s="1417"/>
      <c r="AD834" s="12"/>
      <c r="AE834" s="12"/>
      <c r="AF834" s="12"/>
      <c r="AG834" s="12"/>
      <c r="AH834" s="12"/>
      <c r="AI834" s="12"/>
      <c r="AJ834" s="12"/>
      <c r="AK834" s="12"/>
      <c r="AL834" s="12"/>
      <c r="AM834" s="1420">
        <f>SUM(AM801:AM829)</f>
        <v>7.5000000000000011E-2</v>
      </c>
      <c r="AN834" s="1420"/>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8">
        <f>SUM(W831:AC834)</f>
        <v>101439</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45600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f>38400+2700</f>
        <v>41100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1740</v>
      </c>
      <c r="N839" s="1194"/>
      <c r="O839" s="1194"/>
      <c r="P839" s="1194"/>
      <c r="Q839" s="1194"/>
      <c r="R839" s="1194"/>
      <c r="S839" s="1194"/>
      <c r="T839" s="1194"/>
      <c r="U839" s="1194"/>
      <c r="V839" s="1195"/>
      <c r="W839" s="1217">
        <f>31140+3750</f>
        <v>34890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8">
        <f>SUM(W837:AC839)</f>
        <v>121590</v>
      </c>
      <c r="X840" s="1469"/>
      <c r="Y840" s="1469"/>
      <c r="Z840" s="1469"/>
      <c r="AA840" s="1469"/>
      <c r="AB840" s="1469"/>
      <c r="AC840" s="1470"/>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f>25200+2950</f>
        <v>28150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2">
        <f>4320+9020</f>
        <v>13340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2">
        <f>26400+14330</f>
        <v>40730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2">
        <v>17280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2">
        <v>17280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2">
        <f>9600+2200</f>
        <v>11800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2">
        <v>15600</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1813</v>
      </c>
      <c r="N849" s="1194"/>
      <c r="O849" s="1194"/>
      <c r="P849" s="1194"/>
      <c r="Q849" s="1194"/>
      <c r="R849" s="1194"/>
      <c r="S849" s="1194"/>
      <c r="T849" s="1194"/>
      <c r="U849" s="1194"/>
      <c r="V849" s="1195"/>
      <c r="W849" s="1142">
        <v>4320</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120350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3" t="s">
        <v>1817</v>
      </c>
      <c r="N852" s="1194"/>
      <c r="O852" s="1194"/>
      <c r="P852" s="1194"/>
      <c r="Q852" s="1194"/>
      <c r="R852" s="1194"/>
      <c r="S852" s="1194"/>
      <c r="T852" s="1194"/>
      <c r="U852" s="1194"/>
      <c r="V852" s="1195"/>
      <c r="W852" s="1202">
        <v>240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6"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240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484694</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72</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9" t="s">
        <v>35</v>
      </c>
      <c r="F863" s="1510"/>
      <c r="G863" s="1510"/>
      <c r="H863" s="1510"/>
      <c r="I863" s="1510"/>
      <c r="J863" s="1510"/>
      <c r="K863" s="1510"/>
      <c r="L863" s="1510"/>
      <c r="M863" s="1510"/>
      <c r="N863" s="1510"/>
      <c r="O863" s="1510"/>
      <c r="P863" s="1510"/>
      <c r="Q863" s="1510"/>
      <c r="R863" s="1510"/>
      <c r="S863" s="1510"/>
      <c r="T863" s="1510"/>
      <c r="U863" s="1510"/>
      <c r="V863" s="1510"/>
      <c r="W863" s="1510"/>
      <c r="X863" s="1510"/>
      <c r="Y863" s="1510"/>
      <c r="Z863" s="1510"/>
      <c r="AA863" s="1510"/>
      <c r="AB863" s="1511"/>
      <c r="AC863" s="1212">
        <f>IF(ISERROR((ROUNDDOWN(AC861/AC862,0))),0,(ROUNDDOWN(AC861/AC862,0)))</f>
        <v>6731</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f>+'Sources and Uses Budget'!C72</f>
        <v>206457</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4"/>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v>15000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36000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3000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1741</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142">
        <v>4000</v>
      </c>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1066</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57">
        <f>IF(AD955&gt;0,0.2,0)</f>
        <v>0.2</v>
      </c>
      <c r="AR877" s="145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6">
        <f>IF(AD958&gt;0,0.05,0)</f>
        <v>0</v>
      </c>
      <c r="AR878" s="141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0">
        <f>IF(AD965&gt;0,0.07,0)</f>
        <v>7.0000000000000007E-2</v>
      </c>
      <c r="AR879" s="14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0">
        <f>IF(AD969&gt;0,0.02,0)</f>
        <v>0</v>
      </c>
      <c r="AR880" s="14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0">
        <f>IF(AD971&gt;0,0.02,0)</f>
        <v>0</v>
      </c>
      <c r="AR881" s="14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7">
        <f>AN891</f>
        <v>0.05</v>
      </c>
      <c r="AR882" s="14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8"/>
      <c r="AR883" s="1578"/>
      <c r="AS883" s="157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7"/>
      <c r="AR884" s="1447"/>
      <c r="AS884" s="144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323</v>
      </c>
      <c r="AP885" s="177">
        <v>10</v>
      </c>
      <c r="AQ885" s="1440">
        <f>IF(AD988&gt;0,0.1,0)</f>
        <v>0.1</v>
      </c>
      <c r="AR885" s="14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57">
        <f>SUM(AQ877:AQ885)</f>
        <v>0.42000000000000004</v>
      </c>
      <c r="AR886" s="14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7">
        <f>SUM(AQ877:AR881)+AQ885</f>
        <v>0.37</v>
      </c>
      <c r="AR888" s="14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1" t="s">
        <v>874</v>
      </c>
      <c r="G890" s="1472"/>
      <c r="H890" s="1472"/>
      <c r="I890" s="1472"/>
      <c r="J890" s="1472"/>
      <c r="K890" s="1472"/>
      <c r="L890" s="1472"/>
      <c r="M890" s="1472"/>
      <c r="N890" s="1472"/>
      <c r="O890" s="1472"/>
      <c r="P890" s="1472"/>
      <c r="Q890" s="1472"/>
      <c r="R890" s="1472"/>
      <c r="S890" s="1472"/>
      <c r="T890" s="1473"/>
      <c r="U890" s="1514" t="s">
        <v>34</v>
      </c>
      <c r="V890" s="1515"/>
      <c r="W890" s="1515"/>
      <c r="X890" s="1515"/>
      <c r="Y890" s="1515"/>
      <c r="Z890" s="151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3" t="s">
        <v>424</v>
      </c>
      <c r="AC892" s="1563"/>
      <c r="AD892" s="1563"/>
      <c r="AE892" s="156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91">
        <v>23150000</v>
      </c>
      <c r="AB893" s="1154"/>
      <c r="AC893" s="1154"/>
      <c r="AD893" s="1154"/>
      <c r="AE893" s="1154"/>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592</v>
      </c>
      <c r="V894" s="1118"/>
      <c r="W894" s="1118"/>
      <c r="X894" s="1118"/>
      <c r="Y894" s="1118"/>
      <c r="Z894" s="1119"/>
      <c r="AA894" s="1191">
        <v>5992940</v>
      </c>
      <c r="AB894" s="1154"/>
      <c r="AC894" s="1154"/>
      <c r="AD894" s="1154"/>
      <c r="AE894" s="1154"/>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642</v>
      </c>
      <c r="V895" s="1118"/>
      <c r="W895" s="1118"/>
      <c r="X895" s="1118"/>
      <c r="Y895" s="1118"/>
      <c r="Z895" s="1119"/>
      <c r="AA895" s="1191"/>
      <c r="AB895" s="1154"/>
      <c r="AC895" s="1154"/>
      <c r="AD895" s="1154"/>
      <c r="AE895" s="1154"/>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642</v>
      </c>
      <c r="V896" s="1118"/>
      <c r="W896" s="1118"/>
      <c r="X896" s="1118"/>
      <c r="Y896" s="1118"/>
      <c r="Z896" s="1119"/>
      <c r="AA896" s="1191"/>
      <c r="AB896" s="1154"/>
      <c r="AC896" s="1154"/>
      <c r="AD896" s="1154"/>
      <c r="AE896" s="1154"/>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91"/>
      <c r="AB897" s="1154"/>
      <c r="AC897" s="1154"/>
      <c r="AD897" s="1154"/>
      <c r="AE897" s="1154"/>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91"/>
      <c r="AB898" s="1154"/>
      <c r="AC898" s="1154"/>
      <c r="AD898" s="1154"/>
      <c r="AE898" s="1154"/>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91"/>
      <c r="AB899" s="1154"/>
      <c r="AC899" s="1154"/>
      <c r="AD899" s="1154"/>
      <c r="AE899" s="1154"/>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91"/>
      <c r="AB900" s="1154"/>
      <c r="AC900" s="1154"/>
      <c r="AD900" s="1154"/>
      <c r="AE900" s="1154"/>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91"/>
      <c r="AB901" s="1154"/>
      <c r="AC901" s="1154"/>
      <c r="AD901" s="1154"/>
      <c r="AE901" s="1154"/>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91"/>
      <c r="AB902" s="1154"/>
      <c r="AC902" s="1154"/>
      <c r="AD902" s="1154"/>
      <c r="AE902" s="1154"/>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7" t="s">
        <v>642</v>
      </c>
      <c r="V903" s="1118"/>
      <c r="W903" s="1118"/>
      <c r="X903" s="1118"/>
      <c r="Y903" s="1118"/>
      <c r="Z903" s="1119"/>
      <c r="AA903" s="1191"/>
      <c r="AB903" s="1154"/>
      <c r="AC903" s="1154"/>
      <c r="AD903" s="1154"/>
      <c r="AE903" s="1154"/>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91"/>
      <c r="AB904" s="1154"/>
      <c r="AC904" s="1154"/>
      <c r="AD904" s="1154"/>
      <c r="AE904" s="1154"/>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642</v>
      </c>
      <c r="V905" s="1118"/>
      <c r="W905" s="1118"/>
      <c r="X905" s="1118"/>
      <c r="Y905" s="1118"/>
      <c r="Z905" s="1119"/>
      <c r="AA905" s="1191"/>
      <c r="AB905" s="1154"/>
      <c r="AC905" s="1154"/>
      <c r="AD905" s="1154"/>
      <c r="AE905" s="1154"/>
      <c r="AF905" s="1192"/>
      <c r="AM905" s="1448">
        <f>G734+O778</f>
        <v>71</v>
      </c>
      <c r="AN905" s="144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91"/>
      <c r="AB906" s="1154"/>
      <c r="AC906" s="1154"/>
      <c r="AD906" s="1154"/>
      <c r="AE906" s="1154"/>
      <c r="AF906" s="1192"/>
      <c r="AM906" s="52"/>
      <c r="AN906" s="21"/>
      <c r="AO906" s="1459">
        <f>ROUNDDOWN(X999/I999,2)</f>
        <v>0.5</v>
      </c>
      <c r="AP906" s="1460"/>
      <c r="AQ906" s="1460"/>
      <c r="AR906" s="14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91"/>
      <c r="AB907" s="1154"/>
      <c r="AC907" s="1154"/>
      <c r="AD907" s="1154"/>
      <c r="AE907" s="1154"/>
      <c r="AF907" s="1192"/>
      <c r="AM907" s="52"/>
      <c r="AN907" s="52"/>
      <c r="AO907" s="1482">
        <f>ROUNDDOWN(X1003/I1003,2)</f>
        <v>0.26</v>
      </c>
      <c r="AP907" s="1483"/>
      <c r="AQ907" s="1483"/>
      <c r="AR907" s="148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91"/>
      <c r="AB908" s="1154"/>
      <c r="AC908" s="1154"/>
      <c r="AD908" s="1154"/>
      <c r="AE908" s="1154"/>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5" t="s">
        <v>1795</v>
      </c>
      <c r="J909" s="1466"/>
      <c r="K909" s="1466"/>
      <c r="L909" s="1466"/>
      <c r="M909" s="1466"/>
      <c r="N909" s="1466"/>
      <c r="O909" s="1466"/>
      <c r="P909" s="1466"/>
      <c r="Q909" s="1466"/>
      <c r="R909" s="1466"/>
      <c r="S909" s="1466"/>
      <c r="T909" s="1467"/>
      <c r="U909" s="1117" t="s">
        <v>592</v>
      </c>
      <c r="V909" s="1118"/>
      <c r="W909" s="1118"/>
      <c r="X909" s="1118"/>
      <c r="Y909" s="1118"/>
      <c r="Z909" s="1119"/>
      <c r="AA909" s="1191">
        <f>4001485+10826931+2000000</f>
        <v>16828416</v>
      </c>
      <c r="AB909" s="1154"/>
      <c r="AC909" s="1154"/>
      <c r="AD909" s="1154"/>
      <c r="AE909" s="1154"/>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5" t="s">
        <v>1796</v>
      </c>
      <c r="J910" s="1474"/>
      <c r="K910" s="1474"/>
      <c r="L910" s="1474"/>
      <c r="M910" s="1474"/>
      <c r="N910" s="1474"/>
      <c r="O910" s="1474"/>
      <c r="P910" s="1474"/>
      <c r="Q910" s="1474"/>
      <c r="R910" s="1474"/>
      <c r="S910" s="1474"/>
      <c r="T910" s="1475"/>
      <c r="U910" s="1117" t="s">
        <v>592</v>
      </c>
      <c r="V910" s="1118"/>
      <c r="W910" s="1118"/>
      <c r="X910" s="1118"/>
      <c r="Y910" s="1118"/>
      <c r="Z910" s="1119"/>
      <c r="AA910" s="1191">
        <v>3000000</v>
      </c>
      <c r="AB910" s="1154"/>
      <c r="AC910" s="1154"/>
      <c r="AD910" s="1154"/>
      <c r="AE910" s="1154"/>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5"/>
      <c r="J911" s="1474"/>
      <c r="K911" s="1474"/>
      <c r="L911" s="1474"/>
      <c r="M911" s="1474"/>
      <c r="N911" s="1474"/>
      <c r="O911" s="1474"/>
      <c r="P911" s="1474"/>
      <c r="Q911" s="1474"/>
      <c r="R911" s="1474"/>
      <c r="S911" s="1474"/>
      <c r="T911" s="1475"/>
      <c r="U911" s="1117" t="s">
        <v>642</v>
      </c>
      <c r="V911" s="1118"/>
      <c r="W911" s="1118"/>
      <c r="X911" s="1118"/>
      <c r="Y911" s="1118"/>
      <c r="Z911" s="1119"/>
      <c r="AA911" s="1191"/>
      <c r="AB911" s="1154"/>
      <c r="AC911" s="1154"/>
      <c r="AD911" s="1154"/>
      <c r="AE911" s="1154"/>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9" t="s">
        <v>357</v>
      </c>
      <c r="J912" s="1474"/>
      <c r="K912" s="1474"/>
      <c r="L912" s="1474"/>
      <c r="M912" s="1474"/>
      <c r="N912" s="1474"/>
      <c r="O912" s="1474"/>
      <c r="P912" s="1474"/>
      <c r="Q912" s="1474"/>
      <c r="R912" s="1474"/>
      <c r="S912" s="1474"/>
      <c r="T912" s="1475"/>
      <c r="U912" s="1117" t="s">
        <v>642</v>
      </c>
      <c r="V912" s="1118"/>
      <c r="W912" s="1118"/>
      <c r="X912" s="1118"/>
      <c r="Y912" s="1118"/>
      <c r="Z912" s="1119"/>
      <c r="AA912" s="1191"/>
      <c r="AB912" s="1154"/>
      <c r="AC912" s="1154"/>
      <c r="AD912" s="1154"/>
      <c r="AE912" s="1154"/>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1" t="s">
        <v>1797</v>
      </c>
      <c r="N917" s="1412"/>
      <c r="O917" s="1412"/>
      <c r="P917" s="1412"/>
      <c r="Q917" s="1412"/>
      <c r="R917" s="1412"/>
      <c r="S917" s="1413"/>
      <c r="U917" s="103" t="s">
        <v>11</v>
      </c>
      <c r="V917" s="77"/>
      <c r="W917" s="77"/>
      <c r="X917" s="77"/>
      <c r="Y917" s="77"/>
      <c r="Z917" s="77"/>
      <c r="AA917" s="77"/>
      <c r="AB917" s="77"/>
      <c r="AC917" s="77"/>
      <c r="AD917" s="78"/>
      <c r="AE917" s="1491"/>
      <c r="AF917" s="1412"/>
      <c r="AG917" s="1412"/>
      <c r="AH917" s="1412"/>
      <c r="AI917" s="1412"/>
      <c r="AJ917" s="1412"/>
      <c r="AK917" s="141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4" t="s">
        <v>1798</v>
      </c>
      <c r="N918" s="1455"/>
      <c r="O918" s="1455"/>
      <c r="P918" s="1455"/>
      <c r="Q918" s="1455"/>
      <c r="R918" s="1455"/>
      <c r="S918" s="1456"/>
      <c r="U918" s="103" t="s">
        <v>12</v>
      </c>
      <c r="V918" s="77"/>
      <c r="W918" s="77"/>
      <c r="X918" s="77"/>
      <c r="Y918" s="77"/>
      <c r="Z918" s="77"/>
      <c r="AA918" s="77"/>
      <c r="AB918" s="77"/>
      <c r="AC918" s="77"/>
      <c r="AD918" s="78"/>
      <c r="AE918" s="1454"/>
      <c r="AF918" s="1455"/>
      <c r="AG918" s="1455"/>
      <c r="AH918" s="1455"/>
      <c r="AI918" s="1455"/>
      <c r="AJ918" s="1455"/>
      <c r="AK918" s="145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0" t="s">
        <v>1799</v>
      </c>
      <c r="K919" s="1501"/>
      <c r="L919" s="1501"/>
      <c r="M919" s="1501"/>
      <c r="N919" s="1501"/>
      <c r="O919" s="1501"/>
      <c r="P919" s="1501"/>
      <c r="Q919" s="1501"/>
      <c r="R919" s="1501"/>
      <c r="S919" s="1502"/>
      <c r="U919" s="103" t="s">
        <v>975</v>
      </c>
      <c r="V919" s="77"/>
      <c r="W919" s="77"/>
      <c r="AB919" s="1500" t="s">
        <v>329</v>
      </c>
      <c r="AC919" s="1501"/>
      <c r="AD919" s="1501"/>
      <c r="AE919" s="1501"/>
      <c r="AF919" s="1501"/>
      <c r="AG919" s="1501"/>
      <c r="AH919" s="1501"/>
      <c r="AI919" s="1501"/>
      <c r="AJ919" s="1501"/>
      <c r="AK919" s="150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4">
        <v>0.47</v>
      </c>
      <c r="N920" s="1486"/>
      <c r="O920" s="1486"/>
      <c r="P920" s="1486"/>
      <c r="Q920" s="1486"/>
      <c r="R920" s="1486"/>
      <c r="S920" s="1487"/>
      <c r="U920" s="103" t="s">
        <v>13</v>
      </c>
      <c r="V920" s="77"/>
      <c r="W920" s="77"/>
      <c r="X920" s="77"/>
      <c r="Y920" s="77"/>
      <c r="Z920" s="77"/>
      <c r="AA920" s="77"/>
      <c r="AB920" s="77"/>
      <c r="AC920" s="77"/>
      <c r="AD920" s="78"/>
      <c r="AE920" s="1485"/>
      <c r="AF920" s="1486"/>
      <c r="AG920" s="1486"/>
      <c r="AH920" s="1486"/>
      <c r="AI920" s="1486"/>
      <c r="AJ920" s="1486"/>
      <c r="AK920" s="148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4">
        <v>34</v>
      </c>
      <c r="N921" s="1445"/>
      <c r="O921" s="1445"/>
      <c r="P921" s="1445"/>
      <c r="Q921" s="1445"/>
      <c r="R921" s="1445"/>
      <c r="S921" s="1446"/>
      <c r="U921" s="103" t="s">
        <v>14</v>
      </c>
      <c r="V921" s="77"/>
      <c r="W921" s="77"/>
      <c r="X921" s="77"/>
      <c r="Y921" s="77"/>
      <c r="Z921" s="77"/>
      <c r="AA921" s="77"/>
      <c r="AB921" s="77"/>
      <c r="AC921" s="77"/>
      <c r="AD921" s="78"/>
      <c r="AE921" s="1444"/>
      <c r="AF921" s="1445"/>
      <c r="AG921" s="1445"/>
      <c r="AH921" s="1445"/>
      <c r="AI921" s="1445"/>
      <c r="AJ921" s="1445"/>
      <c r="AK921" s="14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v>551976</v>
      </c>
      <c r="N922" s="1154"/>
      <c r="O922" s="1154"/>
      <c r="P922" s="1154"/>
      <c r="Q922" s="1154"/>
      <c r="R922" s="1154"/>
      <c r="S922" s="1192"/>
      <c r="U922" s="103" t="s">
        <v>15</v>
      </c>
      <c r="V922" s="77"/>
      <c r="W922" s="77"/>
      <c r="X922" s="77"/>
      <c r="Y922" s="77"/>
      <c r="Z922" s="77"/>
      <c r="AA922" s="77"/>
      <c r="AB922" s="77"/>
      <c r="AC922" s="77"/>
      <c r="AD922" s="78"/>
      <c r="AE922" s="1191"/>
      <c r="AF922" s="1154"/>
      <c r="AG922" s="1154"/>
      <c r="AH922" s="1154"/>
      <c r="AI922" s="1154"/>
      <c r="AJ922" s="1154"/>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v>11039520</v>
      </c>
      <c r="N923" s="1154"/>
      <c r="O923" s="1154"/>
      <c r="P923" s="1154"/>
      <c r="Q923" s="1154"/>
      <c r="R923" s="1154"/>
      <c r="S923" s="1192"/>
      <c r="U923" s="103" t="s">
        <v>16</v>
      </c>
      <c r="V923" s="77"/>
      <c r="W923" s="77"/>
      <c r="X923" s="77"/>
      <c r="Y923" s="77"/>
      <c r="Z923" s="77"/>
      <c r="AA923" s="77"/>
      <c r="AB923" s="77"/>
      <c r="AC923" s="77"/>
      <c r="AD923" s="78"/>
      <c r="AE923" s="1191"/>
      <c r="AF923" s="1154"/>
      <c r="AG923" s="1154"/>
      <c r="AH923" s="1154"/>
      <c r="AI923" s="1154"/>
      <c r="AJ923" s="1154"/>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0">
        <v>20</v>
      </c>
      <c r="N924" s="1451"/>
      <c r="O924" s="1451"/>
      <c r="P924" s="1451"/>
      <c r="Q924" s="1451"/>
      <c r="R924" s="1451"/>
      <c r="S924" s="1452"/>
      <c r="U924" s="103" t="s">
        <v>621</v>
      </c>
      <c r="V924" s="77"/>
      <c r="W924" s="77"/>
      <c r="X924" s="77"/>
      <c r="Y924" s="77"/>
      <c r="Z924" s="77"/>
      <c r="AA924" s="77"/>
      <c r="AB924" s="77"/>
      <c r="AC924" s="77"/>
      <c r="AD924" s="78"/>
      <c r="AE924" s="1450"/>
      <c r="AF924" s="1451"/>
      <c r="AG924" s="1451"/>
      <c r="AH924" s="1451"/>
      <c r="AI924" s="1451"/>
      <c r="AJ924" s="1451"/>
      <c r="AK924" s="145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3"/>
      <c r="N929" s="1424"/>
      <c r="O929" s="1424"/>
      <c r="P929" s="1424"/>
      <c r="Q929" s="1424"/>
      <c r="R929" s="1424"/>
      <c r="S929" s="1425"/>
      <c r="T929" s="103" t="s">
        <v>872</v>
      </c>
      <c r="U929" s="77"/>
      <c r="V929" s="77"/>
      <c r="W929" s="77"/>
      <c r="X929" s="77"/>
      <c r="Y929" s="77"/>
      <c r="Z929" s="78"/>
      <c r="AA929" s="1423"/>
      <c r="AB929" s="1424"/>
      <c r="AC929" s="1424"/>
      <c r="AD929" s="1424"/>
      <c r="AE929" s="1424"/>
      <c r="AF929" s="1424"/>
      <c r="AG929" s="142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3"/>
      <c r="N930" s="1424"/>
      <c r="O930" s="1424"/>
      <c r="P930" s="1424"/>
      <c r="Q930" s="1424"/>
      <c r="R930" s="1424"/>
      <c r="S930" s="1425"/>
      <c r="T930" s="103" t="s">
        <v>871</v>
      </c>
      <c r="U930" s="77"/>
      <c r="V930" s="77"/>
      <c r="W930" s="77"/>
      <c r="X930" s="77"/>
      <c r="Y930" s="77"/>
      <c r="Z930" s="78"/>
      <c r="AA930" s="1423"/>
      <c r="AB930" s="1424"/>
      <c r="AC930" s="1424"/>
      <c r="AD930" s="1424"/>
      <c r="AE930" s="1424"/>
      <c r="AF930" s="1424"/>
      <c r="AG930" s="142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5" t="s">
        <v>642</v>
      </c>
      <c r="N931" s="1496"/>
      <c r="O931" s="1496"/>
      <c r="P931" s="1496"/>
      <c r="Q931" s="1496"/>
      <c r="R931" s="1496"/>
      <c r="S931" s="1497"/>
      <c r="T931" s="76" t="s">
        <v>360</v>
      </c>
      <c r="U931" s="77"/>
      <c r="V931" s="77"/>
      <c r="W931" s="77"/>
      <c r="X931" s="77"/>
      <c r="Y931" s="77"/>
      <c r="Z931" s="78"/>
      <c r="AA931" s="1423"/>
      <c r="AB931" s="1424"/>
      <c r="AC931" s="1424"/>
      <c r="AD931" s="1424"/>
      <c r="AE931" s="1424"/>
      <c r="AF931" s="1424"/>
      <c r="AG931" s="142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3"/>
      <c r="N932" s="1424"/>
      <c r="O932" s="1424"/>
      <c r="P932" s="1424"/>
      <c r="Q932" s="1424"/>
      <c r="R932" s="1424"/>
      <c r="S932" s="1425"/>
      <c r="T932" s="76" t="s">
        <v>361</v>
      </c>
      <c r="U932" s="77"/>
      <c r="V932" s="77"/>
      <c r="W932" s="77"/>
      <c r="X932" s="77"/>
      <c r="Y932" s="77"/>
      <c r="Z932" s="78"/>
      <c r="AA932" s="1423"/>
      <c r="AB932" s="1424"/>
      <c r="AC932" s="1424"/>
      <c r="AD932" s="1424"/>
      <c r="AE932" s="1424"/>
      <c r="AF932" s="1424"/>
      <c r="AG932" s="142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3"/>
      <c r="N933" s="1424"/>
      <c r="O933" s="1424"/>
      <c r="P933" s="1424"/>
      <c r="Q933" s="1424"/>
      <c r="R933" s="1424"/>
      <c r="S933" s="1425"/>
      <c r="T933" s="76" t="s">
        <v>408</v>
      </c>
      <c r="U933" s="77"/>
      <c r="V933" s="77"/>
      <c r="W933" s="77"/>
      <c r="X933" s="77"/>
      <c r="Y933" s="77"/>
      <c r="Z933" s="78"/>
      <c r="AA933" s="1423"/>
      <c r="AB933" s="1424"/>
      <c r="AC933" s="1424"/>
      <c r="AD933" s="1424"/>
      <c r="AE933" s="1424"/>
      <c r="AF933" s="1424"/>
      <c r="AG933" s="142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9" t="s">
        <v>329</v>
      </c>
      <c r="N934" s="1480"/>
      <c r="O934" s="1480"/>
      <c r="P934" s="1480"/>
      <c r="Q934" s="1480"/>
      <c r="R934" s="1480"/>
      <c r="S934" s="1481"/>
      <c r="T934" s="1462"/>
      <c r="U934" s="1463"/>
      <c r="V934" s="1463"/>
      <c r="W934" s="1463"/>
      <c r="X934" s="1463"/>
      <c r="Y934" s="1463"/>
      <c r="Z934" s="1464"/>
      <c r="AA934" s="1423"/>
      <c r="AB934" s="1424"/>
      <c r="AC934" s="1424"/>
      <c r="AD934" s="1424"/>
      <c r="AE934" s="1424"/>
      <c r="AF934" s="1424"/>
      <c r="AG934" s="142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3"/>
      <c r="N935" s="1424"/>
      <c r="O935" s="1424"/>
      <c r="P935" s="1424"/>
      <c r="Q935" s="1424"/>
      <c r="R935" s="1424"/>
      <c r="S935" s="1425"/>
      <c r="T935" s="1462"/>
      <c r="U935" s="1463"/>
      <c r="V935" s="1463"/>
      <c r="W935" s="1463"/>
      <c r="X935" s="1463"/>
      <c r="Y935" s="1463"/>
      <c r="Z935" s="1464"/>
      <c r="AA935" s="1423"/>
      <c r="AB935" s="1424"/>
      <c r="AC935" s="1424"/>
      <c r="AD935" s="1424"/>
      <c r="AE935" s="1424"/>
      <c r="AF935" s="1424"/>
      <c r="AG935" s="142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0" t="s">
        <v>723</v>
      </c>
      <c r="P936" s="1161"/>
      <c r="Q936" s="142"/>
      <c r="R936" s="142"/>
      <c r="S936" s="143"/>
      <c r="T936" s="71" t="s">
        <v>177</v>
      </c>
      <c r="U936" s="72"/>
      <c r="V936" s="72"/>
      <c r="W936" s="1406"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4" t="s">
        <v>36</v>
      </c>
      <c r="G937" s="1415"/>
      <c r="H937" s="1415"/>
      <c r="I937" s="1415"/>
      <c r="J937" s="1415"/>
      <c r="K937" s="1415"/>
      <c r="L937" s="1415"/>
      <c r="M937" s="1423"/>
      <c r="N937" s="1424"/>
      <c r="O937" s="1424"/>
      <c r="P937" s="1424"/>
      <c r="Q937" s="1424"/>
      <c r="R937" s="1424"/>
      <c r="S937" s="1425"/>
      <c r="T937" s="79"/>
      <c r="U937" s="80"/>
      <c r="V937" s="80"/>
      <c r="W937" s="80"/>
      <c r="X937" s="80"/>
      <c r="Y937" s="80"/>
      <c r="Z937" s="196" t="s">
        <v>141</v>
      </c>
      <c r="AA937" s="1441"/>
      <c r="AB937" s="1442"/>
      <c r="AC937" s="1442"/>
      <c r="AD937" s="1442"/>
      <c r="AE937" s="1442"/>
      <c r="AF937" s="1442"/>
      <c r="AG937" s="144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595</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3"/>
      <c r="AU941" s="1453"/>
      <c r="AV941" s="1453"/>
      <c r="AW941" s="1453"/>
      <c r="AX941" s="1453"/>
      <c r="AY941" s="14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6" t="s">
        <v>689</v>
      </c>
      <c r="C946" s="1436"/>
      <c r="D946" s="1436"/>
      <c r="E946" s="1436"/>
      <c r="F946" s="1436"/>
      <c r="G946" s="1436"/>
      <c r="H946" s="1436"/>
      <c r="I946" s="1436"/>
      <c r="J946" s="1436"/>
      <c r="K946" s="1436"/>
      <c r="L946" s="1436" t="s">
        <v>690</v>
      </c>
      <c r="M946" s="1436"/>
      <c r="N946" s="1436"/>
      <c r="O946" s="1436"/>
      <c r="P946" s="1436"/>
      <c r="Q946" s="1436"/>
      <c r="R946" s="1436"/>
      <c r="S946" s="1436"/>
      <c r="T946" s="1436"/>
      <c r="U946" s="1436"/>
      <c r="V946" s="1436" t="s">
        <v>691</v>
      </c>
      <c r="W946" s="1436"/>
      <c r="X946" s="1436"/>
      <c r="Y946" s="1436"/>
      <c r="Z946" s="1436"/>
      <c r="AA946" s="1436"/>
      <c r="AB946" s="1436"/>
      <c r="AC946" s="1436"/>
      <c r="AD946" s="1503" t="s">
        <v>692</v>
      </c>
      <c r="AE946" s="1504"/>
      <c r="AF946" s="1504"/>
      <c r="AG946" s="1504"/>
      <c r="AH946" s="1504"/>
      <c r="AI946" s="1504"/>
      <c r="AJ946" s="1504"/>
      <c r="AK946" s="150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4" t="s">
        <v>684</v>
      </c>
      <c r="C947" s="1566"/>
      <c r="D947" s="1566"/>
      <c r="E947" s="1566"/>
      <c r="F947" s="1566"/>
      <c r="G947" s="1566"/>
      <c r="H947" s="1566"/>
      <c r="I947" s="1566"/>
      <c r="J947" s="1566"/>
      <c r="K947" s="1566"/>
      <c r="L947" s="1437">
        <f>IF(ISNA(IF($BA$779="4%",(INDEX($BC$789:$BG$846,MATCH($BO$779,$BB$789:$BB$846,0),MATCH(B947,$BC$788:$BG$788,0))),(INDEX($BJ$789:$BN$846,MATCH($BO$779,$BI$789:$BI$846,0),MATCH(B947,$BJ$788:$BN$788,0))))),0,IF($BA$779="4%",(INDEX($BC$789:$BG$846,MATCH($BO$779,$BB$789:$BB$846,0),MATCH(B947,$BC$788:$BG$788,0))),(INDEX($BJ$789:$BN$846,MATCH($BO$779,$BI$789:$BI$846,0),MATCH(B947,$BJ$788:$BN$788,0)))))</f>
        <v>237558</v>
      </c>
      <c r="M947" s="1438"/>
      <c r="N947" s="1438"/>
      <c r="O947" s="1438"/>
      <c r="P947" s="1438"/>
      <c r="Q947" s="1438"/>
      <c r="R947" s="1438"/>
      <c r="S947" s="1438"/>
      <c r="T947" s="1438"/>
      <c r="U947" s="1439"/>
      <c r="V947" s="1247">
        <f>BA635</f>
        <v>0</v>
      </c>
      <c r="W947" s="1247"/>
      <c r="X947" s="1247"/>
      <c r="Y947" s="1247"/>
      <c r="Z947" s="1247"/>
      <c r="AA947" s="1247"/>
      <c r="AB947" s="1247"/>
      <c r="AC947" s="1247"/>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4" t="s">
        <v>348</v>
      </c>
      <c r="C948" s="1294"/>
      <c r="D948" s="1294"/>
      <c r="E948" s="1294"/>
      <c r="F948" s="1294"/>
      <c r="G948" s="1294"/>
      <c r="H948" s="1294"/>
      <c r="I948" s="1294"/>
      <c r="J948" s="1294"/>
      <c r="K948" s="1294"/>
      <c r="L948" s="1437">
        <f>IF(ISNA(IF($BA$779="4%",(INDEX($BC$789:$BG$846,MATCH($BO$779,$BB$789:$BB$846,0),MATCH(B948,$BC$788:$BG$788,0))),(INDEX($BJ$789:$BN$846,MATCH($BO$779,$BI$789:$BI$846,0),MATCH(B948,$BJ$788:$BN$788,0))))),0,IF($BA$779="4%",(INDEX($BC$789:$BG$846,MATCH($BO$779,$BB$789:$BB$846,0),MATCH(B948,$BC$788:$BG$788,0))),(INDEX($BJ$789:$BN$846,MATCH($BO$779,$BI$789:$BI$846,0),MATCH(B948,$BJ$788:$BN$788,0)))))</f>
        <v>273902</v>
      </c>
      <c r="M948" s="1438"/>
      <c r="N948" s="1438"/>
      <c r="O948" s="1438"/>
      <c r="P948" s="1438"/>
      <c r="Q948" s="1438"/>
      <c r="R948" s="1438"/>
      <c r="S948" s="1438"/>
      <c r="T948" s="1438"/>
      <c r="U948" s="1439"/>
      <c r="V948" s="1247">
        <f>BF635</f>
        <v>30</v>
      </c>
      <c r="W948" s="1247"/>
      <c r="X948" s="1247"/>
      <c r="Y948" s="1247"/>
      <c r="Z948" s="1247"/>
      <c r="AA948" s="1247"/>
      <c r="AB948" s="1247"/>
      <c r="AC948" s="1247"/>
      <c r="AD948" s="1209">
        <f>IF(ISERROR((L948*V948)),0,(L948*V948))</f>
        <v>8217060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4" t="s">
        <v>170</v>
      </c>
      <c r="C949" s="1294"/>
      <c r="D949" s="1294"/>
      <c r="E949" s="1294"/>
      <c r="F949" s="1294"/>
      <c r="G949" s="1294"/>
      <c r="H949" s="1294"/>
      <c r="I949" s="1294"/>
      <c r="J949" s="1294"/>
      <c r="K949" s="1294"/>
      <c r="L949" s="1437">
        <f>IF(ISNA(IF($BA$779="4%",(INDEX($BC$789:$BG$846,MATCH($BO$779,$BB$789:$BB$846,0),MATCH(B949,$BC$788:$BG$788,0))),(INDEX($BJ$789:$BN$846,MATCH($BO$779,$BI$789:$BI$846,0),MATCH(B949,$BJ$788:$BN$788,0))))),0,IF($BA$779="4%",(INDEX($BC$789:$BG$846,MATCH($BO$779,$BB$789:$BB$846,0),MATCH(B949,$BC$788:$BG$788,0))),(INDEX($BJ$789:$BN$846,MATCH($BO$779,$BI$789:$BI$846,0),MATCH(B949,$BJ$788:$BN$788,0)))))</f>
        <v>330400</v>
      </c>
      <c r="M949" s="1438"/>
      <c r="N949" s="1438"/>
      <c r="O949" s="1438"/>
      <c r="P949" s="1438"/>
      <c r="Q949" s="1438"/>
      <c r="R949" s="1438"/>
      <c r="S949" s="1438"/>
      <c r="T949" s="1438"/>
      <c r="U949" s="1439"/>
      <c r="V949" s="1247">
        <f>BK635</f>
        <v>24</v>
      </c>
      <c r="W949" s="1247"/>
      <c r="X949" s="1247"/>
      <c r="Y949" s="1247"/>
      <c r="Z949" s="1247"/>
      <c r="AA949" s="1247"/>
      <c r="AB949" s="1247"/>
      <c r="AC949" s="1247"/>
      <c r="AD949" s="1209">
        <f>IF(ISERROR((L949*V949)),0,(L949*V949))</f>
        <v>7929600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4" t="s">
        <v>171</v>
      </c>
      <c r="C950" s="1294"/>
      <c r="D950" s="1294"/>
      <c r="E950" s="1294"/>
      <c r="F950" s="1294"/>
      <c r="G950" s="1294"/>
      <c r="H950" s="1294"/>
      <c r="I950" s="1294"/>
      <c r="J950" s="1294"/>
      <c r="K950" s="1294"/>
      <c r="L950" s="1437">
        <f>IF(ISNA(IF($BA$779="4%",(INDEX($BC$789:$BG$846,MATCH($BO$779,$BB$789:$BB$846,0),MATCH(B950,$BC$788:$BG$788,0))),(INDEX($BJ$789:$BN$846,MATCH($BO$779,$BI$789:$BI$846,0),MATCH(B950,$BJ$788:$BN$788,0))))),0,IF($BA$779="4%",(INDEX($BC$789:$BG$846,MATCH($BO$779,$BB$789:$BB$846,0),MATCH(B950,$BC$788:$BG$788,0))),(INDEX($BJ$789:$BN$846,MATCH($BO$779,$BI$789:$BI$846,0),MATCH(B950,$BJ$788:$BN$788,0)))))</f>
        <v>422912</v>
      </c>
      <c r="M950" s="1438"/>
      <c r="N950" s="1438"/>
      <c r="O950" s="1438"/>
      <c r="P950" s="1438"/>
      <c r="Q950" s="1438"/>
      <c r="R950" s="1438"/>
      <c r="S950" s="1438"/>
      <c r="T950" s="1438"/>
      <c r="U950" s="1439"/>
      <c r="V950" s="1247">
        <f>BP635</f>
        <v>18</v>
      </c>
      <c r="W950" s="1247"/>
      <c r="X950" s="1247"/>
      <c r="Y950" s="1247"/>
      <c r="Z950" s="1247"/>
      <c r="AA950" s="1247"/>
      <c r="AB950" s="1247"/>
      <c r="AC950" s="1247"/>
      <c r="AD950" s="1209">
        <f>IF(ISERROR((L950*V950)),0,(L950*V950))</f>
        <v>7612416</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4" t="s">
        <v>507</v>
      </c>
      <c r="C951" s="1294"/>
      <c r="D951" s="1294"/>
      <c r="E951" s="1294"/>
      <c r="F951" s="1294"/>
      <c r="G951" s="1294"/>
      <c r="H951" s="1294"/>
      <c r="I951" s="1294"/>
      <c r="J951" s="1294"/>
      <c r="K951" s="1294"/>
      <c r="L951" s="1437">
        <f>IF(ISNA(IF($BA$779="4%",(INDEX($BC$789:$BG$846,MATCH($BO$779,$BB$789:$BB$846,0),MATCH(B951,$BC$788:$BG$788,0))),(INDEX($BJ$789:$BN$846,MATCH($BO$779,$BI$789:$BI$846,0),MATCH(B951,$BJ$788:$BN$788,0))))),0,IF($BA$779="4%",(INDEX($BC$789:$BG$846,MATCH($BO$779,$BB$789:$BB$846,0),MATCH(B951,$BC$788:$BG$788,0))),(INDEX($BJ$789:$BN$846,MATCH($BO$779,$BI$789:$BI$846,0),MATCH(B951,$BJ$788:$BN$788,0)))))</f>
        <v>471150</v>
      </c>
      <c r="M951" s="1438"/>
      <c r="N951" s="1438"/>
      <c r="O951" s="1438"/>
      <c r="P951" s="1438"/>
      <c r="Q951" s="1438"/>
      <c r="R951" s="1438"/>
      <c r="S951" s="1438"/>
      <c r="T951" s="1438"/>
      <c r="U951" s="1439"/>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1" t="s">
        <v>873</v>
      </c>
      <c r="C952" s="1572"/>
      <c r="D952" s="1572"/>
      <c r="E952" s="1572"/>
      <c r="F952" s="1572"/>
      <c r="G952" s="1572"/>
      <c r="H952" s="1572"/>
      <c r="I952" s="1572"/>
      <c r="J952" s="1572"/>
      <c r="K952" s="1572"/>
      <c r="L952" s="1572"/>
      <c r="M952" s="1572"/>
      <c r="N952" s="1572"/>
      <c r="O952" s="1572"/>
      <c r="P952" s="1572"/>
      <c r="Q952" s="1572"/>
      <c r="R952" s="1572"/>
      <c r="S952" s="1572"/>
      <c r="T952" s="1572"/>
      <c r="U952" s="1573"/>
      <c r="V952" s="1428">
        <f>SUM(V947:AC951)</f>
        <v>72</v>
      </c>
      <c r="W952" s="1429"/>
      <c r="X952" s="1429"/>
      <c r="Y952" s="1429"/>
      <c r="Z952" s="1429"/>
      <c r="AA952" s="1429"/>
      <c r="AB952" s="1429"/>
      <c r="AC952" s="1430"/>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6" t="s">
        <v>559</v>
      </c>
      <c r="C953" s="1517"/>
      <c r="D953" s="1517"/>
      <c r="E953" s="1517"/>
      <c r="F953" s="1517"/>
      <c r="G953" s="1517"/>
      <c r="H953" s="1517"/>
      <c r="I953" s="1517"/>
      <c r="J953" s="1517"/>
      <c r="K953" s="1517"/>
      <c r="L953" s="1517"/>
      <c r="M953" s="1517"/>
      <c r="N953" s="1517"/>
      <c r="O953" s="1517"/>
      <c r="P953" s="1517"/>
      <c r="Q953" s="1517"/>
      <c r="R953" s="1517"/>
      <c r="S953" s="1517"/>
      <c r="T953" s="1517"/>
      <c r="U953" s="1517"/>
      <c r="V953" s="1517"/>
      <c r="W953" s="1517"/>
      <c r="X953" s="1517"/>
      <c r="Y953" s="1517"/>
      <c r="Z953" s="1517"/>
      <c r="AA953" s="1517"/>
      <c r="AB953" s="1517"/>
      <c r="AC953" s="1518"/>
      <c r="AD953" s="1431">
        <f>SUM(AD947:AK951)</f>
        <v>23759076</v>
      </c>
      <c r="AE953" s="1432"/>
      <c r="AF953" s="1432"/>
      <c r="AG953" s="1432"/>
      <c r="AH953" s="1432"/>
      <c r="AI953" s="1432"/>
      <c r="AJ953" s="1432"/>
      <c r="AK953" s="143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498" t="s">
        <v>592</v>
      </c>
      <c r="AB955" s="1499"/>
      <c r="AC955" s="128"/>
      <c r="AD955" s="1187">
        <f>ROUND(IF(AND(AA955="yes",D957&gt;0),AD953*0.2,0),0)</f>
        <v>4751815</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76" t="s">
        <v>1775</v>
      </c>
      <c r="E957" s="1477"/>
      <c r="F957" s="1477"/>
      <c r="G957" s="1477"/>
      <c r="H957" s="1477"/>
      <c r="I957" s="1477"/>
      <c r="J957" s="1477"/>
      <c r="K957" s="1477"/>
      <c r="L957" s="1477"/>
      <c r="M957" s="1477"/>
      <c r="N957" s="1477"/>
      <c r="O957" s="1477"/>
      <c r="P957" s="1477"/>
      <c r="Q957" s="1477"/>
      <c r="R957" s="1477"/>
      <c r="S957" s="1477"/>
      <c r="T957" s="1477"/>
      <c r="U957" s="1477"/>
      <c r="V957" s="1477"/>
      <c r="W957" s="1477"/>
      <c r="X957" s="1477"/>
      <c r="Y957" s="1478"/>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1610</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6" t="s">
        <v>723</v>
      </c>
      <c r="AB958" s="1427"/>
      <c r="AC958" s="128"/>
      <c r="AD958" s="1434">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1607</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5"/>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5"/>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5"/>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5"/>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5"/>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88"/>
      <c r="AE964" s="1489"/>
      <c r="AF964" s="1489"/>
      <c r="AG964" s="1489"/>
      <c r="AH964" s="1489"/>
      <c r="AI964" s="1489"/>
      <c r="AJ964" s="1489"/>
      <c r="AK964" s="149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1609</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6" t="s">
        <v>592</v>
      </c>
      <c r="AB965" s="1427"/>
      <c r="AC965" s="128"/>
      <c r="AD965" s="1187">
        <f>ROUND(IF(AA965="yes",AD953*0.07,0),0)</f>
        <v>1663135</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1608</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89"/>
      <c r="AE968" s="1489"/>
      <c r="AF968" s="1489"/>
      <c r="AG968" s="1489"/>
      <c r="AH968" s="1489"/>
      <c r="AI968" s="1489"/>
      <c r="AJ968" s="1489"/>
      <c r="AK968" s="1490"/>
      <c r="AL968" s="105"/>
      <c r="AO968" s="61"/>
      <c r="AP968" s="61"/>
      <c r="AQ968" s="61"/>
      <c r="AR968" s="61"/>
      <c r="AS968" s="61"/>
    </row>
    <row r="969" spans="1:96" ht="12.75" customHeight="1">
      <c r="A969" s="51"/>
      <c r="B969" s="120"/>
      <c r="C969" s="121" t="s">
        <v>227</v>
      </c>
      <c r="D969" s="1091" t="s">
        <v>1611</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2" t="s">
        <v>723</v>
      </c>
      <c r="AB969" s="1493"/>
      <c r="AC969" s="51"/>
      <c r="AD969" s="1434">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7" t="s">
        <v>1612</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5"/>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1" t="s">
        <v>1613</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6" t="s">
        <v>723</v>
      </c>
      <c r="AB971" s="1427"/>
      <c r="AC971" s="120"/>
      <c r="AD971" s="1434">
        <f>ROUND(IF(AA971="yes",AD953*0.02,0),0)</f>
        <v>0</v>
      </c>
      <c r="AE971" s="1187"/>
      <c r="AF971" s="1187"/>
      <c r="AG971" s="1187"/>
      <c r="AH971" s="1187"/>
      <c r="AI971" s="1187"/>
      <c r="AJ971" s="1187"/>
      <c r="AK971" s="1188"/>
      <c r="AL971" s="105"/>
    </row>
    <row r="972" spans="1:96" s="743" customFormat="1" ht="12.75" customHeight="1">
      <c r="A972" s="51"/>
      <c r="B972" s="113"/>
      <c r="C972" s="114"/>
      <c r="D972" s="1094" t="s">
        <v>1614</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5"/>
      <c r="AE972" s="1189"/>
      <c r="AF972" s="1189"/>
      <c r="AG972" s="1189"/>
      <c r="AH972" s="1189"/>
      <c r="AI972" s="1189"/>
      <c r="AJ972" s="1189"/>
      <c r="AK972" s="1190"/>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88"/>
      <c r="AE973" s="1489"/>
      <c r="AF973" s="1489"/>
      <c r="AG973" s="1489"/>
      <c r="AH973" s="1489"/>
      <c r="AI973" s="1489"/>
      <c r="AJ973" s="1489"/>
      <c r="AK973" s="1490"/>
      <c r="AL973" s="105"/>
    </row>
    <row r="974" spans="1:96" ht="12.75" customHeight="1">
      <c r="A974" s="51"/>
      <c r="B974" s="120"/>
      <c r="C974" s="121" t="s">
        <v>233</v>
      </c>
      <c r="D974" s="1091" t="s">
        <v>1615</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6" t="s">
        <v>592</v>
      </c>
      <c r="AB974" s="1427"/>
      <c r="AC974" s="128"/>
      <c r="AD974" s="1434">
        <f>IF(AA974="yes",AD953*AN891,0)</f>
        <v>1187953.8</v>
      </c>
      <c r="AE974" s="1187"/>
      <c r="AF974" s="1187"/>
      <c r="AG974" s="1187"/>
      <c r="AH974" s="1187"/>
      <c r="AI974" s="1187"/>
      <c r="AJ974" s="1187"/>
      <c r="AK974" s="1188"/>
      <c r="AL974" s="105"/>
    </row>
    <row r="975" spans="1:96" ht="15" customHeight="1">
      <c r="A975" s="51"/>
      <c r="B975" s="113"/>
      <c r="C975" s="114"/>
      <c r="D975" s="1094" t="s">
        <v>1616</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5"/>
      <c r="AE975" s="1189"/>
      <c r="AF975" s="1189"/>
      <c r="AG975" s="1189"/>
      <c r="AH975" s="1189"/>
      <c r="AI975" s="1189"/>
      <c r="AJ975" s="1189"/>
      <c r="AK975" s="1190"/>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5"/>
      <c r="AE976" s="1189"/>
      <c r="AF976" s="1189"/>
      <c r="AG976" s="1189"/>
      <c r="AH976" s="1189"/>
      <c r="AI976" s="1189"/>
      <c r="AJ976" s="1189"/>
      <c r="AK976" s="1190"/>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88"/>
      <c r="AE977" s="1489"/>
      <c r="AF977" s="1489"/>
      <c r="AG977" s="1489"/>
      <c r="AH977" s="1489"/>
      <c r="AI977" s="1489"/>
      <c r="AJ977" s="1489"/>
      <c r="AK977" s="1490"/>
      <c r="AL977" s="105"/>
    </row>
    <row r="978" spans="1:38" ht="12.75" customHeight="1">
      <c r="A978" s="51"/>
      <c r="B978" s="120"/>
      <c r="C978" s="121" t="s">
        <v>238</v>
      </c>
      <c r="D978" s="1108" t="s">
        <v>1617</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2" t="s">
        <v>723</v>
      </c>
      <c r="AB978" s="1493"/>
      <c r="AC978" s="51"/>
      <c r="AD978" s="1526"/>
      <c r="AE978" s="1527"/>
      <c r="AF978" s="1527"/>
      <c r="AG978" s="1527"/>
      <c r="AH978" s="1527"/>
      <c r="AI978" s="1527"/>
      <c r="AJ978" s="1527"/>
      <c r="AK978" s="1528"/>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1">
        <f>IF(AA978="yes","Please Select Type and Enter Amount:",0)</f>
        <v>0</v>
      </c>
      <c r="AA979" s="1221"/>
      <c r="AB979" s="1221"/>
      <c r="AC979" s="1222"/>
      <c r="AD979" s="1529"/>
      <c r="AE979" s="1530"/>
      <c r="AF979" s="1530"/>
      <c r="AG979" s="1530"/>
      <c r="AH979" s="1530"/>
      <c r="AI979" s="1530"/>
      <c r="AJ979" s="1530"/>
      <c r="AK979" s="1531"/>
      <c r="AL979" s="105"/>
    </row>
    <row r="980" spans="1:38" ht="12.75" customHeight="1">
      <c r="A980" s="51"/>
      <c r="B980" s="122"/>
      <c r="C980" s="125"/>
      <c r="D980" s="1094" t="s">
        <v>1618</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0"/>
      <c r="AA980" s="1221"/>
      <c r="AB980" s="1221"/>
      <c r="AC980" s="1222"/>
      <c r="AD980" s="1529"/>
      <c r="AE980" s="1530"/>
      <c r="AF980" s="1530"/>
      <c r="AG980" s="1530"/>
      <c r="AH980" s="1530"/>
      <c r="AI980" s="1530"/>
      <c r="AJ980" s="1530"/>
      <c r="AK980" s="1531"/>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0"/>
      <c r="AA981" s="1221"/>
      <c r="AB981" s="1221"/>
      <c r="AC981" s="1222"/>
      <c r="AD981" s="1529"/>
      <c r="AE981" s="1530"/>
      <c r="AF981" s="1530"/>
      <c r="AG981" s="1530"/>
      <c r="AH981" s="1530"/>
      <c r="AI981" s="1530"/>
      <c r="AJ981" s="1530"/>
      <c r="AK981" s="1531"/>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0"/>
      <c r="AA982" s="1221"/>
      <c r="AB982" s="1221"/>
      <c r="AC982" s="1222"/>
      <c r="AD982" s="1529"/>
      <c r="AE982" s="1530"/>
      <c r="AF982" s="1530"/>
      <c r="AG982" s="1530"/>
      <c r="AH982" s="1530"/>
      <c r="AI982" s="1530"/>
      <c r="AJ982" s="1530"/>
      <c r="AK982" s="1531"/>
      <c r="AL982" s="105"/>
    </row>
    <row r="983" spans="1:38" ht="12.75" customHeight="1">
      <c r="A983" s="51"/>
      <c r="B983" s="122"/>
      <c r="C983" s="125"/>
      <c r="D983" s="949" t="s">
        <v>383</v>
      </c>
      <c r="E983" s="136"/>
      <c r="F983" s="136"/>
      <c r="G983" s="163"/>
      <c r="H983" s="7"/>
      <c r="J983" s="1535" t="s">
        <v>642</v>
      </c>
      <c r="K983" s="1536"/>
      <c r="L983" s="1536"/>
      <c r="M983" s="1536"/>
      <c r="N983" s="1536"/>
      <c r="O983" s="1536"/>
      <c r="P983" s="1536"/>
      <c r="Q983" s="1537"/>
      <c r="R983" s="7"/>
      <c r="S983" s="7"/>
      <c r="T983" s="164"/>
      <c r="U983" s="7"/>
      <c r="V983" s="1520" t="str">
        <f>IF(AA978="yes",(AD953*0.15),"")</f>
        <v/>
      </c>
      <c r="W983" s="1520"/>
      <c r="X983" s="1520"/>
      <c r="Y983" s="1521"/>
      <c r="Z983" s="1223"/>
      <c r="AA983" s="1224"/>
      <c r="AB983" s="1224"/>
      <c r="AC983" s="1225"/>
      <c r="AD983" s="1532"/>
      <c r="AE983" s="1533"/>
      <c r="AF983" s="1533"/>
      <c r="AG983" s="1533"/>
      <c r="AH983" s="1533"/>
      <c r="AI983" s="1533"/>
      <c r="AJ983" s="1533"/>
      <c r="AK983" s="1534"/>
      <c r="AL983" s="105"/>
    </row>
    <row r="984" spans="1:38" ht="12.75" customHeight="1">
      <c r="A984" s="51"/>
      <c r="B984" s="120"/>
      <c r="C984" s="121" t="s">
        <v>244</v>
      </c>
      <c r="D984" s="1091" t="s">
        <v>1619</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2" t="s">
        <v>592</v>
      </c>
      <c r="AB984" s="1493"/>
      <c r="AC984" s="51"/>
      <c r="AD984" s="1526">
        <v>1028200</v>
      </c>
      <c r="AE984" s="1527"/>
      <c r="AF984" s="1527"/>
      <c r="AG984" s="1527"/>
      <c r="AH984" s="1527"/>
      <c r="AI984" s="1527"/>
      <c r="AJ984" s="1527"/>
      <c r="AK984" s="1528"/>
      <c r="AL984" s="105"/>
    </row>
    <row r="985" spans="1:38" ht="12.75" customHeight="1">
      <c r="A985" s="51"/>
      <c r="B985" s="113"/>
      <c r="C985" s="114"/>
      <c r="D985" s="1094" t="s">
        <v>1620</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4" t="str">
        <f>IF(AA984="yes","Please Enter Amount:",0)</f>
        <v>Please Enter Amount:</v>
      </c>
      <c r="AA985" s="1525"/>
      <c r="AB985" s="1525"/>
      <c r="AC985" s="1525"/>
      <c r="AD985" s="1529"/>
      <c r="AE985" s="1530"/>
      <c r="AF985" s="1530"/>
      <c r="AG985" s="1530"/>
      <c r="AH985" s="1530"/>
      <c r="AI985" s="1530"/>
      <c r="AJ985" s="1530"/>
      <c r="AK985" s="1531"/>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4"/>
      <c r="AA986" s="1525"/>
      <c r="AB986" s="1525"/>
      <c r="AC986" s="1525"/>
      <c r="AD986" s="1529"/>
      <c r="AE986" s="1530"/>
      <c r="AF986" s="1530"/>
      <c r="AG986" s="1530"/>
      <c r="AH986" s="1530"/>
      <c r="AI986" s="1530"/>
      <c r="AJ986" s="1530"/>
      <c r="AK986" s="1531"/>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4"/>
      <c r="AA987" s="1525"/>
      <c r="AB987" s="1525"/>
      <c r="AC987" s="1525"/>
      <c r="AD987" s="1532"/>
      <c r="AE987" s="1533"/>
      <c r="AF987" s="1533"/>
      <c r="AG987" s="1533"/>
      <c r="AH987" s="1533"/>
      <c r="AI987" s="1533"/>
      <c r="AJ987" s="1533"/>
      <c r="AK987" s="1534"/>
      <c r="AL987" s="105"/>
    </row>
    <row r="988" spans="1:38" ht="12.75" customHeight="1">
      <c r="A988" s="51"/>
      <c r="B988" s="120"/>
      <c r="C988" s="121" t="s">
        <v>249</v>
      </c>
      <c r="D988" s="1091" t="s">
        <v>1621</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6" t="s">
        <v>592</v>
      </c>
      <c r="AB988" s="1427"/>
      <c r="AC988" s="127"/>
      <c r="AD988" s="1434">
        <f>ROUND(IF(AA988="yes",(AD953*0.1),0),0)</f>
        <v>2375908</v>
      </c>
      <c r="AE988" s="1187"/>
      <c r="AF988" s="1187"/>
      <c r="AG988" s="1187"/>
      <c r="AH988" s="1187"/>
      <c r="AI988" s="1187"/>
      <c r="AJ988" s="1187"/>
      <c r="AK988" s="1188"/>
      <c r="AL988" s="105"/>
    </row>
    <row r="989" spans="1:38" s="743" customFormat="1" ht="12.75" customHeight="1">
      <c r="A989" s="51"/>
      <c r="B989" s="113"/>
      <c r="C989" s="114"/>
      <c r="D989" s="1094" t="s">
        <v>1622</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5"/>
      <c r="AE989" s="1189"/>
      <c r="AF989" s="1189"/>
      <c r="AG989" s="1189"/>
      <c r="AH989" s="1189"/>
      <c r="AI989" s="1189"/>
      <c r="AJ989" s="1189"/>
      <c r="AK989" s="1190"/>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5"/>
      <c r="AE990" s="1189"/>
      <c r="AF990" s="1189"/>
      <c r="AG990" s="1189"/>
      <c r="AH990" s="1189"/>
      <c r="AI990" s="1189"/>
      <c r="AJ990" s="1189"/>
      <c r="AK990" s="1190"/>
      <c r="AL990" s="105"/>
    </row>
    <row r="991" spans="1:38" ht="12.75" customHeight="1">
      <c r="A991" s="51"/>
      <c r="B991" s="120"/>
      <c r="C991" s="555" t="s">
        <v>742</v>
      </c>
      <c r="D991" s="1091" t="s">
        <v>1623</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6" t="s">
        <v>723</v>
      </c>
      <c r="AB991" s="1427"/>
      <c r="AC991" s="127"/>
      <c r="AD991" s="1434">
        <f>ROUND(IF(AA991="yes",(AD953*0.1),0),0)</f>
        <v>0</v>
      </c>
      <c r="AE991" s="1187"/>
      <c r="AF991" s="1187"/>
      <c r="AG991" s="1187"/>
      <c r="AH991" s="1187"/>
      <c r="AI991" s="1187"/>
      <c r="AJ991" s="1187"/>
      <c r="AK991" s="1188"/>
      <c r="AL991" s="105"/>
    </row>
    <row r="992" spans="1:38" s="706" customFormat="1" ht="12.75" customHeight="1">
      <c r="A992" s="51"/>
      <c r="B992" s="113"/>
      <c r="C992" s="114"/>
      <c r="D992" s="1094" t="s">
        <v>1624</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5"/>
      <c r="AE992" s="1189"/>
      <c r="AF992" s="1189"/>
      <c r="AG992" s="1189"/>
      <c r="AH992" s="1189"/>
      <c r="AI992" s="1189"/>
      <c r="AJ992" s="1189"/>
      <c r="AK992" s="1190"/>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1628</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3" t="str">
        <f>IF(X999&gt;0,"Yes","No")</f>
        <v>Yes</v>
      </c>
      <c r="AB996" s="1234"/>
      <c r="AC996" s="128"/>
      <c r="AD996" s="1235">
        <f>IF((X999=0),"",AO906*AD953)</f>
        <v>11879538</v>
      </c>
      <c r="AE996" s="1236"/>
      <c r="AF996" s="1236"/>
      <c r="AG996" s="1236"/>
      <c r="AH996" s="1236"/>
      <c r="AI996" s="1236"/>
      <c r="AJ996" s="1236"/>
      <c r="AK996" s="1237"/>
      <c r="AL996" s="105"/>
    </row>
    <row r="997" spans="1:38" s="743" customFormat="1" ht="12.75" customHeight="1">
      <c r="A997" s="51"/>
      <c r="B997" s="113"/>
      <c r="C997" s="726"/>
      <c r="D997" s="1094" t="s">
        <v>1627</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22">
        <f>AM905</f>
        <v>71</v>
      </c>
      <c r="J999" s="1523"/>
      <c r="K999" s="51"/>
      <c r="L999" s="104"/>
      <c r="M999" s="208"/>
      <c r="N999" s="208"/>
      <c r="O999" s="208"/>
      <c r="P999" s="208"/>
      <c r="Q999" s="208"/>
      <c r="R999" s="208"/>
      <c r="S999" s="208"/>
      <c r="T999" s="208"/>
      <c r="U999" s="208"/>
      <c r="V999" s="104"/>
      <c r="W999" s="209" t="s">
        <v>1082</v>
      </c>
      <c r="X999" s="1421">
        <f>AT614</f>
        <v>36</v>
      </c>
      <c r="Y999" s="1422"/>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1155</v>
      </c>
      <c r="D1000" s="1091" t="s">
        <v>1626</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3" t="str">
        <f>IF(X1003&gt;0,"Yes","No")</f>
        <v>Yes</v>
      </c>
      <c r="AB1000" s="1234"/>
      <c r="AC1000" s="124"/>
      <c r="AD1000" s="1235">
        <f>IF((X1003=0)," ",(2*AO907)*AD953)</f>
        <v>12354719.52</v>
      </c>
      <c r="AE1000" s="1236"/>
      <c r="AF1000" s="1236"/>
      <c r="AG1000" s="1236"/>
      <c r="AH1000" s="1236"/>
      <c r="AI1000" s="1236"/>
      <c r="AJ1000" s="1236"/>
      <c r="AK1000" s="1237"/>
      <c r="AL1000" s="105"/>
    </row>
    <row r="1001" spans="1:38" s="743" customFormat="1" ht="12.75" customHeight="1">
      <c r="A1001" s="51"/>
      <c r="B1001" s="113"/>
      <c r="C1001" s="726"/>
      <c r="D1001" s="1094" t="s">
        <v>1625</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22">
        <f>AM905</f>
        <v>71</v>
      </c>
      <c r="J1003" s="1523"/>
      <c r="K1003" s="51"/>
      <c r="L1003" s="208"/>
      <c r="M1003" s="208"/>
      <c r="N1003" s="208"/>
      <c r="O1003" s="208"/>
      <c r="P1003" s="208"/>
      <c r="Q1003" s="208"/>
      <c r="R1003" s="208"/>
      <c r="S1003" s="208"/>
      <c r="T1003" s="208"/>
      <c r="U1003" s="208"/>
      <c r="V1003" s="208"/>
      <c r="W1003" s="209" t="s">
        <v>1083</v>
      </c>
      <c r="X1003" s="1421">
        <f>AX614</f>
        <v>19</v>
      </c>
      <c r="Y1003" s="1422"/>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2" t="s">
        <v>560</v>
      </c>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3"/>
      <c r="AD1004" s="1431">
        <f>SUM(AD953:AK1003)</f>
        <v>59000345.319999993</v>
      </c>
      <c r="AE1004" s="1432"/>
      <c r="AF1004" s="1432"/>
      <c r="AG1004" s="1432"/>
      <c r="AH1004" s="1432"/>
      <c r="AI1004" s="1432"/>
      <c r="AJ1004" s="1432"/>
      <c r="AK1004" s="143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4"/>
      <c r="Y1007" s="1564"/>
      <c r="Z1007" s="1564"/>
      <c r="AA1007" s="1564"/>
      <c r="AB1007" s="1564"/>
      <c r="AC1007" s="156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5"/>
      <c r="Y1008" s="1565"/>
      <c r="Z1008" s="1565"/>
      <c r="AA1008" s="1565"/>
      <c r="AB1008" s="1565"/>
      <c r="AC1008" s="1565"/>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5"/>
      <c r="D1012" s="1575"/>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5"/>
      <c r="AF1012" s="1575"/>
      <c r="AG1012" s="1575"/>
      <c r="AH1012" s="1575"/>
      <c r="AI1012" s="1575"/>
      <c r="AJ1012" s="1575"/>
      <c r="AK1012" s="1575"/>
      <c r="AL1012" s="105"/>
    </row>
    <row r="1013" spans="1:38" ht="12.6" customHeight="1">
      <c r="A1013" s="131"/>
      <c r="B1013" s="1575"/>
      <c r="C1013" s="1575"/>
      <c r="D1013" s="1575"/>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5"/>
      <c r="AF1013" s="1575"/>
      <c r="AG1013" s="1575"/>
      <c r="AH1013" s="1575"/>
      <c r="AI1013" s="1575"/>
      <c r="AJ1013" s="1575"/>
      <c r="AK1013" s="1575"/>
      <c r="AL1013" s="105"/>
    </row>
    <row r="1014" spans="1:38" ht="12.6" customHeight="1">
      <c r="A1014" s="131"/>
      <c r="B1014" s="1574">
        <f>IF(ISNA(IF((AD978&gt;(AD953*0.15)),"(f) cannot be greater than 15% of unadjusted eligible basis.",0)),"",(IF((AD978&gt;(AD953*0.15)),"(f) cannot be greater than 15% of unadjusted eligible basis.",0)))</f>
        <v>0</v>
      </c>
      <c r="C1014" s="1574"/>
      <c r="D1014" s="1574"/>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4"/>
      <c r="AF1014" s="1574"/>
      <c r="AG1014" s="1574"/>
      <c r="AH1014" s="1574"/>
      <c r="AI1014" s="1574"/>
      <c r="AJ1014" s="1574"/>
      <c r="AK1014" s="1574"/>
      <c r="AL1014" s="105"/>
    </row>
    <row r="1015" spans="1:38" ht="12.6" customHeight="1" thickBot="1">
      <c r="A1015" s="1542" t="s">
        <v>876</v>
      </c>
      <c r="B1015" s="1542"/>
      <c r="C1015" s="1542"/>
      <c r="D1015" s="1542"/>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2"/>
      <c r="AF1015" s="1542"/>
      <c r="AG1015" s="1542"/>
      <c r="AH1015" s="1542"/>
      <c r="AI1015" s="1542"/>
      <c r="AJ1015" s="1542"/>
      <c r="AK1015" s="1542"/>
      <c r="AL1015" s="154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592</v>
      </c>
      <c r="B1019" s="1115"/>
      <c r="C1019" s="13">
        <v>1</v>
      </c>
      <c r="D1019" s="980" t="s">
        <v>1263</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5" t="s">
        <v>642</v>
      </c>
      <c r="B1025" s="1115"/>
      <c r="C1025" s="13">
        <v>2</v>
      </c>
      <c r="D1025" s="980" t="s">
        <v>1262</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5" t="s">
        <v>642</v>
      </c>
      <c r="B1031" s="1115"/>
      <c r="C1031" s="13">
        <v>3</v>
      </c>
      <c r="D1031" s="980" t="s">
        <v>1606</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5" t="s">
        <v>642</v>
      </c>
      <c r="B1038" s="1115"/>
      <c r="C1038" s="13">
        <v>4</v>
      </c>
      <c r="D1038" s="980" t="s">
        <v>1248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5" t="s">
        <v>642</v>
      </c>
      <c r="B1041" s="1115"/>
      <c r="C1041" s="13">
        <v>5</v>
      </c>
      <c r="D1041" s="980" t="s">
        <v>1466</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5" t="s">
        <v>642</v>
      </c>
      <c r="B1046" s="1115"/>
      <c r="C1046" s="13">
        <v>6</v>
      </c>
      <c r="D1046" s="980" t="s">
        <v>1249</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5" t="s">
        <v>642</v>
      </c>
      <c r="B1049" s="1115"/>
      <c r="C1049" s="328">
        <v>7</v>
      </c>
      <c r="D1049" s="980" t="s">
        <v>1251</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5" t="s">
        <v>642</v>
      </c>
      <c r="B1053" s="1115"/>
      <c r="C1053" s="328">
        <v>8</v>
      </c>
      <c r="D1053" s="980" t="s">
        <v>1478</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642</v>
      </c>
      <c r="B1057" s="1115"/>
      <c r="C1057" s="328">
        <v>9</v>
      </c>
      <c r="D1057" s="980" t="s">
        <v>1250</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2" priority="2" stopIfTrue="1" operator="equal">
      <formula>"Please Enter Amount:"</formula>
    </cfRule>
  </conditionalFormatting>
  <conditionalFormatting sqref="B1012">
    <cfRule type="cellIs" dxfId="131" priority="3" stopIfTrue="1" operator="equal">
      <formula>#N/A</formula>
    </cfRule>
  </conditionalFormatting>
  <conditionalFormatting sqref="AD996:AD998">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20" zoomScaleNormal="120" zoomScaleSheetLayoutView="100" workbookViewId="0">
      <pane xSplit="2" ySplit="3" topLeftCell="C94" activePane="bottomRight" state="frozen"/>
      <selection pane="topRight" activeCell="C1" sqref="C1"/>
      <selection pane="bottomLeft" activeCell="A4" sqref="A4"/>
      <selection pane="bottomRight" activeCell="J114" sqref="J11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1)CCRC Tax Exempt Permanent Loan</v>
      </c>
      <c r="G2" s="217" t="str">
        <f>Application!B619&amp;Application!C619</f>
        <v>2)HA of City of Riverside Accrued/Deferred interest</v>
      </c>
      <c r="H2" s="217" t="str">
        <f>Application!B620&amp;Application!C620</f>
        <v>3)City of Riverside TUMF Fee waiver</v>
      </c>
      <c r="I2" s="217" t="str">
        <f>Application!B621&amp;Application!C621</f>
        <v>4)HCD AHSC</v>
      </c>
      <c r="J2" s="217" t="str">
        <f>Application!B622&amp;Application!C622</f>
        <v>5)HCD-VHHP</v>
      </c>
      <c r="K2" s="217" t="str">
        <f>Application!B623&amp;Application!C623</f>
        <v>6)HA of the City of Riverside</v>
      </c>
      <c r="L2" s="217" t="str">
        <f>Application!B624&amp;Application!C624</f>
        <v>7)State Budget Allocation</v>
      </c>
      <c r="M2" s="217" t="str">
        <f>Application!B625&amp;Application!C625</f>
        <v>8)Deferred developer fee</v>
      </c>
      <c r="N2" s="217" t="str">
        <f>Application!B626&amp;Application!C626</f>
        <v>9)GP Equity (Developer Fee)</v>
      </c>
      <c r="O2" s="217" t="str">
        <f>Application!B627&amp;Application!C627</f>
        <v>10)CDLAC Performance Deposit Refund</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907749</v>
      </c>
      <c r="C4" s="225">
        <v>907749</v>
      </c>
      <c r="D4" s="225"/>
      <c r="E4" s="225">
        <f>B4-SUM(F4:Q4)</f>
        <v>907749</v>
      </c>
      <c r="F4" s="225"/>
      <c r="G4" s="225"/>
      <c r="H4" s="225"/>
      <c r="I4" s="225"/>
      <c r="J4" s="225"/>
      <c r="K4" s="225"/>
      <c r="L4" s="225"/>
      <c r="M4" s="225"/>
      <c r="N4" s="225"/>
      <c r="O4" s="225"/>
      <c r="P4" s="225"/>
      <c r="Q4" s="225"/>
      <c r="R4" s="916">
        <f>SUM(E4:Q4)</f>
        <v>907749</v>
      </c>
      <c r="S4" s="226"/>
      <c r="T4" s="226"/>
      <c r="U4" s="221"/>
    </row>
    <row r="5" spans="1:21" s="222" customFormat="1">
      <c r="A5" s="223" t="s">
        <v>31</v>
      </c>
      <c r="B5" s="224">
        <f>SUM(C5+D5)</f>
        <v>240170</v>
      </c>
      <c r="C5" s="225">
        <v>240170</v>
      </c>
      <c r="D5" s="225"/>
      <c r="E5" s="225">
        <f t="shared" ref="E5:E10" si="0">B5-SUM(F5:Q5)</f>
        <v>240170</v>
      </c>
      <c r="F5" s="225"/>
      <c r="G5" s="225"/>
      <c r="H5" s="225"/>
      <c r="I5" s="225"/>
      <c r="J5" s="225"/>
      <c r="K5" s="225"/>
      <c r="L5" s="225"/>
      <c r="M5" s="225"/>
      <c r="N5" s="225"/>
      <c r="O5" s="225"/>
      <c r="P5" s="225"/>
      <c r="Q5" s="225"/>
      <c r="R5" s="916">
        <f>SUM(E5:Q5)</f>
        <v>240170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1147919</v>
      </c>
      <c r="C8" s="224">
        <f t="shared" ref="C8:Q8" si="1">SUM(C4:C7)</f>
        <v>1147919</v>
      </c>
      <c r="D8" s="224">
        <f t="shared" si="1"/>
        <v>0</v>
      </c>
      <c r="E8" s="224">
        <f t="shared" si="1"/>
        <v>1147919</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1147919</v>
      </c>
      <c r="S8" s="226"/>
      <c r="T8" s="226"/>
      <c r="U8" s="221"/>
    </row>
    <row r="9" spans="1:21" s="222" customFormat="1">
      <c r="A9" s="223" t="s">
        <v>645</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1147919</v>
      </c>
      <c r="C12" s="224">
        <f t="shared" si="3"/>
        <v>1147919</v>
      </c>
      <c r="D12" s="224">
        <f t="shared" si="3"/>
        <v>0</v>
      </c>
      <c r="E12" s="224">
        <f t="shared" si="3"/>
        <v>1147919</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1147919</v>
      </c>
      <c r="S12" s="226"/>
      <c r="T12" s="226"/>
      <c r="U12" s="221"/>
    </row>
    <row r="13" spans="1:21" s="222" customFormat="1">
      <c r="A13" s="466" t="s">
        <v>1001</v>
      </c>
      <c r="B13" s="224">
        <f>SUM(C13+D13)</f>
        <v>167999.5</v>
      </c>
      <c r="C13" s="225">
        <v>148176</v>
      </c>
      <c r="D13" s="225">
        <v>19823.5</v>
      </c>
      <c r="E13" s="225">
        <f t="shared" ref="E13:E15" si="4">B13-SUM(F13:Q13)</f>
        <v>167999.5</v>
      </c>
      <c r="F13" s="225"/>
      <c r="G13" s="225"/>
      <c r="H13" s="225"/>
      <c r="I13" s="225"/>
      <c r="J13" s="225"/>
      <c r="K13" s="225"/>
      <c r="L13" s="225"/>
      <c r="M13" s="225"/>
      <c r="N13" s="225"/>
      <c r="O13" s="225"/>
      <c r="P13" s="225"/>
      <c r="Q13" s="225"/>
      <c r="R13" s="916">
        <f>SUM(E13:Q13)</f>
        <v>167999.5</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f t="shared" ref="E28:E35" si="9">B28-SUM(F28:Q28)</f>
        <v>0</v>
      </c>
      <c r="F28" s="225"/>
      <c r="G28" s="225"/>
      <c r="H28" s="225"/>
      <c r="I28" s="225"/>
      <c r="J28" s="225"/>
      <c r="K28" s="225"/>
      <c r="L28" s="225"/>
      <c r="M28" s="225"/>
      <c r="N28" s="225"/>
      <c r="O28" s="225"/>
      <c r="P28" s="225"/>
      <c r="Q28" s="225"/>
      <c r="R28" s="916">
        <f t="shared" ref="R28:R35" si="10">SUM(E28:Q28)</f>
        <v>0</v>
      </c>
      <c r="S28" s="225">
        <f>R28</f>
        <v>0</v>
      </c>
      <c r="T28" s="225"/>
      <c r="U28" s="221"/>
    </row>
    <row r="29" spans="1:21" s="222" customFormat="1">
      <c r="A29" s="223" t="s">
        <v>650</v>
      </c>
      <c r="B29" s="224">
        <f t="shared" si="8"/>
        <v>23500000</v>
      </c>
      <c r="C29" s="225">
        <v>23500000</v>
      </c>
      <c r="D29" s="225"/>
      <c r="E29" s="225">
        <f t="shared" si="9"/>
        <v>2291084</v>
      </c>
      <c r="F29" s="225">
        <f>Application!AG618</f>
        <v>3280500</v>
      </c>
      <c r="G29" s="225"/>
      <c r="H29" s="225"/>
      <c r="I29" s="225">
        <v>8926931</v>
      </c>
      <c r="J29" s="225">
        <v>4001485</v>
      </c>
      <c r="K29" s="225">
        <v>3000000</v>
      </c>
      <c r="L29" s="225">
        <v>2000000</v>
      </c>
      <c r="M29" s="225"/>
      <c r="N29" s="225"/>
      <c r="O29" s="225"/>
      <c r="P29" s="225"/>
      <c r="Q29" s="225"/>
      <c r="R29" s="916">
        <f t="shared" si="10"/>
        <v>23500000</v>
      </c>
      <c r="S29" s="225">
        <f t="shared" ref="S29:S34" si="11">R29</f>
        <v>23500000</v>
      </c>
      <c r="T29" s="225"/>
      <c r="U29" s="221"/>
    </row>
    <row r="30" spans="1:21" s="222" customFormat="1">
      <c r="A30" s="223" t="s">
        <v>651</v>
      </c>
      <c r="B30" s="224">
        <f t="shared" si="8"/>
        <v>881785</v>
      </c>
      <c r="C30" s="225">
        <v>881785</v>
      </c>
      <c r="D30" s="225"/>
      <c r="E30" s="225">
        <f t="shared" si="9"/>
        <v>881785</v>
      </c>
      <c r="F30" s="225"/>
      <c r="G30" s="225"/>
      <c r="H30" s="225"/>
      <c r="I30" s="225"/>
      <c r="J30" s="225"/>
      <c r="K30" s="225"/>
      <c r="L30" s="225"/>
      <c r="M30" s="225"/>
      <c r="N30" s="225"/>
      <c r="O30" s="225"/>
      <c r="P30" s="225"/>
      <c r="Q30" s="225"/>
      <c r="R30" s="916">
        <f t="shared" si="10"/>
        <v>881785</v>
      </c>
      <c r="S30" s="225">
        <f t="shared" si="11"/>
        <v>881785</v>
      </c>
      <c r="T30" s="225"/>
      <c r="U30" s="221"/>
    </row>
    <row r="31" spans="1:21" s="222" customFormat="1">
      <c r="A31" s="223" t="s">
        <v>144</v>
      </c>
      <c r="B31" s="224">
        <f t="shared" si="8"/>
        <v>925685</v>
      </c>
      <c r="C31" s="225">
        <v>925685</v>
      </c>
      <c r="D31" s="225"/>
      <c r="E31" s="225">
        <f t="shared" si="9"/>
        <v>925685</v>
      </c>
      <c r="F31" s="225"/>
      <c r="G31" s="225"/>
      <c r="H31" s="225"/>
      <c r="I31" s="225"/>
      <c r="J31" s="225"/>
      <c r="K31" s="225"/>
      <c r="L31" s="225"/>
      <c r="M31" s="225"/>
      <c r="N31" s="225"/>
      <c r="O31" s="225"/>
      <c r="P31" s="225"/>
      <c r="Q31" s="225"/>
      <c r="R31" s="916">
        <f t="shared" si="10"/>
        <v>925685</v>
      </c>
      <c r="S31" s="225">
        <f t="shared" si="11"/>
        <v>925685</v>
      </c>
      <c r="T31" s="225"/>
      <c r="U31" s="221"/>
    </row>
    <row r="32" spans="1:21" s="222" customFormat="1">
      <c r="A32" s="223" t="s">
        <v>145</v>
      </c>
      <c r="B32" s="224">
        <f t="shared" si="8"/>
        <v>925685</v>
      </c>
      <c r="C32" s="225">
        <v>925685</v>
      </c>
      <c r="D32" s="225"/>
      <c r="E32" s="225">
        <f t="shared" si="9"/>
        <v>925685</v>
      </c>
      <c r="F32" s="225"/>
      <c r="G32" s="225"/>
      <c r="H32" s="225"/>
      <c r="I32" s="225"/>
      <c r="J32" s="225"/>
      <c r="K32" s="225"/>
      <c r="L32" s="225"/>
      <c r="M32" s="225"/>
      <c r="N32" s="225"/>
      <c r="O32" s="225"/>
      <c r="P32" s="225"/>
      <c r="Q32" s="225"/>
      <c r="R32" s="916">
        <f t="shared" si="10"/>
        <v>925685</v>
      </c>
      <c r="S32" s="225">
        <f t="shared" si="11"/>
        <v>925685</v>
      </c>
      <c r="T32" s="225"/>
      <c r="U32" s="221"/>
    </row>
    <row r="33" spans="1:21" s="222" customFormat="1">
      <c r="A33" s="223" t="s">
        <v>146</v>
      </c>
      <c r="B33" s="224">
        <f t="shared" si="8"/>
        <v>0</v>
      </c>
      <c r="C33" s="225"/>
      <c r="D33" s="225"/>
      <c r="E33" s="225">
        <f t="shared" si="9"/>
        <v>0</v>
      </c>
      <c r="F33" s="225"/>
      <c r="G33" s="225"/>
      <c r="H33" s="22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8"/>
        <v>279270</v>
      </c>
      <c r="C34" s="225">
        <v>279270</v>
      </c>
      <c r="D34" s="225"/>
      <c r="E34" s="225">
        <f t="shared" si="9"/>
        <v>279270</v>
      </c>
      <c r="F34" s="225"/>
      <c r="G34" s="225"/>
      <c r="H34" s="225"/>
      <c r="I34" s="225"/>
      <c r="J34" s="225"/>
      <c r="K34" s="225"/>
      <c r="L34" s="225"/>
      <c r="M34" s="225"/>
      <c r="N34" s="225"/>
      <c r="O34" s="225"/>
      <c r="P34" s="225"/>
      <c r="Q34" s="225"/>
      <c r="R34" s="916">
        <f t="shared" si="10"/>
        <v>279270</v>
      </c>
      <c r="S34" s="225">
        <f t="shared" si="11"/>
        <v>279270</v>
      </c>
      <c r="T34" s="225"/>
      <c r="U34" s="221"/>
    </row>
    <row r="35" spans="1:21" s="222" customFormat="1">
      <c r="A35" s="955" t="s">
        <v>1742</v>
      </c>
      <c r="B35" s="224">
        <f t="shared" si="8"/>
        <v>1693848</v>
      </c>
      <c r="C35" s="225"/>
      <c r="D35" s="225">
        <v>1693848</v>
      </c>
      <c r="E35" s="225">
        <f t="shared" si="9"/>
        <v>1693848</v>
      </c>
      <c r="F35" s="225"/>
      <c r="G35" s="225"/>
      <c r="H35" s="225"/>
      <c r="I35" s="225"/>
      <c r="J35" s="225"/>
      <c r="K35" s="225"/>
      <c r="L35" s="225"/>
      <c r="M35" s="225"/>
      <c r="N35" s="225"/>
      <c r="O35" s="225"/>
      <c r="P35" s="225"/>
      <c r="Q35" s="225"/>
      <c r="R35" s="916">
        <f t="shared" si="10"/>
        <v>1693848</v>
      </c>
      <c r="S35" s="225"/>
      <c r="T35" s="225"/>
      <c r="U35" s="221"/>
    </row>
    <row r="36" spans="1:21" s="222" customFormat="1">
      <c r="A36" s="227" t="s">
        <v>150</v>
      </c>
      <c r="B36" s="224">
        <f t="shared" si="8"/>
        <v>28206273</v>
      </c>
      <c r="C36" s="224">
        <f>SUM(C28:C35)</f>
        <v>26512425</v>
      </c>
      <c r="D36" s="224">
        <f t="shared" ref="D36:Q36" si="12">SUM(D28:D35)</f>
        <v>1693848</v>
      </c>
      <c r="E36" s="224">
        <f t="shared" si="12"/>
        <v>6997357</v>
      </c>
      <c r="F36" s="224">
        <f t="shared" si="12"/>
        <v>3280500</v>
      </c>
      <c r="G36" s="224">
        <f t="shared" si="12"/>
        <v>0</v>
      </c>
      <c r="H36" s="224">
        <f t="shared" si="12"/>
        <v>0</v>
      </c>
      <c r="I36" s="224">
        <f t="shared" si="12"/>
        <v>8926931</v>
      </c>
      <c r="J36" s="224">
        <f t="shared" si="12"/>
        <v>4001485</v>
      </c>
      <c r="K36" s="224">
        <f t="shared" si="12"/>
        <v>3000000</v>
      </c>
      <c r="L36" s="224">
        <f t="shared" si="12"/>
        <v>2000000</v>
      </c>
      <c r="M36" s="224">
        <f t="shared" si="12"/>
        <v>0</v>
      </c>
      <c r="N36" s="224">
        <f t="shared" si="12"/>
        <v>0</v>
      </c>
      <c r="O36" s="224">
        <f t="shared" si="12"/>
        <v>0</v>
      </c>
      <c r="P36" s="224">
        <f t="shared" si="12"/>
        <v>0</v>
      </c>
      <c r="Q36" s="224">
        <f t="shared" si="12"/>
        <v>0</v>
      </c>
      <c r="R36" s="558">
        <f>SUM(R28:R35)</f>
        <v>28206273</v>
      </c>
      <c r="S36" s="228">
        <f>SUM(S28:S35)</f>
        <v>26512425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1790000</v>
      </c>
      <c r="C38" s="225">
        <v>1578780</v>
      </c>
      <c r="D38" s="225">
        <v>211220</v>
      </c>
      <c r="E38" s="225">
        <f t="shared" ref="E38:E52" si="13">B38-SUM(F38:Q38)</f>
        <v>790000</v>
      </c>
      <c r="F38" s="225"/>
      <c r="G38" s="225"/>
      <c r="H38" s="225"/>
      <c r="I38" s="225">
        <v>1000000</v>
      </c>
      <c r="J38" s="225"/>
      <c r="K38" s="225"/>
      <c r="L38" s="225"/>
      <c r="M38" s="225"/>
      <c r="N38" s="225"/>
      <c r="O38" s="225"/>
      <c r="P38" s="225"/>
      <c r="Q38" s="225"/>
      <c r="R38" s="916">
        <f>SUM(E38:Q38)</f>
        <v>1790000</v>
      </c>
      <c r="S38" s="225">
        <f>C38</f>
        <v>1578780</v>
      </c>
      <c r="T38" s="225"/>
      <c r="U38" s="221"/>
    </row>
    <row r="39" spans="1:21" s="222" customFormat="1">
      <c r="A39" s="223" t="s">
        <v>153</v>
      </c>
      <c r="B39" s="224">
        <f>SUM(C39+D39)</f>
        <v>0</v>
      </c>
      <c r="C39" s="225"/>
      <c r="D39" s="225"/>
      <c r="E39" s="225">
        <f t="shared" si="13"/>
        <v>0</v>
      </c>
      <c r="F39" s="225"/>
      <c r="G39" s="225"/>
      <c r="H39" s="225"/>
      <c r="I39" s="225"/>
      <c r="J39" s="225"/>
      <c r="K39" s="225"/>
      <c r="L39" s="225"/>
      <c r="M39" s="225"/>
      <c r="N39" s="225"/>
      <c r="O39" s="225"/>
      <c r="P39" s="225"/>
      <c r="Q39" s="225"/>
      <c r="R39" s="916">
        <f>SUM(E39:Q39)</f>
        <v>0</v>
      </c>
      <c r="S39" s="225">
        <f>C39</f>
        <v>0</v>
      </c>
      <c r="T39" s="225"/>
      <c r="U39" s="221"/>
    </row>
    <row r="40" spans="1:21" s="222" customFormat="1">
      <c r="A40" s="227" t="s">
        <v>154</v>
      </c>
      <c r="B40" s="224">
        <f>SUM(C40:D40)</f>
        <v>1790000</v>
      </c>
      <c r="C40" s="224">
        <f>SUM(C37:C39)</f>
        <v>1578780</v>
      </c>
      <c r="D40" s="224">
        <f>SUM(D37:D39)</f>
        <v>211220</v>
      </c>
      <c r="E40" s="224">
        <f t="shared" ref="E40:T40" si="14">SUM(E38:E39)</f>
        <v>790000</v>
      </c>
      <c r="F40" s="224">
        <f t="shared" si="14"/>
        <v>0</v>
      </c>
      <c r="G40" s="224">
        <f t="shared" si="14"/>
        <v>0</v>
      </c>
      <c r="H40" s="224">
        <f t="shared" si="14"/>
        <v>0</v>
      </c>
      <c r="I40" s="224">
        <f t="shared" si="14"/>
        <v>1000000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1790000</v>
      </c>
      <c r="S40" s="228">
        <f t="shared" si="14"/>
        <v>1578780</v>
      </c>
      <c r="T40" s="228">
        <f t="shared" si="14"/>
        <v>0</v>
      </c>
      <c r="U40" s="221"/>
    </row>
    <row r="41" spans="1:21" s="222" customFormat="1">
      <c r="A41" s="227" t="s">
        <v>155</v>
      </c>
      <c r="B41" s="224">
        <f>SUM(C41:D41)</f>
        <v>670245</v>
      </c>
      <c r="C41" s="225">
        <v>591156</v>
      </c>
      <c r="D41" s="225">
        <v>79089</v>
      </c>
      <c r="E41" s="225">
        <f t="shared" si="13"/>
        <v>370245</v>
      </c>
      <c r="F41" s="225"/>
      <c r="G41" s="225"/>
      <c r="H41" s="225"/>
      <c r="I41" s="225">
        <v>300000</v>
      </c>
      <c r="J41" s="225"/>
      <c r="K41" s="225"/>
      <c r="L41" s="225"/>
      <c r="M41" s="225"/>
      <c r="N41" s="225"/>
      <c r="O41" s="225"/>
      <c r="P41" s="225"/>
      <c r="Q41" s="225"/>
      <c r="R41" s="916">
        <f>SUM(E41:Q41)</f>
        <v>670245</v>
      </c>
      <c r="S41" s="225">
        <f>C41</f>
        <v>591156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1686121</v>
      </c>
      <c r="C43" s="225">
        <f>1168743+318415</f>
        <v>1487158</v>
      </c>
      <c r="D43" s="956">
        <f>156363+42600</f>
        <v>198963</v>
      </c>
      <c r="E43" s="225">
        <f t="shared" si="13"/>
        <v>1686121</v>
      </c>
      <c r="F43" s="225"/>
      <c r="G43" s="225"/>
      <c r="H43" s="225"/>
      <c r="I43" s="225"/>
      <c r="J43" s="225"/>
      <c r="K43" s="225"/>
      <c r="L43" s="225"/>
      <c r="M43" s="225"/>
      <c r="N43" s="225"/>
      <c r="O43" s="225"/>
      <c r="P43" s="225"/>
      <c r="Q43" s="225"/>
      <c r="R43" s="916">
        <f t="shared" ref="R43:R52" si="16">SUM(E43:Q43)</f>
        <v>1686121</v>
      </c>
      <c r="S43" s="225">
        <f>876558+238811.4</f>
        <v>1115369.3999999999</v>
      </c>
      <c r="T43" s="225"/>
      <c r="U43" s="221"/>
    </row>
    <row r="44" spans="1:21" s="222" customFormat="1">
      <c r="A44" s="223" t="s">
        <v>158</v>
      </c>
      <c r="B44" s="224">
        <f t="shared" si="15"/>
        <v>218572</v>
      </c>
      <c r="C44" s="225">
        <v>192781</v>
      </c>
      <c r="D44" s="225">
        <v>25791</v>
      </c>
      <c r="E44" s="225">
        <f t="shared" si="13"/>
        <v>218572</v>
      </c>
      <c r="F44" s="225"/>
      <c r="G44" s="225"/>
      <c r="H44" s="225"/>
      <c r="I44" s="225"/>
      <c r="J44" s="225"/>
      <c r="K44" s="225"/>
      <c r="L44" s="225"/>
      <c r="M44" s="225"/>
      <c r="N44" s="225"/>
      <c r="O44" s="225"/>
      <c r="P44" s="225"/>
      <c r="Q44" s="225"/>
      <c r="R44" s="916">
        <f t="shared" si="16"/>
        <v>218572</v>
      </c>
      <c r="S44" s="225">
        <f t="shared" ref="S44:S51" si="17">C44</f>
        <v>192781</v>
      </c>
      <c r="T44" s="225"/>
      <c r="U44" s="221"/>
    </row>
    <row r="45" spans="1:21" s="222" customFormat="1">
      <c r="A45" s="307" t="s">
        <v>159</v>
      </c>
      <c r="B45" s="224">
        <f t="shared" si="15"/>
        <v>0</v>
      </c>
      <c r="C45" s="225"/>
      <c r="D45" s="225"/>
      <c r="E45" s="225">
        <f t="shared" si="13"/>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5"/>
        <v>7000</v>
      </c>
      <c r="C46" s="225">
        <v>6174</v>
      </c>
      <c r="D46" s="225">
        <v>826</v>
      </c>
      <c r="E46" s="225">
        <f t="shared" si="13"/>
        <v>7000</v>
      </c>
      <c r="F46" s="225"/>
      <c r="G46" s="225"/>
      <c r="H46" s="225"/>
      <c r="I46" s="225"/>
      <c r="J46" s="225"/>
      <c r="K46" s="225"/>
      <c r="L46" s="225"/>
      <c r="M46" s="225"/>
      <c r="N46" s="225"/>
      <c r="O46" s="225"/>
      <c r="P46" s="225"/>
      <c r="Q46" s="225"/>
      <c r="R46" s="916">
        <f t="shared" si="16"/>
        <v>7000</v>
      </c>
      <c r="S46" s="225">
        <f t="shared" si="17"/>
        <v>6174</v>
      </c>
      <c r="T46" s="225"/>
      <c r="U46" s="221"/>
    </row>
    <row r="47" spans="1:21" s="222" customFormat="1">
      <c r="A47" s="223" t="s">
        <v>62</v>
      </c>
      <c r="B47" s="224">
        <f t="shared" si="15"/>
        <v>301218</v>
      </c>
      <c r="C47" s="225">
        <v>301218</v>
      </c>
      <c r="D47" s="225"/>
      <c r="E47" s="225">
        <f t="shared" si="13"/>
        <v>201217.6</v>
      </c>
      <c r="F47" s="225"/>
      <c r="G47" s="225"/>
      <c r="H47" s="225"/>
      <c r="I47" s="225"/>
      <c r="J47" s="225"/>
      <c r="K47" s="225"/>
      <c r="L47" s="225"/>
      <c r="M47" s="225"/>
      <c r="N47" s="225"/>
      <c r="O47" s="225">
        <f>Application!AG627</f>
        <v>100000.4</v>
      </c>
      <c r="P47" s="225"/>
      <c r="Q47" s="225"/>
      <c r="R47" s="916">
        <f t="shared" si="16"/>
        <v>301218</v>
      </c>
      <c r="S47" s="225"/>
      <c r="T47" s="225"/>
      <c r="U47" s="221"/>
    </row>
    <row r="48" spans="1:21" s="222" customFormat="1">
      <c r="A48" s="223" t="s">
        <v>163</v>
      </c>
      <c r="B48" s="224">
        <f t="shared" si="15"/>
        <v>65000</v>
      </c>
      <c r="C48" s="225">
        <v>57330</v>
      </c>
      <c r="D48" s="225">
        <v>7670</v>
      </c>
      <c r="E48" s="225">
        <f t="shared" si="13"/>
        <v>65000</v>
      </c>
      <c r="F48" s="225"/>
      <c r="G48" s="225"/>
      <c r="H48" s="225"/>
      <c r="I48" s="225"/>
      <c r="J48" s="225"/>
      <c r="K48" s="225"/>
      <c r="L48" s="225"/>
      <c r="M48" s="225"/>
      <c r="N48" s="225"/>
      <c r="O48" s="225"/>
      <c r="P48" s="225"/>
      <c r="Q48" s="225"/>
      <c r="R48" s="916">
        <f t="shared" si="16"/>
        <v>65000</v>
      </c>
      <c r="S48" s="225">
        <f t="shared" si="17"/>
        <v>57330</v>
      </c>
      <c r="T48" s="225"/>
      <c r="U48" s="221"/>
    </row>
    <row r="49" spans="1:21" s="222" customFormat="1">
      <c r="A49" s="457" t="s">
        <v>161</v>
      </c>
      <c r="B49" s="224">
        <f t="shared" si="15"/>
        <v>50000</v>
      </c>
      <c r="C49" s="225">
        <v>44100</v>
      </c>
      <c r="D49" s="225">
        <v>5900</v>
      </c>
      <c r="E49" s="225">
        <f t="shared" si="13"/>
        <v>50000</v>
      </c>
      <c r="F49" s="225"/>
      <c r="G49" s="225"/>
      <c r="H49" s="225"/>
      <c r="I49" s="225"/>
      <c r="J49" s="225"/>
      <c r="K49" s="225"/>
      <c r="L49" s="225"/>
      <c r="M49" s="225"/>
      <c r="N49" s="225"/>
      <c r="O49" s="225"/>
      <c r="P49" s="225"/>
      <c r="Q49" s="225"/>
      <c r="R49" s="916">
        <f t="shared" si="16"/>
        <v>50000</v>
      </c>
      <c r="S49" s="225">
        <f t="shared" si="17"/>
        <v>44100</v>
      </c>
      <c r="T49" s="225"/>
      <c r="U49" s="221"/>
    </row>
    <row r="50" spans="1:21" s="222" customFormat="1">
      <c r="A50" s="223" t="s">
        <v>162</v>
      </c>
      <c r="B50" s="224">
        <f t="shared" si="15"/>
        <v>222124</v>
      </c>
      <c r="C50" s="225">
        <v>195913</v>
      </c>
      <c r="D50" s="225">
        <v>26211</v>
      </c>
      <c r="E50" s="225">
        <f t="shared" si="13"/>
        <v>222124</v>
      </c>
      <c r="F50" s="225"/>
      <c r="G50" s="225"/>
      <c r="H50" s="225"/>
      <c r="I50" s="225"/>
      <c r="J50" s="225"/>
      <c r="K50" s="225"/>
      <c r="L50" s="225"/>
      <c r="M50" s="225"/>
      <c r="N50" s="225"/>
      <c r="O50" s="225"/>
      <c r="P50" s="225"/>
      <c r="Q50" s="225"/>
      <c r="R50" s="916">
        <f t="shared" si="16"/>
        <v>222124</v>
      </c>
      <c r="S50" s="225">
        <f t="shared" si="17"/>
        <v>195913</v>
      </c>
      <c r="T50" s="225"/>
      <c r="U50" s="221"/>
    </row>
    <row r="51" spans="1:21" s="222" customFormat="1" ht="24">
      <c r="A51" s="955" t="s">
        <v>1744</v>
      </c>
      <c r="B51" s="224">
        <f t="shared" si="15"/>
        <v>40000</v>
      </c>
      <c r="C51" s="225">
        <v>35280</v>
      </c>
      <c r="D51" s="225">
        <v>4720</v>
      </c>
      <c r="E51" s="225">
        <f t="shared" si="13"/>
        <v>40000</v>
      </c>
      <c r="F51" s="225"/>
      <c r="G51" s="225"/>
      <c r="H51" s="225"/>
      <c r="I51" s="225"/>
      <c r="J51" s="225"/>
      <c r="K51" s="225"/>
      <c r="L51" s="225"/>
      <c r="M51" s="225"/>
      <c r="N51" s="225"/>
      <c r="O51" s="225"/>
      <c r="P51" s="225"/>
      <c r="Q51" s="225"/>
      <c r="R51" s="916">
        <f t="shared" si="16"/>
        <v>40000</v>
      </c>
      <c r="S51" s="225">
        <f t="shared" si="17"/>
        <v>35280</v>
      </c>
      <c r="T51" s="225"/>
      <c r="U51" s="221"/>
    </row>
    <row r="52" spans="1:21" s="222" customFormat="1" ht="24">
      <c r="A52" s="955" t="s">
        <v>1792</v>
      </c>
      <c r="B52" s="224">
        <f t="shared" si="15"/>
        <v>107263</v>
      </c>
      <c r="C52" s="225">
        <v>107263</v>
      </c>
      <c r="D52" s="225"/>
      <c r="E52" s="225">
        <f t="shared" si="13"/>
        <v>-0.39999999999417923</v>
      </c>
      <c r="F52" s="225"/>
      <c r="G52" s="225">
        <f>Application!AG619</f>
        <v>107263.4</v>
      </c>
      <c r="H52" s="225"/>
      <c r="I52" s="225"/>
      <c r="J52" s="225"/>
      <c r="K52" s="225"/>
      <c r="L52" s="225"/>
      <c r="M52" s="225"/>
      <c r="N52" s="225"/>
      <c r="O52" s="225"/>
      <c r="P52" s="225"/>
      <c r="Q52" s="225"/>
      <c r="R52" s="916">
        <f t="shared" si="16"/>
        <v>107263</v>
      </c>
      <c r="S52" s="225">
        <v>80447.399999999994</v>
      </c>
      <c r="T52" s="225"/>
      <c r="U52" s="221"/>
    </row>
    <row r="53" spans="1:21" s="232" customFormat="1">
      <c r="A53" s="227" t="s">
        <v>164</v>
      </c>
      <c r="B53" s="228">
        <f>SUM(C53:D53)</f>
        <v>2697298</v>
      </c>
      <c r="C53" s="228">
        <f t="shared" ref="C53:T53" si="18">SUM(C43:C52)</f>
        <v>2427217</v>
      </c>
      <c r="D53" s="228">
        <f t="shared" si="18"/>
        <v>270081</v>
      </c>
      <c r="E53" s="228">
        <f t="shared" si="18"/>
        <v>2490034.2000000002</v>
      </c>
      <c r="F53" s="228">
        <f t="shared" si="18"/>
        <v>0</v>
      </c>
      <c r="G53" s="228">
        <f t="shared" si="18"/>
        <v>107263.4</v>
      </c>
      <c r="H53" s="228">
        <f t="shared" si="18"/>
        <v>0</v>
      </c>
      <c r="I53" s="228">
        <f t="shared" si="18"/>
        <v>0</v>
      </c>
      <c r="J53" s="228">
        <f t="shared" si="18"/>
        <v>0</v>
      </c>
      <c r="K53" s="228">
        <f t="shared" si="18"/>
        <v>0</v>
      </c>
      <c r="L53" s="228">
        <f t="shared" si="18"/>
        <v>0</v>
      </c>
      <c r="M53" s="228">
        <f t="shared" si="18"/>
        <v>0</v>
      </c>
      <c r="N53" s="228">
        <f t="shared" si="18"/>
        <v>0</v>
      </c>
      <c r="O53" s="228">
        <f t="shared" si="18"/>
        <v>100000.4</v>
      </c>
      <c r="P53" s="228">
        <f t="shared" si="18"/>
        <v>0</v>
      </c>
      <c r="Q53" s="228">
        <f t="shared" si="18"/>
        <v>0</v>
      </c>
      <c r="R53" s="558">
        <f>SUM(R43:R52)</f>
        <v>2697298</v>
      </c>
      <c r="S53" s="228">
        <f t="shared" si="18"/>
        <v>1727394.7999999998</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 t="shared" ref="E55:E61" si="20">B55-SUM(F55:Q55)</f>
        <v>0</v>
      </c>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0</v>
      </c>
      <c r="C57" s="225"/>
      <c r="D57" s="225"/>
      <c r="E57" s="225">
        <f t="shared" si="20"/>
        <v>0</v>
      </c>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955"/>
      <c r="B60" s="224">
        <f t="shared" si="19"/>
        <v>0</v>
      </c>
      <c r="C60" s="225"/>
      <c r="D60" s="225"/>
      <c r="E60" s="225">
        <f t="shared" si="20"/>
        <v>0</v>
      </c>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0</v>
      </c>
      <c r="C62" s="224">
        <f t="shared" ref="C62:Q62" si="22">SUM(C55:C61)</f>
        <v>0</v>
      </c>
      <c r="D62" s="224">
        <f t="shared" si="22"/>
        <v>0</v>
      </c>
      <c r="E62" s="224">
        <f t="shared" si="22"/>
        <v>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0</v>
      </c>
      <c r="S62" s="226"/>
      <c r="T62" s="226"/>
      <c r="U62" s="221"/>
    </row>
    <row r="63" spans="1:21" s="222" customFormat="1">
      <c r="A63" s="233" t="s">
        <v>321</v>
      </c>
      <c r="B63" s="224">
        <f>SUM(B8+B11+B13+B14+B15+B25+B26+B36+B40+B41+B53+B62)</f>
        <v>34679734.5</v>
      </c>
      <c r="C63" s="224">
        <f t="shared" ref="C63:Q63" si="23">SUM(C8+C11+C13+C14+C15+C25+C26+C36+C40+C41+C53+C62)</f>
        <v>32405673</v>
      </c>
      <c r="D63" s="224">
        <f t="shared" si="23"/>
        <v>2274061.5</v>
      </c>
      <c r="E63" s="224">
        <f t="shared" si="23"/>
        <v>11963554.699999999</v>
      </c>
      <c r="F63" s="224">
        <f t="shared" si="23"/>
        <v>3280500</v>
      </c>
      <c r="G63" s="224">
        <f t="shared" si="23"/>
        <v>107263.4</v>
      </c>
      <c r="H63" s="224">
        <f t="shared" si="23"/>
        <v>0</v>
      </c>
      <c r="I63" s="224">
        <f t="shared" si="23"/>
        <v>10226931</v>
      </c>
      <c r="J63" s="224">
        <f t="shared" si="23"/>
        <v>4001485</v>
      </c>
      <c r="K63" s="224">
        <f t="shared" si="23"/>
        <v>3000000</v>
      </c>
      <c r="L63" s="224">
        <f t="shared" si="23"/>
        <v>2000000</v>
      </c>
      <c r="M63" s="224">
        <f t="shared" si="23"/>
        <v>0</v>
      </c>
      <c r="N63" s="224">
        <f t="shared" si="23"/>
        <v>0</v>
      </c>
      <c r="O63" s="224">
        <f t="shared" si="23"/>
        <v>100000.4</v>
      </c>
      <c r="P63" s="224">
        <f t="shared" si="23"/>
        <v>0</v>
      </c>
      <c r="Q63" s="224">
        <f t="shared" si="23"/>
        <v>0</v>
      </c>
      <c r="R63" s="558">
        <f>SUM(R8+R11+R13+R14+R15+R25+R26+R36+R40+R41+R53+R62)</f>
        <v>34679734.5</v>
      </c>
      <c r="S63" s="224">
        <f>SUM(S10+S13+S14+S15+S25+S26+S36+S40+S41+S53)</f>
        <v>30409755.800000001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115000</v>
      </c>
      <c r="C65" s="225">
        <f>57330+44100</f>
        <v>101430</v>
      </c>
      <c r="D65" s="225">
        <f>7670+5900</f>
        <v>13570</v>
      </c>
      <c r="E65" s="225">
        <f t="shared" ref="E65:E66" si="24">B65-SUM(F65:Q65)</f>
        <v>115000</v>
      </c>
      <c r="F65" s="225"/>
      <c r="G65" s="225"/>
      <c r="H65" s="225"/>
      <c r="I65" s="225"/>
      <c r="J65" s="225"/>
      <c r="K65" s="225"/>
      <c r="L65" s="225"/>
      <c r="M65" s="225"/>
      <c r="N65" s="225"/>
      <c r="O65" s="225"/>
      <c r="P65" s="225"/>
      <c r="Q65" s="225"/>
      <c r="R65" s="916">
        <f>SUM(E65:Q65)</f>
        <v>115000</v>
      </c>
      <c r="S65" s="225">
        <f>C65</f>
        <v>101430</v>
      </c>
      <c r="T65" s="225"/>
      <c r="U65" s="221"/>
    </row>
    <row r="66" spans="1:21" s="222" customFormat="1">
      <c r="A66" s="955" t="s">
        <v>37</v>
      </c>
      <c r="B66" s="224">
        <f>SUM(C66+D66)</f>
        <v>0</v>
      </c>
      <c r="C66" s="225"/>
      <c r="D66" s="225"/>
      <c r="E66" s="225">
        <f t="shared" si="24"/>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115000</v>
      </c>
      <c r="C67" s="224">
        <f>SUM(C64:C66)</f>
        <v>101430</v>
      </c>
      <c r="D67" s="224">
        <f>SUM(D64:D66)</f>
        <v>13570</v>
      </c>
      <c r="E67" s="224">
        <f t="shared" ref="E67:T67" si="25">SUM(E65:E66)</f>
        <v>115000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115000</v>
      </c>
      <c r="S67" s="228">
        <f>SUM(S65:S66)</f>
        <v>101430</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6">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6"/>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206457</v>
      </c>
      <c r="C72" s="225">
        <v>206457</v>
      </c>
      <c r="D72" s="225"/>
      <c r="E72" s="225">
        <f t="shared" si="26"/>
        <v>206457</v>
      </c>
      <c r="F72" s="225"/>
      <c r="G72" s="225"/>
      <c r="H72" s="225"/>
      <c r="I72" s="225"/>
      <c r="J72" s="225"/>
      <c r="K72" s="225"/>
      <c r="L72" s="225"/>
      <c r="M72" s="225"/>
      <c r="N72" s="225"/>
      <c r="O72" s="225"/>
      <c r="P72" s="225"/>
      <c r="Q72" s="225"/>
      <c r="R72" s="916">
        <f>SUM(E72:Q72)</f>
        <v>206457</v>
      </c>
      <c r="S72" s="226"/>
      <c r="T72" s="226"/>
      <c r="U72" s="221"/>
    </row>
    <row r="73" spans="1:21" s="222" customFormat="1" ht="24">
      <c r="A73" s="955" t="s">
        <v>1816</v>
      </c>
      <c r="B73" s="224">
        <f>SUM(C73+D73)</f>
        <v>669646</v>
      </c>
      <c r="C73" s="225">
        <f>439606+230040</f>
        <v>669646</v>
      </c>
      <c r="D73" s="225"/>
      <c r="E73" s="225">
        <f t="shared" si="26"/>
        <v>669646</v>
      </c>
      <c r="F73" s="225"/>
      <c r="G73" s="225"/>
      <c r="H73" s="225"/>
      <c r="I73" s="225"/>
      <c r="J73" s="225"/>
      <c r="K73" s="225"/>
      <c r="L73" s="225"/>
      <c r="M73" s="225"/>
      <c r="N73" s="225"/>
      <c r="O73" s="225"/>
      <c r="P73" s="225"/>
      <c r="Q73" s="225"/>
      <c r="R73" s="916">
        <f>SUM(E73:Q73)</f>
        <v>669646</v>
      </c>
      <c r="S73" s="226"/>
      <c r="T73" s="226"/>
      <c r="U73" s="221"/>
    </row>
    <row r="74" spans="1:21" s="222" customFormat="1">
      <c r="A74" s="227" t="s">
        <v>657</v>
      </c>
      <c r="B74" s="224">
        <f>SUM(C74:D74)</f>
        <v>876103</v>
      </c>
      <c r="C74" s="224">
        <f>SUM(C69:C73)</f>
        <v>876103</v>
      </c>
      <c r="D74" s="224">
        <f>SUM(D69:D73)</f>
        <v>0</v>
      </c>
      <c r="E74" s="224">
        <f t="shared" ref="E74:Q74" si="27">SUM(E69:E73)</f>
        <v>876103</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876103</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1410314</v>
      </c>
      <c r="C76" s="225">
        <v>1410314</v>
      </c>
      <c r="D76" s="225"/>
      <c r="E76" s="225">
        <f t="shared" ref="E76:E77" si="28">B76-SUM(F76:Q76)</f>
        <v>1410314</v>
      </c>
      <c r="F76" s="225"/>
      <c r="G76" s="225"/>
      <c r="H76" s="225"/>
      <c r="I76" s="225"/>
      <c r="J76" s="225"/>
      <c r="K76" s="225"/>
      <c r="L76" s="225"/>
      <c r="M76" s="225"/>
      <c r="N76" s="225"/>
      <c r="O76" s="225"/>
      <c r="P76" s="225"/>
      <c r="Q76" s="225"/>
      <c r="R76" s="916">
        <f>SUM(E76:Q76)</f>
        <v>1410314</v>
      </c>
      <c r="S76" s="225">
        <f>C76</f>
        <v>1410314</v>
      </c>
      <c r="T76" s="225"/>
      <c r="U76" s="221"/>
    </row>
    <row r="77" spans="1:21" s="222" customFormat="1">
      <c r="A77" s="457" t="s">
        <v>63</v>
      </c>
      <c r="B77" s="224">
        <f>SUM(C77:D77)</f>
        <v>323762</v>
      </c>
      <c r="C77" s="225">
        <v>285558</v>
      </c>
      <c r="D77" s="225">
        <v>38204</v>
      </c>
      <c r="E77" s="225">
        <f t="shared" si="28"/>
        <v>323762</v>
      </c>
      <c r="F77" s="225"/>
      <c r="G77" s="225"/>
      <c r="H77" s="225"/>
      <c r="I77" s="225"/>
      <c r="J77" s="225"/>
      <c r="K77" s="225"/>
      <c r="L77" s="225"/>
      <c r="M77" s="225"/>
      <c r="N77" s="225"/>
      <c r="O77" s="225"/>
      <c r="P77" s="225"/>
      <c r="Q77" s="225"/>
      <c r="R77" s="916">
        <f>SUM(E77:Q77)</f>
        <v>323762</v>
      </c>
      <c r="S77" s="225">
        <f>C77</f>
        <v>285558</v>
      </c>
      <c r="T77" s="225"/>
      <c r="U77" s="221"/>
    </row>
    <row r="78" spans="1:21" s="222" customFormat="1">
      <c r="A78" s="227" t="s">
        <v>1468</v>
      </c>
      <c r="B78" s="224">
        <f>SUM(C78:D78)</f>
        <v>1734076</v>
      </c>
      <c r="C78" s="890">
        <f>SUM(C76:C77)</f>
        <v>1695872</v>
      </c>
      <c r="D78" s="890">
        <f t="shared" ref="D78:T78" si="29">SUM(D76:D77)</f>
        <v>38204</v>
      </c>
      <c r="E78" s="890">
        <f t="shared" si="29"/>
        <v>1734076</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1734076</v>
      </c>
      <c r="S78" s="890">
        <f t="shared" si="29"/>
        <v>1695872</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0">SUM(C80+D80)</f>
        <v>63410</v>
      </c>
      <c r="C80" s="225">
        <v>63410</v>
      </c>
      <c r="D80" s="225"/>
      <c r="E80" s="225">
        <f t="shared" ref="E80:E94" si="31">B80-SUM(F80:Q80)</f>
        <v>63410</v>
      </c>
      <c r="F80" s="225"/>
      <c r="G80" s="225"/>
      <c r="H80" s="225"/>
      <c r="I80" s="225"/>
      <c r="J80" s="225"/>
      <c r="K80" s="225"/>
      <c r="L80" s="225"/>
      <c r="M80" s="225"/>
      <c r="N80" s="225"/>
      <c r="O80" s="225"/>
      <c r="P80" s="225"/>
      <c r="Q80" s="225"/>
      <c r="R80" s="916">
        <f t="shared" ref="R80:R94" si="32">SUM(E80:Q80)</f>
        <v>63410</v>
      </c>
      <c r="S80" s="226"/>
      <c r="T80" s="226"/>
      <c r="U80" s="221"/>
    </row>
    <row r="81" spans="1:21" s="222" customFormat="1">
      <c r="A81" s="223" t="s">
        <v>846</v>
      </c>
      <c r="B81" s="224">
        <f t="shared" si="30"/>
        <v>15000</v>
      </c>
      <c r="C81" s="225">
        <v>13230</v>
      </c>
      <c r="D81" s="225">
        <v>1770</v>
      </c>
      <c r="E81" s="225">
        <f t="shared" si="31"/>
        <v>15000</v>
      </c>
      <c r="F81" s="225"/>
      <c r="G81" s="225"/>
      <c r="H81" s="225"/>
      <c r="I81" s="225"/>
      <c r="J81" s="225"/>
      <c r="K81" s="225"/>
      <c r="L81" s="225"/>
      <c r="M81" s="225"/>
      <c r="N81" s="225"/>
      <c r="O81" s="225"/>
      <c r="P81" s="225"/>
      <c r="Q81" s="225"/>
      <c r="R81" s="916">
        <f t="shared" si="32"/>
        <v>15000</v>
      </c>
      <c r="S81" s="225">
        <f>C81</f>
        <v>13230</v>
      </c>
      <c r="T81" s="225"/>
      <c r="U81" s="221"/>
    </row>
    <row r="82" spans="1:21" s="222" customFormat="1">
      <c r="A82" s="223" t="s">
        <v>847</v>
      </c>
      <c r="B82" s="224">
        <f t="shared" si="30"/>
        <v>1472848</v>
      </c>
      <c r="C82" s="225">
        <v>1299052</v>
      </c>
      <c r="D82" s="225">
        <v>173796</v>
      </c>
      <c r="E82" s="225">
        <f>B82-SUM(F82:Q82)</f>
        <v>428199.6</v>
      </c>
      <c r="F82" s="225"/>
      <c r="G82" s="225"/>
      <c r="H82" s="225">
        <f>Application!AG620</f>
        <v>444648.4</v>
      </c>
      <c r="I82" s="225">
        <v>600000</v>
      </c>
      <c r="J82" s="225"/>
      <c r="K82" s="225"/>
      <c r="L82" s="225"/>
      <c r="M82" s="225"/>
      <c r="N82" s="225"/>
      <c r="O82" s="225"/>
      <c r="P82" s="225"/>
      <c r="Q82" s="225"/>
      <c r="R82" s="916">
        <f t="shared" si="32"/>
        <v>1472848</v>
      </c>
      <c r="S82" s="225">
        <v>906872</v>
      </c>
      <c r="T82" s="225"/>
      <c r="U82" s="221"/>
    </row>
    <row r="83" spans="1:21" s="222" customFormat="1">
      <c r="A83" s="223" t="s">
        <v>848</v>
      </c>
      <c r="B83" s="224">
        <f t="shared" si="30"/>
        <v>250000</v>
      </c>
      <c r="C83" s="225">
        <v>220500</v>
      </c>
      <c r="D83" s="225">
        <v>29500</v>
      </c>
      <c r="E83" s="225">
        <f t="shared" si="31"/>
        <v>250000</v>
      </c>
      <c r="F83" s="225"/>
      <c r="G83" s="225"/>
      <c r="H83" s="225"/>
      <c r="I83" s="225"/>
      <c r="J83" s="225"/>
      <c r="K83" s="225"/>
      <c r="L83" s="225"/>
      <c r="M83" s="225"/>
      <c r="N83" s="225"/>
      <c r="O83" s="225"/>
      <c r="P83" s="225"/>
      <c r="Q83" s="225"/>
      <c r="R83" s="916">
        <f t="shared" si="32"/>
        <v>250000</v>
      </c>
      <c r="S83" s="225">
        <f>C83</f>
        <v>220500</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c r="A85" s="223" t="s">
        <v>850</v>
      </c>
      <c r="B85" s="224">
        <f t="shared" si="30"/>
        <v>75000</v>
      </c>
      <c r="C85" s="225">
        <v>75000</v>
      </c>
      <c r="D85" s="225"/>
      <c r="E85" s="225">
        <f t="shared" si="31"/>
        <v>75000</v>
      </c>
      <c r="F85" s="225"/>
      <c r="G85" s="225"/>
      <c r="H85" s="225"/>
      <c r="I85" s="225"/>
      <c r="J85" s="225"/>
      <c r="K85" s="225"/>
      <c r="L85" s="225"/>
      <c r="M85" s="225"/>
      <c r="N85" s="225"/>
      <c r="O85" s="225"/>
      <c r="P85" s="225"/>
      <c r="Q85" s="225"/>
      <c r="R85" s="916">
        <f t="shared" si="32"/>
        <v>75000</v>
      </c>
      <c r="S85" s="226"/>
      <c r="T85" s="226"/>
      <c r="U85" s="221"/>
    </row>
    <row r="86" spans="1:21" s="222" customFormat="1">
      <c r="A86" s="223" t="s">
        <v>851</v>
      </c>
      <c r="B86" s="224">
        <f t="shared" si="30"/>
        <v>88000</v>
      </c>
      <c r="C86" s="225">
        <v>88000</v>
      </c>
      <c r="D86" s="225"/>
      <c r="E86" s="225">
        <f t="shared" si="31"/>
        <v>88000</v>
      </c>
      <c r="F86" s="225"/>
      <c r="G86" s="225"/>
      <c r="H86" s="225"/>
      <c r="I86" s="225"/>
      <c r="J86" s="225"/>
      <c r="K86" s="225"/>
      <c r="L86" s="225"/>
      <c r="M86" s="225"/>
      <c r="N86" s="225"/>
      <c r="O86" s="225"/>
      <c r="P86" s="225"/>
      <c r="Q86" s="225"/>
      <c r="R86" s="916">
        <f t="shared" si="32"/>
        <v>88000</v>
      </c>
      <c r="S86" s="225">
        <f>C86</f>
        <v>88000</v>
      </c>
      <c r="T86" s="225"/>
      <c r="U86" s="221"/>
    </row>
    <row r="87" spans="1:21" s="222" customFormat="1">
      <c r="A87" s="223" t="s">
        <v>852</v>
      </c>
      <c r="B87" s="224">
        <f t="shared" si="30"/>
        <v>54500</v>
      </c>
      <c r="C87" s="225">
        <v>54500</v>
      </c>
      <c r="D87" s="225"/>
      <c r="E87" s="225">
        <f t="shared" si="31"/>
        <v>54500</v>
      </c>
      <c r="F87" s="225"/>
      <c r="G87" s="225"/>
      <c r="H87" s="225"/>
      <c r="I87" s="225"/>
      <c r="J87" s="225"/>
      <c r="K87" s="225"/>
      <c r="L87" s="225"/>
      <c r="M87" s="225"/>
      <c r="N87" s="225"/>
      <c r="O87" s="225"/>
      <c r="P87" s="225"/>
      <c r="Q87" s="225"/>
      <c r="R87" s="916">
        <f t="shared" si="32"/>
        <v>54500</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c r="A89" s="889" t="s">
        <v>1470</v>
      </c>
      <c r="B89" s="224">
        <f t="shared" si="30"/>
        <v>43000</v>
      </c>
      <c r="C89" s="225">
        <v>37926</v>
      </c>
      <c r="D89" s="225">
        <v>5074</v>
      </c>
      <c r="E89" s="225">
        <f>B89-SUM(F89:Q89)</f>
        <v>43000</v>
      </c>
      <c r="F89" s="225"/>
      <c r="G89" s="225"/>
      <c r="H89" s="225"/>
      <c r="I89" s="225"/>
      <c r="J89" s="225"/>
      <c r="K89" s="225"/>
      <c r="L89" s="225"/>
      <c r="M89" s="225"/>
      <c r="N89" s="225"/>
      <c r="O89" s="225"/>
      <c r="P89" s="225"/>
      <c r="Q89" s="225"/>
      <c r="R89" s="916">
        <f t="shared" si="32"/>
        <v>43000</v>
      </c>
      <c r="S89" s="225">
        <f>C89</f>
        <v>37926</v>
      </c>
      <c r="T89" s="225"/>
      <c r="U89" s="221"/>
    </row>
    <row r="90" spans="1:21" s="222" customFormat="1">
      <c r="A90" s="955" t="s">
        <v>1743</v>
      </c>
      <c r="B90" s="224">
        <f t="shared" si="30"/>
        <v>100000</v>
      </c>
      <c r="C90" s="225">
        <v>88200</v>
      </c>
      <c r="D90" s="225">
        <v>11800</v>
      </c>
      <c r="E90" s="225">
        <f t="shared" si="31"/>
        <v>100000</v>
      </c>
      <c r="F90" s="225"/>
      <c r="G90" s="225"/>
      <c r="H90" s="225"/>
      <c r="I90" s="225"/>
      <c r="J90" s="225"/>
      <c r="K90" s="225"/>
      <c r="L90" s="225"/>
      <c r="M90" s="225"/>
      <c r="N90" s="225"/>
      <c r="O90" s="225"/>
      <c r="P90" s="225"/>
      <c r="Q90" s="225"/>
      <c r="R90" s="916">
        <f t="shared" si="32"/>
        <v>100000</v>
      </c>
      <c r="S90" s="225">
        <f>C90</f>
        <v>88200</v>
      </c>
      <c r="T90" s="225"/>
      <c r="U90" s="221"/>
    </row>
    <row r="91" spans="1:21" s="222" customFormat="1">
      <c r="A91" s="955" t="s">
        <v>1814</v>
      </c>
      <c r="B91" s="224">
        <f t="shared" si="30"/>
        <v>275000</v>
      </c>
      <c r="C91" s="225">
        <v>242550</v>
      </c>
      <c r="D91" s="225">
        <v>32450</v>
      </c>
      <c r="E91" s="225">
        <f t="shared" si="31"/>
        <v>275000</v>
      </c>
      <c r="F91" s="225"/>
      <c r="G91" s="225"/>
      <c r="H91" s="225"/>
      <c r="I91" s="225"/>
      <c r="J91" s="225"/>
      <c r="K91" s="225"/>
      <c r="L91" s="225"/>
      <c r="M91" s="225"/>
      <c r="N91" s="225"/>
      <c r="O91" s="225"/>
      <c r="P91" s="225"/>
      <c r="Q91" s="225"/>
      <c r="R91" s="916">
        <f t="shared" si="32"/>
        <v>275000</v>
      </c>
      <c r="S91" s="225">
        <f>C91</f>
        <v>242550</v>
      </c>
      <c r="T91" s="225"/>
      <c r="U91" s="221"/>
    </row>
    <row r="92" spans="1:21" s="222" customFormat="1">
      <c r="A92" s="955" t="s">
        <v>1815</v>
      </c>
      <c r="B92" s="224">
        <f t="shared" si="30"/>
        <v>19860</v>
      </c>
      <c r="C92" s="225">
        <v>19860</v>
      </c>
      <c r="D92" s="225"/>
      <c r="E92" s="225">
        <f t="shared" si="31"/>
        <v>19860</v>
      </c>
      <c r="F92" s="225"/>
      <c r="G92" s="225"/>
      <c r="H92" s="225"/>
      <c r="I92" s="225"/>
      <c r="J92" s="225"/>
      <c r="K92" s="225"/>
      <c r="L92" s="225"/>
      <c r="M92" s="225"/>
      <c r="N92" s="225"/>
      <c r="O92" s="225"/>
      <c r="P92" s="225"/>
      <c r="Q92" s="225"/>
      <c r="R92" s="916">
        <f t="shared" si="32"/>
        <v>19860</v>
      </c>
      <c r="S92" s="225"/>
      <c r="T92" s="225"/>
      <c r="U92" s="221"/>
    </row>
    <row r="93" spans="1:21" s="222" customFormat="1">
      <c r="A93" s="230" t="s">
        <v>37</v>
      </c>
      <c r="B93" s="224">
        <f t="shared" si="30"/>
        <v>0</v>
      </c>
      <c r="C93" s="225"/>
      <c r="D93" s="225"/>
      <c r="E93" s="225">
        <f t="shared" si="31"/>
        <v>0</v>
      </c>
      <c r="F93" s="225"/>
      <c r="G93" s="225"/>
      <c r="H93" s="225"/>
      <c r="I93" s="225"/>
      <c r="J93" s="225"/>
      <c r="K93" s="225"/>
      <c r="L93" s="225"/>
      <c r="M93" s="225"/>
      <c r="N93" s="225"/>
      <c r="O93" s="225"/>
      <c r="P93" s="225"/>
      <c r="Q93" s="225"/>
      <c r="R93" s="916">
        <f t="shared" si="32"/>
        <v>0</v>
      </c>
      <c r="S93" s="225"/>
      <c r="T93" s="225"/>
      <c r="U93" s="221"/>
    </row>
    <row r="94" spans="1:21" s="222" customFormat="1">
      <c r="A94" s="230" t="s">
        <v>37</v>
      </c>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c r="A95" s="227" t="s">
        <v>853</v>
      </c>
      <c r="B95" s="224">
        <f>SUM(C95:D95)</f>
        <v>2456618</v>
      </c>
      <c r="C95" s="224">
        <f t="shared" ref="C95:Q95" si="33">SUM(C80:C94)</f>
        <v>2202228</v>
      </c>
      <c r="D95" s="224">
        <f t="shared" si="33"/>
        <v>254390</v>
      </c>
      <c r="E95" s="224">
        <f t="shared" si="33"/>
        <v>1411969.6</v>
      </c>
      <c r="F95" s="224">
        <f t="shared" si="33"/>
        <v>0</v>
      </c>
      <c r="G95" s="224">
        <f t="shared" si="33"/>
        <v>0</v>
      </c>
      <c r="H95" s="224">
        <f t="shared" si="33"/>
        <v>444648.4</v>
      </c>
      <c r="I95" s="224">
        <f t="shared" si="33"/>
        <v>600000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2456618</v>
      </c>
      <c r="S95" s="228">
        <f>SUM(S81:S84,S86:S94)</f>
        <v>1597278</v>
      </c>
      <c r="T95" s="224">
        <f>SUM(T81:T84,T86:T94)</f>
        <v>0</v>
      </c>
      <c r="U95" s="221"/>
    </row>
    <row r="96" spans="1:21" s="222" customFormat="1">
      <c r="A96" s="227" t="s">
        <v>854</v>
      </c>
      <c r="B96" s="224">
        <f>SUM(C96:D96)</f>
        <v>39861531.5</v>
      </c>
      <c r="C96" s="224">
        <f>SUM(C63+C67+C74+C78+C95)</f>
        <v>37281306</v>
      </c>
      <c r="D96" s="224">
        <f t="shared" ref="D96:R96" si="34">SUM(D63+D67+D74+D78+D95)</f>
        <v>2580225.5</v>
      </c>
      <c r="E96" s="224">
        <f t="shared" si="34"/>
        <v>16100703.299999999</v>
      </c>
      <c r="F96" s="224">
        <f t="shared" si="34"/>
        <v>3280500</v>
      </c>
      <c r="G96" s="224">
        <f t="shared" si="34"/>
        <v>107263.4</v>
      </c>
      <c r="H96" s="224">
        <f t="shared" si="34"/>
        <v>444648.4</v>
      </c>
      <c r="I96" s="224">
        <f t="shared" si="34"/>
        <v>10826931</v>
      </c>
      <c r="J96" s="224">
        <f t="shared" si="34"/>
        <v>4001485</v>
      </c>
      <c r="K96" s="224">
        <f t="shared" si="34"/>
        <v>3000000</v>
      </c>
      <c r="L96" s="224">
        <f t="shared" si="34"/>
        <v>2000000</v>
      </c>
      <c r="M96" s="224">
        <f t="shared" si="34"/>
        <v>0</v>
      </c>
      <c r="N96" s="224">
        <f t="shared" si="34"/>
        <v>0</v>
      </c>
      <c r="O96" s="224">
        <f t="shared" si="34"/>
        <v>100000.4</v>
      </c>
      <c r="P96" s="224">
        <f t="shared" si="34"/>
        <v>0</v>
      </c>
      <c r="Q96" s="224">
        <f t="shared" si="34"/>
        <v>0</v>
      </c>
      <c r="R96" s="224">
        <f t="shared" si="34"/>
        <v>39861531.5</v>
      </c>
      <c r="S96" s="224">
        <f>SUM(S63+S67+S78+S95)</f>
        <v>33804335.799999997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4538230</v>
      </c>
      <c r="C98" s="225">
        <v>4538230</v>
      </c>
      <c r="D98" s="225"/>
      <c r="E98" s="225">
        <f t="shared" ref="E98" si="36">B98-SUM(F98:Q98)</f>
        <v>2168175</v>
      </c>
      <c r="F98" s="225"/>
      <c r="G98" s="225"/>
      <c r="H98" s="225"/>
      <c r="I98" s="225"/>
      <c r="J98" s="225"/>
      <c r="K98" s="225"/>
      <c r="L98" s="225"/>
      <c r="M98" s="225">
        <f>Application!AG625</f>
        <v>1331825</v>
      </c>
      <c r="N98" s="225">
        <f>Application!AG626</f>
        <v>1038230</v>
      </c>
      <c r="O98" s="225"/>
      <c r="P98" s="225"/>
      <c r="Q98" s="225"/>
      <c r="R98" s="916">
        <f t="shared" ref="R98:R103" si="37">SUM(E98:Q98)</f>
        <v>4538230</v>
      </c>
      <c r="S98" s="225">
        <f>C98</f>
        <v>4538230</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7"/>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7"/>
        <v>0</v>
      </c>
      <c r="S101" s="225"/>
      <c r="T101" s="225"/>
      <c r="U101" s="221"/>
    </row>
    <row r="102" spans="1:21" s="222" customFormat="1">
      <c r="A102" s="457" t="s">
        <v>1128</v>
      </c>
      <c r="B102" s="224">
        <f t="shared" si="35"/>
        <v>0</v>
      </c>
      <c r="C102" s="225"/>
      <c r="D102" s="225"/>
      <c r="E102" s="225"/>
      <c r="F102" s="225"/>
      <c r="G102" s="225"/>
      <c r="H102" s="225"/>
      <c r="I102" s="225"/>
      <c r="J102" s="225"/>
      <c r="K102" s="225"/>
      <c r="L102" s="225"/>
      <c r="M102" s="225"/>
      <c r="N102" s="225"/>
      <c r="O102" s="225"/>
      <c r="P102" s="225"/>
      <c r="Q102" s="225"/>
      <c r="R102" s="916">
        <f t="shared" si="37"/>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7"/>
        <v>0</v>
      </c>
      <c r="S103" s="225"/>
      <c r="T103" s="225"/>
      <c r="U103" s="221"/>
    </row>
    <row r="104" spans="1:21" s="222" customFormat="1">
      <c r="A104" s="227" t="s">
        <v>861</v>
      </c>
      <c r="B104" s="224">
        <f>SUM(C104:D104)</f>
        <v>4538230</v>
      </c>
      <c r="C104" s="224">
        <f t="shared" ref="C104:T104" si="38">SUM(C98:C103)</f>
        <v>4538230</v>
      </c>
      <c r="D104" s="224">
        <f t="shared" si="38"/>
        <v>0</v>
      </c>
      <c r="E104" s="224">
        <f t="shared" si="38"/>
        <v>2168175</v>
      </c>
      <c r="F104" s="224">
        <f t="shared" si="38"/>
        <v>0</v>
      </c>
      <c r="G104" s="224">
        <f t="shared" si="38"/>
        <v>0</v>
      </c>
      <c r="H104" s="224">
        <f t="shared" si="38"/>
        <v>0</v>
      </c>
      <c r="I104" s="224">
        <f t="shared" si="38"/>
        <v>0</v>
      </c>
      <c r="J104" s="224">
        <f t="shared" si="38"/>
        <v>0</v>
      </c>
      <c r="K104" s="224">
        <f t="shared" si="38"/>
        <v>0</v>
      </c>
      <c r="L104" s="224">
        <f t="shared" si="38"/>
        <v>0</v>
      </c>
      <c r="M104" s="224">
        <f t="shared" si="38"/>
        <v>1331825</v>
      </c>
      <c r="N104" s="224">
        <f t="shared" si="38"/>
        <v>1038230</v>
      </c>
      <c r="O104" s="224">
        <f t="shared" si="38"/>
        <v>0</v>
      </c>
      <c r="P104" s="224">
        <f t="shared" si="38"/>
        <v>0</v>
      </c>
      <c r="Q104" s="224">
        <f t="shared" si="38"/>
        <v>0</v>
      </c>
      <c r="R104" s="558">
        <f>SUM(R98:R103)</f>
        <v>4538230</v>
      </c>
      <c r="S104" s="228">
        <f t="shared" si="38"/>
        <v>4538230</v>
      </c>
      <c r="T104" s="228">
        <f t="shared" si="38"/>
        <v>0</v>
      </c>
      <c r="U104" s="221"/>
    </row>
    <row r="105" spans="1:21" s="222" customFormat="1">
      <c r="A105" s="227" t="s">
        <v>862</v>
      </c>
      <c r="B105" s="228">
        <f>SUM(C105:D105)</f>
        <v>44399761.5</v>
      </c>
      <c r="C105" s="228">
        <f t="shared" ref="C105:R105" si="39">SUM(C96+C104)</f>
        <v>41819536</v>
      </c>
      <c r="D105" s="228">
        <f t="shared" si="39"/>
        <v>2580225.5</v>
      </c>
      <c r="E105" s="228">
        <f t="shared" si="39"/>
        <v>18268878.299999997</v>
      </c>
      <c r="F105" s="228">
        <f t="shared" si="39"/>
        <v>3280500</v>
      </c>
      <c r="G105" s="228">
        <f t="shared" si="39"/>
        <v>107263.4</v>
      </c>
      <c r="H105" s="228">
        <f t="shared" si="39"/>
        <v>444648.4</v>
      </c>
      <c r="I105" s="228">
        <f t="shared" si="39"/>
        <v>10826931</v>
      </c>
      <c r="J105" s="228">
        <f t="shared" si="39"/>
        <v>4001485</v>
      </c>
      <c r="K105" s="228">
        <f t="shared" si="39"/>
        <v>3000000</v>
      </c>
      <c r="L105" s="228">
        <f t="shared" si="39"/>
        <v>2000000</v>
      </c>
      <c r="M105" s="228">
        <f t="shared" si="39"/>
        <v>1331825</v>
      </c>
      <c r="N105" s="228">
        <f t="shared" si="39"/>
        <v>1038230</v>
      </c>
      <c r="O105" s="228">
        <f t="shared" si="39"/>
        <v>100000.4</v>
      </c>
      <c r="P105" s="228">
        <f t="shared" si="39"/>
        <v>0</v>
      </c>
      <c r="Q105" s="228">
        <f t="shared" si="39"/>
        <v>0</v>
      </c>
      <c r="R105" s="558">
        <f t="shared" si="39"/>
        <v>44399761.5</v>
      </c>
      <c r="S105" s="228">
        <f>S96+S104</f>
        <v>38342565.799999997</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38342565.799999997</v>
      </c>
      <c r="T107" s="242">
        <f>T105+T106</f>
        <v>0</v>
      </c>
    </row>
    <row r="108" spans="1:21" s="310" customFormat="1">
      <c r="A108" s="241" t="s">
        <v>974</v>
      </c>
      <c r="B108" s="236"/>
      <c r="C108" s="236"/>
      <c r="D108" s="236"/>
      <c r="E108" s="481">
        <f>Application!AG631</f>
        <v>18268878.300000001</v>
      </c>
      <c r="F108" s="481">
        <f>Application!AG618</f>
        <v>3280500</v>
      </c>
      <c r="G108" s="481">
        <f>Application!AG619</f>
        <v>107263.4</v>
      </c>
      <c r="H108" s="481">
        <f>Application!AG620</f>
        <v>444648.4</v>
      </c>
      <c r="I108" s="481">
        <f>Application!AG621</f>
        <v>10826931</v>
      </c>
      <c r="J108" s="481">
        <f>Application!AG622</f>
        <v>4001485</v>
      </c>
      <c r="K108" s="481">
        <f>Application!AG623</f>
        <v>3000000</v>
      </c>
      <c r="L108" s="481">
        <f>Application!AG624</f>
        <v>2000000</v>
      </c>
      <c r="M108" s="481">
        <f>Application!AG625</f>
        <v>1331825</v>
      </c>
      <c r="N108" s="481">
        <f>Application!AG626</f>
        <v>1038230</v>
      </c>
      <c r="O108" s="481">
        <f>Application!AG627</f>
        <v>100000.4</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1" t="s">
        <v>1134</v>
      </c>
      <c r="E122" s="1601"/>
      <c r="F122" s="160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1" t="s">
        <v>1492</v>
      </c>
      <c r="E123" s="1592"/>
      <c r="F123" s="1592"/>
      <c r="G123" s="1592"/>
      <c r="H123" s="1592"/>
      <c r="I123" s="1592"/>
      <c r="J123" s="1592"/>
      <c r="K123" s="1592"/>
      <c r="L123" s="1592"/>
      <c r="M123" s="1592"/>
      <c r="N123" s="1592"/>
      <c r="O123" s="1592"/>
      <c r="P123" s="1592"/>
      <c r="Q123" s="1592"/>
      <c r="R123" s="1592"/>
      <c r="S123" s="1592"/>
      <c r="T123" s="535"/>
      <c r="U123" s="537"/>
    </row>
    <row r="124" spans="1:21" ht="12.75">
      <c r="A124" s="534" t="s">
        <v>1136</v>
      </c>
      <c r="B124" s="544"/>
      <c r="C124" s="534"/>
      <c r="D124" s="1592"/>
      <c r="E124" s="1592"/>
      <c r="F124" s="1592"/>
      <c r="G124" s="1592"/>
      <c r="H124" s="1592"/>
      <c r="I124" s="1592"/>
      <c r="J124" s="1592"/>
      <c r="K124" s="1592"/>
      <c r="L124" s="1592"/>
      <c r="M124" s="1592"/>
      <c r="N124" s="1592"/>
      <c r="O124" s="1592"/>
      <c r="P124" s="1592"/>
      <c r="Q124" s="1592"/>
      <c r="R124" s="1592"/>
      <c r="S124" s="1592"/>
      <c r="T124" s="535"/>
      <c r="U124" s="537"/>
    </row>
    <row r="125" spans="1:21" ht="12.75">
      <c r="A125" s="534" t="s">
        <v>1137</v>
      </c>
      <c r="B125" s="544"/>
      <c r="C125" s="534"/>
      <c r="D125" s="1592"/>
      <c r="E125" s="1592"/>
      <c r="F125" s="1592"/>
      <c r="G125" s="1592"/>
      <c r="H125" s="1592"/>
      <c r="I125" s="1592"/>
      <c r="J125" s="1592"/>
      <c r="K125" s="1592"/>
      <c r="L125" s="1592"/>
      <c r="M125" s="1592"/>
      <c r="N125" s="1592"/>
      <c r="O125" s="1592"/>
      <c r="P125" s="1592"/>
      <c r="Q125" s="1592"/>
      <c r="R125" s="1592"/>
      <c r="S125" s="1592"/>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9"/>
      <c r="E128" s="1599"/>
      <c r="F128" s="1599"/>
      <c r="G128" s="1599"/>
      <c r="H128" s="1599"/>
      <c r="I128" s="534"/>
      <c r="J128" s="1590"/>
      <c r="K128" s="1590"/>
      <c r="L128" s="534"/>
      <c r="M128" s="534"/>
      <c r="N128" s="534"/>
      <c r="O128" s="534"/>
      <c r="P128" s="534"/>
      <c r="Q128" s="534"/>
      <c r="R128" s="534"/>
      <c r="S128" s="534"/>
      <c r="T128" s="535"/>
      <c r="U128" s="537"/>
    </row>
    <row r="129" spans="1:21" ht="12.75">
      <c r="A129" s="534" t="s">
        <v>319</v>
      </c>
      <c r="B129" s="544"/>
      <c r="C129" s="534"/>
      <c r="D129" s="1600" t="s">
        <v>1141</v>
      </c>
      <c r="E129" s="1600"/>
      <c r="F129" s="1600"/>
      <c r="G129" s="1600"/>
      <c r="H129" s="160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3" t="s">
        <v>1144</v>
      </c>
      <c r="E132" s="1593"/>
      <c r="F132" s="1593"/>
      <c r="G132" s="1593"/>
      <c r="H132" s="1593"/>
      <c r="I132" s="534"/>
      <c r="J132" s="1593" t="s">
        <v>1145</v>
      </c>
      <c r="K132" s="1593"/>
      <c r="L132" s="1593"/>
      <c r="M132" s="159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v>0.55189999999999995</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4"/>
      <c r="B138" s="1595"/>
      <c r="C138" s="1595"/>
      <c r="D138" s="539"/>
      <c r="E138" s="1590"/>
      <c r="F138" s="1590"/>
      <c r="G138" s="534"/>
      <c r="H138" s="534"/>
      <c r="I138" s="534"/>
      <c r="J138" s="534"/>
      <c r="K138" s="534"/>
      <c r="L138" s="534"/>
      <c r="M138" s="534"/>
      <c r="N138" s="534"/>
      <c r="O138" s="534"/>
      <c r="P138" s="534"/>
      <c r="Q138" s="534"/>
      <c r="R138" s="534"/>
      <c r="S138" s="534"/>
      <c r="T138" s="541"/>
      <c r="U138" s="542"/>
    </row>
    <row r="139" spans="1:21" ht="12.75">
      <c r="A139" s="1588" t="s">
        <v>1148</v>
      </c>
      <c r="B139" s="1589"/>
      <c r="C139" s="158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47" stopIfTrue="1">
      <formula>T9&gt;C9</formula>
    </cfRule>
  </conditionalFormatting>
  <conditionalFormatting sqref="S10">
    <cfRule type="expression" dxfId="127" priority="246" stopIfTrue="1">
      <formula>(S10+T10)&gt;C10</formula>
    </cfRule>
  </conditionalFormatting>
  <conditionalFormatting sqref="R8">
    <cfRule type="cellIs" dxfId="126" priority="235" stopIfTrue="1" operator="notEqual">
      <formula>$B8</formula>
    </cfRule>
    <cfRule type="cellIs" priority="238" stopIfTrue="1" operator="notEqual">
      <formula>$B8</formula>
    </cfRule>
  </conditionalFormatting>
  <conditionalFormatting sqref="R4:R7">
    <cfRule type="cellIs" dxfId="125" priority="237" stopIfTrue="1" operator="notEqual">
      <formula>$B4</formula>
    </cfRule>
  </conditionalFormatting>
  <conditionalFormatting sqref="R9:R10">
    <cfRule type="cellIs" dxfId="124" priority="236" stopIfTrue="1" operator="notEqual">
      <formula>$B9</formula>
    </cfRule>
  </conditionalFormatting>
  <conditionalFormatting sqref="R11:R12">
    <cfRule type="cellIs" dxfId="123" priority="233" stopIfTrue="1" operator="notEqual">
      <formula>$B11</formula>
    </cfRule>
    <cfRule type="cellIs" priority="234" stopIfTrue="1" operator="notEqual">
      <formula>$B11</formula>
    </cfRule>
  </conditionalFormatting>
  <conditionalFormatting sqref="R13:R15">
    <cfRule type="cellIs" dxfId="122" priority="232" stopIfTrue="1" operator="notEqual">
      <formula>$B13</formula>
    </cfRule>
  </conditionalFormatting>
  <conditionalFormatting sqref="R25">
    <cfRule type="cellIs" dxfId="121" priority="230" stopIfTrue="1" operator="notEqual">
      <formula>$B25</formula>
    </cfRule>
    <cfRule type="cellIs" priority="231" stopIfTrue="1" operator="notEqual">
      <formula>$B25</formula>
    </cfRule>
  </conditionalFormatting>
  <conditionalFormatting sqref="R17:R24">
    <cfRule type="cellIs" dxfId="120" priority="229" stopIfTrue="1" operator="notEqual">
      <formula>$B17</formula>
    </cfRule>
  </conditionalFormatting>
  <conditionalFormatting sqref="R26">
    <cfRule type="cellIs" dxfId="119" priority="228" stopIfTrue="1" operator="notEqual">
      <formula>$B26</formula>
    </cfRule>
  </conditionalFormatting>
  <conditionalFormatting sqref="R36">
    <cfRule type="cellIs" dxfId="118" priority="226" stopIfTrue="1" operator="notEqual">
      <formula>$B36</formula>
    </cfRule>
    <cfRule type="cellIs" priority="227" stopIfTrue="1" operator="notEqual">
      <formula>$B36</formula>
    </cfRule>
  </conditionalFormatting>
  <conditionalFormatting sqref="R28:R35">
    <cfRule type="cellIs" dxfId="117" priority="225" stopIfTrue="1" operator="notEqual">
      <formula>$B28</formula>
    </cfRule>
  </conditionalFormatting>
  <conditionalFormatting sqref="R40">
    <cfRule type="cellIs" dxfId="116" priority="223" stopIfTrue="1" operator="notEqual">
      <formula>$B40</formula>
    </cfRule>
    <cfRule type="cellIs" priority="224" stopIfTrue="1" operator="notEqual">
      <formula>$B40</formula>
    </cfRule>
  </conditionalFormatting>
  <conditionalFormatting sqref="R38:R39">
    <cfRule type="cellIs" dxfId="115" priority="222" stopIfTrue="1" operator="notEqual">
      <formula>$B38</formula>
    </cfRule>
  </conditionalFormatting>
  <conditionalFormatting sqref="R41">
    <cfRule type="cellIs" dxfId="114" priority="221" stopIfTrue="1" operator="notEqual">
      <formula>$B41</formula>
    </cfRule>
  </conditionalFormatting>
  <conditionalFormatting sqref="R53">
    <cfRule type="cellIs" dxfId="113" priority="219" stopIfTrue="1" operator="notEqual">
      <formula>$B53</formula>
    </cfRule>
    <cfRule type="cellIs" priority="220" stopIfTrue="1" operator="notEqual">
      <formula>$B53</formula>
    </cfRule>
  </conditionalFormatting>
  <conditionalFormatting sqref="R43:R52">
    <cfRule type="cellIs" dxfId="112" priority="218" stopIfTrue="1" operator="notEqual">
      <formula>$B43</formula>
    </cfRule>
  </conditionalFormatting>
  <conditionalFormatting sqref="R62:R63">
    <cfRule type="cellIs" dxfId="111" priority="216" stopIfTrue="1" operator="notEqual">
      <formula>$B62</formula>
    </cfRule>
    <cfRule type="cellIs" priority="217" stopIfTrue="1" operator="notEqual">
      <formula>$B62</formula>
    </cfRule>
  </conditionalFormatting>
  <conditionalFormatting sqref="R55:R61">
    <cfRule type="cellIs" dxfId="110" priority="215" stopIfTrue="1" operator="notEqual">
      <formula>$B55</formula>
    </cfRule>
  </conditionalFormatting>
  <conditionalFormatting sqref="R67">
    <cfRule type="cellIs" dxfId="109" priority="213" stopIfTrue="1" operator="notEqual">
      <formula>$B67</formula>
    </cfRule>
    <cfRule type="cellIs" priority="214" stopIfTrue="1" operator="notEqual">
      <formula>$B67</formula>
    </cfRule>
  </conditionalFormatting>
  <conditionalFormatting sqref="R65:R66">
    <cfRule type="cellIs" dxfId="108" priority="212" stopIfTrue="1" operator="notEqual">
      <formula>$B65</formula>
    </cfRule>
  </conditionalFormatting>
  <conditionalFormatting sqref="R74">
    <cfRule type="cellIs" dxfId="107" priority="210" stopIfTrue="1" operator="notEqual">
      <formula>$B74</formula>
    </cfRule>
    <cfRule type="cellIs" priority="211" stopIfTrue="1" operator="notEqual">
      <formula>$B74</formula>
    </cfRule>
  </conditionalFormatting>
  <conditionalFormatting sqref="R95">
    <cfRule type="cellIs" dxfId="106" priority="208" stopIfTrue="1" operator="notEqual">
      <formula>$B95</formula>
    </cfRule>
    <cfRule type="cellIs" priority="209" stopIfTrue="1" operator="notEqual">
      <formula>$B95</formula>
    </cfRule>
  </conditionalFormatting>
  <conditionalFormatting sqref="R69:R73">
    <cfRule type="cellIs" dxfId="105" priority="207" stopIfTrue="1" operator="notEqual">
      <formula>$B69</formula>
    </cfRule>
  </conditionalFormatting>
  <conditionalFormatting sqref="R76:R77">
    <cfRule type="cellIs" dxfId="104" priority="206" stopIfTrue="1" operator="notEqual">
      <formula>$B76</formula>
    </cfRule>
  </conditionalFormatting>
  <conditionalFormatting sqref="R80:R94">
    <cfRule type="cellIs" dxfId="103" priority="205" stopIfTrue="1" operator="notEqual">
      <formula>$B80</formula>
    </cfRule>
  </conditionalFormatting>
  <conditionalFormatting sqref="R104:R105">
    <cfRule type="cellIs" dxfId="102" priority="203" stopIfTrue="1" operator="notEqual">
      <formula>$B104</formula>
    </cfRule>
    <cfRule type="cellIs" priority="204" stopIfTrue="1" operator="notEqual">
      <formula>$B104</formula>
    </cfRule>
  </conditionalFormatting>
  <conditionalFormatting sqref="R98:R103">
    <cfRule type="cellIs" dxfId="101" priority="202" stopIfTrue="1" operator="notEqual">
      <formula>$B98</formula>
    </cfRule>
  </conditionalFormatting>
  <conditionalFormatting sqref="E105:Q105">
    <cfRule type="cellIs" dxfId="100" priority="201" stopIfTrue="1" operator="notEqual">
      <formula>E$108</formula>
    </cfRule>
  </conditionalFormatting>
  <conditionalFormatting sqref="S13">
    <cfRule type="expression" dxfId="99" priority="198" stopIfTrue="1">
      <formula>(S13+T13)&gt;C13</formula>
    </cfRule>
  </conditionalFormatting>
  <conditionalFormatting sqref="S14">
    <cfRule type="expression" dxfId="98" priority="195" stopIfTrue="1">
      <formula>(S14+T14)&gt;C14</formula>
    </cfRule>
  </conditionalFormatting>
  <conditionalFormatting sqref="S17">
    <cfRule type="expression" dxfId="97" priority="194" stopIfTrue="1">
      <formula>(S17+T17)&gt;C17</formula>
    </cfRule>
  </conditionalFormatting>
  <conditionalFormatting sqref="S18">
    <cfRule type="expression" dxfId="96" priority="186" stopIfTrue="1">
      <formula>(S18+T18)&gt;C18</formula>
    </cfRule>
  </conditionalFormatting>
  <conditionalFormatting sqref="S19">
    <cfRule type="expression" dxfId="95" priority="184" stopIfTrue="1">
      <formula>(S19+T19)&gt;C19</formula>
    </cfRule>
  </conditionalFormatting>
  <conditionalFormatting sqref="S20">
    <cfRule type="expression" dxfId="94" priority="183" stopIfTrue="1">
      <formula>(S20+T20)&gt;C20</formula>
    </cfRule>
  </conditionalFormatting>
  <conditionalFormatting sqref="S21">
    <cfRule type="expression" dxfId="93" priority="182" stopIfTrue="1">
      <formula>(S21+T21)&gt;C21</formula>
    </cfRule>
  </conditionalFormatting>
  <conditionalFormatting sqref="S22">
    <cfRule type="expression" dxfId="92" priority="181" stopIfTrue="1">
      <formula>(S22+T22)&gt;C22</formula>
    </cfRule>
  </conditionalFormatting>
  <conditionalFormatting sqref="S23">
    <cfRule type="expression" dxfId="91" priority="180" stopIfTrue="1">
      <formula>(S23+T23)&gt;C23</formula>
    </cfRule>
  </conditionalFormatting>
  <conditionalFormatting sqref="S24">
    <cfRule type="expression" dxfId="90" priority="179" stopIfTrue="1">
      <formula>(S24+T24)&gt;C24</formula>
    </cfRule>
  </conditionalFormatting>
  <conditionalFormatting sqref="S26">
    <cfRule type="expression" dxfId="89" priority="172" stopIfTrue="1">
      <formula>(S26+T26)&gt;C26</formula>
    </cfRule>
  </conditionalFormatting>
  <conditionalFormatting sqref="S28:S34">
    <cfRule type="expression" dxfId="88" priority="170" stopIfTrue="1">
      <formula>(S28+T28)&gt;C28</formula>
    </cfRule>
  </conditionalFormatting>
  <conditionalFormatting sqref="S35">
    <cfRule type="expression" dxfId="87" priority="162" stopIfTrue="1">
      <formula>(S35+T35)&gt;C35</formula>
    </cfRule>
  </conditionalFormatting>
  <conditionalFormatting sqref="S38:S39">
    <cfRule type="expression" dxfId="86" priority="154" stopIfTrue="1">
      <formula>(S38+T38)&gt;C38</formula>
    </cfRule>
  </conditionalFormatting>
  <conditionalFormatting sqref="S43:S51">
    <cfRule type="expression" dxfId="85" priority="148" stopIfTrue="1">
      <formula>(S43+T43)&gt;C43</formula>
    </cfRule>
  </conditionalFormatting>
  <conditionalFormatting sqref="S52">
    <cfRule type="expression" dxfId="84" priority="135" stopIfTrue="1">
      <formula>(S52+T52)&gt;C52</formula>
    </cfRule>
  </conditionalFormatting>
  <conditionalFormatting sqref="S65">
    <cfRule type="expression" dxfId="83" priority="125" stopIfTrue="1">
      <formula>(S65+T65)&gt;C65</formula>
    </cfRule>
  </conditionalFormatting>
  <conditionalFormatting sqref="S66">
    <cfRule type="expression" dxfId="82" priority="124" stopIfTrue="1">
      <formula>(S66+T66)&gt;C66</formula>
    </cfRule>
  </conditionalFormatting>
  <conditionalFormatting sqref="S76:S77">
    <cfRule type="expression" dxfId="81" priority="121" stopIfTrue="1">
      <formula>(S76+T76)&gt;C76</formula>
    </cfRule>
  </conditionalFormatting>
  <conditionalFormatting sqref="S81">
    <cfRule type="expression" dxfId="80" priority="117" stopIfTrue="1">
      <formula>(S81+T81)&gt;C81</formula>
    </cfRule>
  </conditionalFormatting>
  <conditionalFormatting sqref="S82">
    <cfRule type="expression" dxfId="79" priority="116" stopIfTrue="1">
      <formula>(S82+T82)&gt;C82</formula>
    </cfRule>
  </conditionalFormatting>
  <conditionalFormatting sqref="S83">
    <cfRule type="expression" dxfId="78" priority="115" stopIfTrue="1">
      <formula>(S83+T83)&gt;C83</formula>
    </cfRule>
  </conditionalFormatting>
  <conditionalFormatting sqref="S84">
    <cfRule type="expression" dxfId="77" priority="114" stopIfTrue="1">
      <formula>(S84+T84)&gt;C84</formula>
    </cfRule>
  </conditionalFormatting>
  <conditionalFormatting sqref="S86">
    <cfRule type="expression" dxfId="76" priority="109" stopIfTrue="1">
      <formula>(S86+T86)&gt;C86</formula>
    </cfRule>
  </conditionalFormatting>
  <conditionalFormatting sqref="S87">
    <cfRule type="expression" dxfId="75" priority="108" stopIfTrue="1">
      <formula>(S87+T87)&gt;C87</formula>
    </cfRule>
  </conditionalFormatting>
  <conditionalFormatting sqref="S88">
    <cfRule type="expression" dxfId="74" priority="107" stopIfTrue="1">
      <formula>(S88+T88)&gt;C88</formula>
    </cfRule>
  </conditionalFormatting>
  <conditionalFormatting sqref="S89">
    <cfRule type="expression" dxfId="73" priority="106" stopIfTrue="1">
      <formula>(S89+T89)&gt;C89</formula>
    </cfRule>
  </conditionalFormatting>
  <conditionalFormatting sqref="S90:S92">
    <cfRule type="expression" dxfId="72" priority="105" stopIfTrue="1">
      <formula>(S90+T90)&gt;C90</formula>
    </cfRule>
  </conditionalFormatting>
  <conditionalFormatting sqref="S93">
    <cfRule type="expression" dxfId="71" priority="102" stopIfTrue="1">
      <formula>(S93+T93)&gt;C93</formula>
    </cfRule>
  </conditionalFormatting>
  <conditionalFormatting sqref="S94">
    <cfRule type="expression" dxfId="70" priority="101" stopIfTrue="1">
      <formula>(S94+T94)&gt;C94</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110" zoomScaleNormal="110" zoomScaleSheetLayoutView="100" workbookViewId="0">
      <selection activeCell="E10" sqref="E1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1495</v>
      </c>
      <c r="B1" s="1609"/>
      <c r="C1" s="1609"/>
      <c r="D1" s="1609"/>
      <c r="E1" s="1609"/>
      <c r="F1" s="1609"/>
      <c r="G1" s="1609"/>
      <c r="H1" s="1609"/>
      <c r="I1" s="1609"/>
      <c r="J1" s="161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907749</v>
      </c>
      <c r="C4" s="590">
        <f>+B4</f>
        <v>907749</v>
      </c>
      <c r="D4" s="590"/>
      <c r="E4" s="591"/>
      <c r="F4" s="591"/>
      <c r="G4" s="591"/>
      <c r="H4" s="591"/>
      <c r="I4" s="591"/>
      <c r="J4" s="591"/>
      <c r="K4" s="587"/>
    </row>
    <row r="5" spans="1:11" s="588" customFormat="1">
      <c r="A5" s="592" t="s">
        <v>31</v>
      </c>
      <c r="B5" s="589">
        <f>'Sources and Uses Budget'!C5</f>
        <v>240170</v>
      </c>
      <c r="C5" s="590">
        <f t="shared" ref="C5:C7" si="0">+B5</f>
        <v>240170</v>
      </c>
      <c r="D5" s="590"/>
      <c r="E5" s="591"/>
      <c r="F5" s="591"/>
      <c r="G5" s="591"/>
      <c r="H5" s="591"/>
      <c r="I5" s="591"/>
      <c r="J5" s="591"/>
      <c r="K5" s="587"/>
    </row>
    <row r="6" spans="1:11" s="588" customFormat="1">
      <c r="A6" s="592" t="s">
        <v>32</v>
      </c>
      <c r="B6" s="589">
        <f>'Sources and Uses Budget'!C6</f>
        <v>0</v>
      </c>
      <c r="C6" s="590">
        <f t="shared" si="0"/>
        <v>0</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1147919</v>
      </c>
      <c r="C8" s="589">
        <f>SUM(C4:C7)</f>
        <v>1147919</v>
      </c>
      <c r="D8" s="589">
        <f>SUM(D4:D7)</f>
        <v>0</v>
      </c>
      <c r="E8" s="591"/>
      <c r="F8" s="591"/>
      <c r="G8" s="591"/>
      <c r="H8" s="591"/>
      <c r="I8" s="591"/>
      <c r="J8" s="591"/>
      <c r="K8" s="587"/>
    </row>
    <row r="9" spans="1:11" s="588" customFormat="1">
      <c r="A9" s="592" t="s">
        <v>645</v>
      </c>
      <c r="B9" s="589">
        <f>'Sources and Uses Budget'!C9</f>
        <v>0</v>
      </c>
      <c r="C9" s="590">
        <f>+B9</f>
        <v>0</v>
      </c>
      <c r="D9" s="590"/>
      <c r="E9" s="591"/>
      <c r="F9" s="591"/>
      <c r="G9" s="591"/>
      <c r="H9" s="589">
        <f>'Sources and Uses Budget'!T9</f>
        <v>0</v>
      </c>
      <c r="I9" s="590"/>
      <c r="J9" s="590"/>
      <c r="K9" s="587"/>
    </row>
    <row r="10" spans="1:11" s="588" customFormat="1">
      <c r="A10" s="592" t="s">
        <v>646</v>
      </c>
      <c r="B10" s="589">
        <f>'Sources and Uses Budget'!C10</f>
        <v>0</v>
      </c>
      <c r="C10" s="590">
        <f>+B10</f>
        <v>0</v>
      </c>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1147919</v>
      </c>
      <c r="C12" s="589">
        <f>SUM(C8+C11)</f>
        <v>1147919</v>
      </c>
      <c r="D12" s="589">
        <f>SUM(D8+D11)</f>
        <v>0</v>
      </c>
      <c r="E12" s="591"/>
      <c r="F12" s="591"/>
      <c r="G12" s="591"/>
      <c r="H12" s="591"/>
      <c r="I12" s="591"/>
      <c r="J12" s="591"/>
      <c r="K12" s="587"/>
    </row>
    <row r="13" spans="1:11" s="588" customFormat="1">
      <c r="A13" s="594" t="s">
        <v>1001</v>
      </c>
      <c r="B13" s="589">
        <f>'Sources and Uses Budget'!C13</f>
        <v>148176</v>
      </c>
      <c r="C13" s="590">
        <f>+B13</f>
        <v>148176</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f t="shared" ref="C14:C15" si="1">+B14</f>
        <v>0</v>
      </c>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f t="shared" si="1"/>
        <v>0</v>
      </c>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f>B28</f>
        <v>0</v>
      </c>
      <c r="D28" s="590"/>
      <c r="E28" s="589">
        <f>'Sources and Uses Budget'!S28</f>
        <v>0</v>
      </c>
      <c r="F28" s="590"/>
      <c r="G28" s="590"/>
      <c r="H28" s="589">
        <f>'Sources and Uses Budget'!T28</f>
        <v>0</v>
      </c>
      <c r="I28" s="590"/>
      <c r="J28" s="590"/>
      <c r="K28" s="587"/>
    </row>
    <row r="29" spans="1:11" s="588" customFormat="1">
      <c r="A29" s="223" t="s">
        <v>650</v>
      </c>
      <c r="B29" s="589">
        <f>'Sources and Uses Budget'!C29</f>
        <v>23500000</v>
      </c>
      <c r="C29" s="590">
        <f>+B29</f>
        <v>23500000</v>
      </c>
      <c r="D29" s="590"/>
      <c r="E29" s="589">
        <f>'Sources and Uses Budget'!S29</f>
        <v>23500000</v>
      </c>
      <c r="F29" s="590"/>
      <c r="G29" s="590"/>
      <c r="H29" s="589">
        <f>'Sources and Uses Budget'!T29</f>
        <v>0</v>
      </c>
      <c r="I29" s="590"/>
      <c r="J29" s="590"/>
      <c r="K29" s="587"/>
    </row>
    <row r="30" spans="1:11" s="588" customFormat="1">
      <c r="A30" s="223" t="s">
        <v>651</v>
      </c>
      <c r="B30" s="589">
        <f>'Sources and Uses Budget'!C30</f>
        <v>881785</v>
      </c>
      <c r="C30" s="590">
        <f>+B30</f>
        <v>881785</v>
      </c>
      <c r="D30" s="590"/>
      <c r="E30" s="589">
        <f>'Sources and Uses Budget'!S30</f>
        <v>881785</v>
      </c>
      <c r="F30" s="590"/>
      <c r="G30" s="590"/>
      <c r="H30" s="589">
        <f>'Sources and Uses Budget'!T30</f>
        <v>0</v>
      </c>
      <c r="I30" s="590"/>
      <c r="J30" s="590"/>
      <c r="K30" s="587"/>
    </row>
    <row r="31" spans="1:11" s="588" customFormat="1">
      <c r="A31" s="223" t="s">
        <v>144</v>
      </c>
      <c r="B31" s="589">
        <f>'Sources and Uses Budget'!C31</f>
        <v>925685</v>
      </c>
      <c r="C31" s="590">
        <f>+B31</f>
        <v>925685</v>
      </c>
      <c r="D31" s="590"/>
      <c r="E31" s="589">
        <f>'Sources and Uses Budget'!S31</f>
        <v>925685</v>
      </c>
      <c r="F31" s="590"/>
      <c r="G31" s="590"/>
      <c r="H31" s="589">
        <f>'Sources and Uses Budget'!T31</f>
        <v>0</v>
      </c>
      <c r="I31" s="590"/>
      <c r="J31" s="590"/>
      <c r="K31" s="587"/>
    </row>
    <row r="32" spans="1:11" s="588" customFormat="1">
      <c r="A32" s="223" t="s">
        <v>145</v>
      </c>
      <c r="B32" s="589">
        <f>'Sources and Uses Budget'!C32</f>
        <v>925685</v>
      </c>
      <c r="C32" s="590">
        <f>+B32</f>
        <v>925685</v>
      </c>
      <c r="D32" s="590"/>
      <c r="E32" s="589">
        <f>'Sources and Uses Budget'!S32</f>
        <v>925685</v>
      </c>
      <c r="F32" s="590"/>
      <c r="G32" s="590"/>
      <c r="H32" s="589">
        <f>'Sources and Uses Budget'!T32</f>
        <v>0</v>
      </c>
      <c r="I32" s="590"/>
      <c r="J32" s="590"/>
      <c r="K32" s="587"/>
    </row>
    <row r="33" spans="1:11" s="588" customFormat="1">
      <c r="A33" s="223" t="s">
        <v>146</v>
      </c>
      <c r="B33" s="589">
        <f>'Sources and Uses Budget'!C33</f>
        <v>0</v>
      </c>
      <c r="C33" s="590">
        <f t="shared" ref="C33:C35" si="2">+B33</f>
        <v>0</v>
      </c>
      <c r="D33" s="590"/>
      <c r="E33" s="589">
        <f>'Sources and Uses Budget'!S33</f>
        <v>0</v>
      </c>
      <c r="F33" s="590"/>
      <c r="G33" s="590"/>
      <c r="H33" s="589">
        <f>'Sources and Uses Budget'!T33</f>
        <v>0</v>
      </c>
      <c r="I33" s="590"/>
      <c r="J33" s="590"/>
      <c r="K33" s="587"/>
    </row>
    <row r="34" spans="1:11" s="588" customFormat="1">
      <c r="A34" s="223" t="s">
        <v>147</v>
      </c>
      <c r="B34" s="589">
        <f>'Sources and Uses Budget'!C34</f>
        <v>279270</v>
      </c>
      <c r="C34" s="590">
        <f t="shared" si="2"/>
        <v>279270</v>
      </c>
      <c r="D34" s="590"/>
      <c r="E34" s="589">
        <f>'Sources and Uses Budget'!S34</f>
        <v>279270</v>
      </c>
      <c r="F34" s="590"/>
      <c r="G34" s="590"/>
      <c r="H34" s="589">
        <f>'Sources and Uses Budget'!T34</f>
        <v>0</v>
      </c>
      <c r="I34" s="590"/>
      <c r="J34" s="590"/>
      <c r="K34" s="587"/>
    </row>
    <row r="35" spans="1:11" s="588" customFormat="1">
      <c r="A35" s="595" t="str">
        <f>'Sources and Uses Budget'!$A35</f>
        <v>Other: Commercial TI/Parking</v>
      </c>
      <c r="B35" s="589">
        <f>'Sources and Uses Budget'!C35</f>
        <v>0</v>
      </c>
      <c r="C35" s="590">
        <f t="shared" si="2"/>
        <v>0</v>
      </c>
      <c r="D35" s="590"/>
      <c r="E35" s="589">
        <f>'Sources and Uses Budget'!S35</f>
        <v>0</v>
      </c>
      <c r="F35" s="590"/>
      <c r="G35" s="590"/>
      <c r="H35" s="589">
        <f>'Sources and Uses Budget'!T35</f>
        <v>0</v>
      </c>
      <c r="I35" s="590"/>
      <c r="J35" s="590"/>
      <c r="K35" s="587"/>
    </row>
    <row r="36" spans="1:11" s="588" customFormat="1">
      <c r="A36" s="597" t="s">
        <v>150</v>
      </c>
      <c r="B36" s="589">
        <f>'Sources and Uses Budget'!C36</f>
        <v>26512425</v>
      </c>
      <c r="C36" s="589">
        <f>SUM(C28:C35)</f>
        <v>26512425</v>
      </c>
      <c r="D36" s="589">
        <f>SUM(D28:D35)</f>
        <v>0</v>
      </c>
      <c r="E36" s="589">
        <f>'Sources and Uses Budget'!S36</f>
        <v>26512425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1578780</v>
      </c>
      <c r="C38" s="590">
        <f>+B38</f>
        <v>1578780</v>
      </c>
      <c r="D38" s="590"/>
      <c r="E38" s="589">
        <f>'Sources and Uses Budget'!S38</f>
        <v>1578780</v>
      </c>
      <c r="F38" s="590"/>
      <c r="G38" s="590"/>
      <c r="H38" s="589">
        <f>'Sources and Uses Budget'!T38</f>
        <v>0</v>
      </c>
      <c r="I38" s="590"/>
      <c r="J38" s="590"/>
      <c r="K38" s="587"/>
    </row>
    <row r="39" spans="1:11" s="588" customFormat="1">
      <c r="A39" s="592" t="s">
        <v>153</v>
      </c>
      <c r="B39" s="589">
        <f>'Sources and Uses Budget'!C39</f>
        <v>0</v>
      </c>
      <c r="C39" s="590">
        <f>+B39</f>
        <v>0</v>
      </c>
      <c r="D39" s="590"/>
      <c r="E39" s="589">
        <f>'Sources and Uses Budget'!S39</f>
        <v>0</v>
      </c>
      <c r="F39" s="590"/>
      <c r="G39" s="590"/>
      <c r="H39" s="589">
        <f>'Sources and Uses Budget'!T39</f>
        <v>0</v>
      </c>
      <c r="I39" s="590"/>
      <c r="J39" s="590"/>
      <c r="K39" s="587"/>
    </row>
    <row r="40" spans="1:11" s="588" customFormat="1">
      <c r="A40" s="593" t="s">
        <v>154</v>
      </c>
      <c r="B40" s="589">
        <f>'Sources and Uses Budget'!C40</f>
        <v>1578780</v>
      </c>
      <c r="C40" s="589">
        <f>SUM(C37:C39)</f>
        <v>1578780</v>
      </c>
      <c r="D40" s="589">
        <f>SUM(D37:D39)</f>
        <v>0</v>
      </c>
      <c r="E40" s="589">
        <f>'Sources and Uses Budget'!S40</f>
        <v>1578780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591156</v>
      </c>
      <c r="C41" s="590">
        <f>+B41</f>
        <v>591156</v>
      </c>
      <c r="D41" s="590"/>
      <c r="E41" s="589">
        <f>'Sources and Uses Budget'!S41</f>
        <v>591156</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1487158</v>
      </c>
      <c r="C43" s="590">
        <f>+B43</f>
        <v>1487158</v>
      </c>
      <c r="D43" s="590"/>
      <c r="E43" s="589">
        <f>'Sources and Uses Budget'!S43</f>
        <v>1115369.3999999999</v>
      </c>
      <c r="F43" s="590"/>
      <c r="G43" s="590"/>
      <c r="H43" s="589">
        <f>'Sources and Uses Budget'!T43</f>
        <v>0</v>
      </c>
      <c r="I43" s="590"/>
      <c r="J43" s="590"/>
      <c r="K43" s="587"/>
    </row>
    <row r="44" spans="1:11" s="588" customFormat="1">
      <c r="A44" s="592" t="s">
        <v>158</v>
      </c>
      <c r="B44" s="589">
        <f>'Sources and Uses Budget'!C44</f>
        <v>192781</v>
      </c>
      <c r="C44" s="590">
        <f t="shared" ref="C44:C52" si="3">+B44</f>
        <v>192781</v>
      </c>
      <c r="D44" s="590"/>
      <c r="E44" s="589">
        <f>'Sources and Uses Budget'!S44</f>
        <v>192781</v>
      </c>
      <c r="F44" s="590"/>
      <c r="G44" s="590"/>
      <c r="H44" s="589">
        <f>'Sources and Uses Budget'!T44</f>
        <v>0</v>
      </c>
      <c r="I44" s="590"/>
      <c r="J44" s="590"/>
      <c r="K44" s="587"/>
    </row>
    <row r="45" spans="1:11" s="588" customFormat="1" ht="12" customHeight="1">
      <c r="A45" s="592" t="s">
        <v>159</v>
      </c>
      <c r="B45" s="589">
        <f>'Sources and Uses Budget'!C45</f>
        <v>0</v>
      </c>
      <c r="C45" s="590">
        <f t="shared" si="3"/>
        <v>0</v>
      </c>
      <c r="D45" s="590"/>
      <c r="E45" s="589">
        <f>'Sources and Uses Budget'!S45</f>
        <v>0</v>
      </c>
      <c r="F45" s="590"/>
      <c r="G45" s="590"/>
      <c r="H45" s="589">
        <f>'Sources and Uses Budget'!T45</f>
        <v>0</v>
      </c>
      <c r="I45" s="590"/>
      <c r="J45" s="590"/>
      <c r="K45" s="587"/>
    </row>
    <row r="46" spans="1:11" s="588" customFormat="1">
      <c r="A46" s="592" t="s">
        <v>160</v>
      </c>
      <c r="B46" s="589">
        <f>'Sources and Uses Budget'!C46</f>
        <v>6174</v>
      </c>
      <c r="C46" s="590">
        <f t="shared" si="3"/>
        <v>6174</v>
      </c>
      <c r="D46" s="590"/>
      <c r="E46" s="589">
        <f>'Sources and Uses Budget'!S46</f>
        <v>6174</v>
      </c>
      <c r="F46" s="590"/>
      <c r="G46" s="590"/>
      <c r="H46" s="589">
        <f>'Sources and Uses Budget'!T46</f>
        <v>0</v>
      </c>
      <c r="I46" s="590"/>
      <c r="J46" s="590"/>
      <c r="K46" s="587"/>
    </row>
    <row r="47" spans="1:11" s="588" customFormat="1">
      <c r="A47" s="457" t="s">
        <v>62</v>
      </c>
      <c r="B47" s="589">
        <f>'Sources and Uses Budget'!C47</f>
        <v>301218</v>
      </c>
      <c r="C47" s="590">
        <f t="shared" si="3"/>
        <v>301218</v>
      </c>
      <c r="D47" s="590"/>
      <c r="E47" s="589">
        <f>'Sources and Uses Budget'!S47</f>
        <v>0</v>
      </c>
      <c r="F47" s="590"/>
      <c r="G47" s="590"/>
      <c r="H47" s="589">
        <f>'Sources and Uses Budget'!T47</f>
        <v>0</v>
      </c>
      <c r="I47" s="590"/>
      <c r="J47" s="590"/>
      <c r="K47" s="587"/>
    </row>
    <row r="48" spans="1:11" s="588" customFormat="1">
      <c r="A48" s="592" t="s">
        <v>163</v>
      </c>
      <c r="B48" s="589">
        <f>'Sources and Uses Budget'!C48</f>
        <v>57330</v>
      </c>
      <c r="C48" s="590">
        <f t="shared" si="3"/>
        <v>57330</v>
      </c>
      <c r="D48" s="590"/>
      <c r="E48" s="589">
        <f>'Sources and Uses Budget'!S48</f>
        <v>57330</v>
      </c>
      <c r="F48" s="590"/>
      <c r="G48" s="590"/>
      <c r="H48" s="589">
        <f>'Sources and Uses Budget'!T48</f>
        <v>0</v>
      </c>
      <c r="I48" s="590"/>
      <c r="J48" s="590"/>
      <c r="K48" s="587"/>
    </row>
    <row r="49" spans="1:11" s="588" customFormat="1">
      <c r="A49" s="592" t="s">
        <v>161</v>
      </c>
      <c r="B49" s="589">
        <f>'Sources and Uses Budget'!C49</f>
        <v>44100</v>
      </c>
      <c r="C49" s="590">
        <f t="shared" si="3"/>
        <v>44100</v>
      </c>
      <c r="D49" s="590"/>
      <c r="E49" s="589">
        <f>'Sources and Uses Budget'!S49</f>
        <v>44100</v>
      </c>
      <c r="F49" s="590"/>
      <c r="G49" s="590"/>
      <c r="H49" s="589">
        <f>'Sources and Uses Budget'!T49</f>
        <v>0</v>
      </c>
      <c r="I49" s="590"/>
      <c r="J49" s="590"/>
      <c r="K49" s="587"/>
    </row>
    <row r="50" spans="1:11" s="588" customFormat="1">
      <c r="A50" s="592" t="s">
        <v>162</v>
      </c>
      <c r="B50" s="589">
        <f>'Sources and Uses Budget'!C50</f>
        <v>195913</v>
      </c>
      <c r="C50" s="590">
        <f t="shared" si="3"/>
        <v>195913</v>
      </c>
      <c r="D50" s="590"/>
      <c r="E50" s="589">
        <f>'Sources and Uses Budget'!S50</f>
        <v>195913</v>
      </c>
      <c r="F50" s="590"/>
      <c r="G50" s="590"/>
      <c r="H50" s="589">
        <f>'Sources and Uses Budget'!T50</f>
        <v>0</v>
      </c>
      <c r="I50" s="590"/>
      <c r="J50" s="590"/>
      <c r="K50" s="587"/>
    </row>
    <row r="51" spans="1:11" s="588" customFormat="1">
      <c r="A51" s="595">
        <f>'Sources and Uses Budget'!$A60</f>
        <v>0</v>
      </c>
      <c r="B51" s="589">
        <f>'Sources and Uses Budget'!C51</f>
        <v>35280</v>
      </c>
      <c r="C51" s="590">
        <f t="shared" si="3"/>
        <v>35280</v>
      </c>
      <c r="D51" s="590"/>
      <c r="E51" s="589">
        <f>'Sources and Uses Budget'!S51</f>
        <v>35280</v>
      </c>
      <c r="F51" s="590"/>
      <c r="G51" s="590"/>
      <c r="H51" s="589">
        <f>'Sources and Uses Budget'!T51</f>
        <v>0</v>
      </c>
      <c r="I51" s="590"/>
      <c r="J51" s="590"/>
      <c r="K51" s="587"/>
    </row>
    <row r="52" spans="1:11" s="588" customFormat="1">
      <c r="A52" s="595" t="str">
        <f>'Sources and Uses Budget'!$A61</f>
        <v>Other: (Specify)</v>
      </c>
      <c r="B52" s="589">
        <f>'Sources and Uses Budget'!C52</f>
        <v>107263</v>
      </c>
      <c r="C52" s="590">
        <f t="shared" si="3"/>
        <v>107263</v>
      </c>
      <c r="D52" s="590"/>
      <c r="E52" s="589">
        <f>'Sources and Uses Budget'!S52</f>
        <v>80447.399999999994</v>
      </c>
      <c r="F52" s="590"/>
      <c r="G52" s="590"/>
      <c r="H52" s="589">
        <f>'Sources and Uses Budget'!T52</f>
        <v>0</v>
      </c>
      <c r="I52" s="590"/>
      <c r="J52" s="590"/>
      <c r="K52" s="587"/>
    </row>
    <row r="53" spans="1:11" s="599" customFormat="1">
      <c r="A53" s="593" t="s">
        <v>164</v>
      </c>
      <c r="B53" s="589">
        <f>'Sources and Uses Budget'!C53</f>
        <v>2427217</v>
      </c>
      <c r="C53" s="596">
        <f>SUM(C43:C52)</f>
        <v>2427217</v>
      </c>
      <c r="D53" s="596">
        <f>SUM(D43:D52)</f>
        <v>0</v>
      </c>
      <c r="E53" s="589">
        <f>'Sources and Uses Budget'!S53</f>
        <v>1727394.7999999998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f>B55</f>
        <v>0</v>
      </c>
      <c r="D55" s="590"/>
      <c r="E55" s="591"/>
      <c r="F55" s="591"/>
      <c r="G55" s="591"/>
      <c r="H55" s="591"/>
      <c r="I55" s="591"/>
      <c r="J55" s="591"/>
      <c r="K55" s="587"/>
    </row>
    <row r="56" spans="1:11" s="588" customFormat="1" ht="12" customHeight="1">
      <c r="A56" s="592" t="s">
        <v>159</v>
      </c>
      <c r="B56" s="589">
        <f>'Sources and Uses Budget'!C56</f>
        <v>0</v>
      </c>
      <c r="C56" s="590">
        <f t="shared" ref="C56:C61" si="4">B56</f>
        <v>0</v>
      </c>
      <c r="D56" s="590"/>
      <c r="E56" s="591"/>
      <c r="F56" s="591"/>
      <c r="G56" s="591"/>
      <c r="H56" s="591"/>
      <c r="I56" s="591"/>
      <c r="J56" s="591"/>
      <c r="K56" s="587"/>
    </row>
    <row r="57" spans="1:11" s="588" customFormat="1">
      <c r="A57" s="592" t="s">
        <v>163</v>
      </c>
      <c r="B57" s="589">
        <f>'Sources and Uses Budget'!C57</f>
        <v>0</v>
      </c>
      <c r="C57" s="590">
        <f t="shared" si="4"/>
        <v>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f>'Sources and Uses Budget'!$A60</f>
        <v>0</v>
      </c>
      <c r="B60" s="589">
        <f>'Sources and Uses Budget'!C60</f>
        <v>0</v>
      </c>
      <c r="C60" s="590">
        <f t="shared" si="4"/>
        <v>0</v>
      </c>
      <c r="D60" s="590"/>
      <c r="E60" s="591"/>
      <c r="F60" s="591"/>
      <c r="G60" s="591"/>
      <c r="H60" s="591"/>
      <c r="I60" s="591"/>
      <c r="J60" s="591"/>
      <c r="K60" s="587"/>
    </row>
    <row r="61" spans="1:11" s="588" customFormat="1">
      <c r="A61" s="595" t="str">
        <f>'Sources and Uses Budget'!$A61</f>
        <v>Other: (Specify)</v>
      </c>
      <c r="B61" s="589">
        <f>'Sources and Uses Budget'!C61</f>
        <v>0</v>
      </c>
      <c r="C61" s="590">
        <f t="shared" si="4"/>
        <v>0</v>
      </c>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32405673</v>
      </c>
      <c r="C63" s="589">
        <f>SUM(C8+C11+C13+C14+C15+C25+C26+C36+C40+C41+C53+C62)</f>
        <v>32405673</v>
      </c>
      <c r="D63" s="589">
        <f>SUM(D8+D11+D13+D14+D15+D25+D26+D36+D40+D41+D53+D62)</f>
        <v>0</v>
      </c>
      <c r="E63" s="589">
        <f>'Sources and Uses Budget'!S63</f>
        <v>30409755.800000001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101430</v>
      </c>
      <c r="C65" s="590">
        <f>+B65</f>
        <v>101430</v>
      </c>
      <c r="D65" s="590"/>
      <c r="E65" s="589">
        <f>'Sources and Uses Budget'!S65</f>
        <v>101430</v>
      </c>
      <c r="F65" s="590"/>
      <c r="G65" s="590"/>
      <c r="H65" s="589">
        <f>'Sources and Uses Budget'!T65</f>
        <v>0</v>
      </c>
      <c r="I65" s="590"/>
      <c r="J65" s="590"/>
      <c r="K65" s="587"/>
    </row>
    <row r="66" spans="1:11" s="588" customFormat="1" ht="24">
      <c r="A66" s="595" t="str">
        <f>'Sources and Uses Budget'!$A73</f>
        <v>HCD Transition Reserve &amp; AHSC Transit Passes Reserve</v>
      </c>
      <c r="B66" s="589">
        <f>'Sources and Uses Budget'!C66</f>
        <v>0</v>
      </c>
      <c r="C66" s="590">
        <f>+B66</f>
        <v>0</v>
      </c>
      <c r="D66" s="590"/>
      <c r="E66" s="589">
        <f>'Sources and Uses Budget'!S66</f>
        <v>0</v>
      </c>
      <c r="F66" s="590"/>
      <c r="G66" s="590"/>
      <c r="H66" s="589">
        <f>'Sources and Uses Budget'!T66</f>
        <v>0</v>
      </c>
      <c r="I66" s="590"/>
      <c r="J66" s="590"/>
      <c r="K66" s="587"/>
    </row>
    <row r="67" spans="1:11" s="588" customFormat="1">
      <c r="A67" s="593" t="s">
        <v>652</v>
      </c>
      <c r="B67" s="589">
        <f>'Sources and Uses Budget'!C67</f>
        <v>101430</v>
      </c>
      <c r="C67" s="589">
        <f>SUM(C64:C66)</f>
        <v>101430</v>
      </c>
      <c r="D67" s="589">
        <f>SUM(D64:D66)</f>
        <v>0</v>
      </c>
      <c r="E67" s="589">
        <f>'Sources and Uses Budget'!S67</f>
        <v>101430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B69</f>
        <v>0</v>
      </c>
      <c r="D69" s="590"/>
      <c r="E69" s="591"/>
      <c r="F69" s="591"/>
      <c r="G69" s="591"/>
      <c r="H69" s="591"/>
      <c r="I69" s="591"/>
      <c r="J69" s="591"/>
      <c r="K69" s="587"/>
    </row>
    <row r="70" spans="1:11" s="588" customFormat="1">
      <c r="A70" s="592" t="s">
        <v>655</v>
      </c>
      <c r="B70" s="589">
        <f>'Sources and Uses Budget'!C70</f>
        <v>0</v>
      </c>
      <c r="C70" s="590">
        <f t="shared" ref="C70:C73" si="5">B70</f>
        <v>0</v>
      </c>
      <c r="D70" s="590"/>
      <c r="E70" s="591"/>
      <c r="F70" s="591"/>
      <c r="G70" s="591"/>
      <c r="H70" s="591"/>
      <c r="I70" s="591"/>
      <c r="J70" s="591"/>
      <c r="K70" s="587"/>
    </row>
    <row r="71" spans="1:11" s="588" customFormat="1">
      <c r="A71" s="763" t="s">
        <v>1123</v>
      </c>
      <c r="B71" s="589">
        <f>'Sources and Uses Budget'!C71</f>
        <v>0</v>
      </c>
      <c r="C71" s="590">
        <f t="shared" si="5"/>
        <v>0</v>
      </c>
      <c r="D71" s="590"/>
      <c r="E71" s="591"/>
      <c r="F71" s="591"/>
      <c r="G71" s="591"/>
      <c r="H71" s="591"/>
      <c r="I71" s="591"/>
      <c r="J71" s="591"/>
      <c r="K71" s="587"/>
    </row>
    <row r="72" spans="1:11" s="588" customFormat="1">
      <c r="A72" s="592" t="s">
        <v>656</v>
      </c>
      <c r="B72" s="589">
        <f>'Sources and Uses Budget'!C72</f>
        <v>206457</v>
      </c>
      <c r="C72" s="590">
        <f t="shared" si="5"/>
        <v>206457</v>
      </c>
      <c r="D72" s="590"/>
      <c r="E72" s="591"/>
      <c r="F72" s="591"/>
      <c r="G72" s="591"/>
      <c r="H72" s="591"/>
      <c r="I72" s="591"/>
      <c r="J72" s="591"/>
      <c r="K72" s="587"/>
    </row>
    <row r="73" spans="1:11" s="588" customFormat="1" ht="24">
      <c r="A73" s="595" t="str">
        <f>'Sources and Uses Budget'!$A73</f>
        <v>HCD Transition Reserve &amp; AHSC Transit Passes Reserve</v>
      </c>
      <c r="B73" s="589">
        <f>'Sources and Uses Budget'!C73</f>
        <v>669646</v>
      </c>
      <c r="C73" s="590">
        <f t="shared" si="5"/>
        <v>669646</v>
      </c>
      <c r="D73" s="590"/>
      <c r="E73" s="591"/>
      <c r="F73" s="591"/>
      <c r="G73" s="591"/>
      <c r="H73" s="591"/>
      <c r="I73" s="591"/>
      <c r="J73" s="591"/>
      <c r="K73" s="587"/>
    </row>
    <row r="74" spans="1:11" s="588" customFormat="1">
      <c r="A74" s="593" t="s">
        <v>657</v>
      </c>
      <c r="B74" s="589">
        <f>'Sources and Uses Budget'!C74</f>
        <v>876103</v>
      </c>
      <c r="C74" s="589">
        <f>SUM(C69:C73)</f>
        <v>876103</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1410314</v>
      </c>
      <c r="C76" s="590">
        <f>+B76</f>
        <v>1410314</v>
      </c>
      <c r="D76" s="590"/>
      <c r="E76" s="589">
        <f>'Sources and Uses Budget'!S76</f>
        <v>1410314</v>
      </c>
      <c r="F76" s="590"/>
      <c r="G76" s="590"/>
      <c r="H76" s="589">
        <f>'Sources and Uses Budget'!T76</f>
        <v>0</v>
      </c>
      <c r="I76" s="590"/>
      <c r="J76" s="590"/>
      <c r="K76" s="587"/>
    </row>
    <row r="77" spans="1:11" s="588" customFormat="1">
      <c r="A77" s="592" t="s">
        <v>63</v>
      </c>
      <c r="B77" s="589">
        <f>'Sources and Uses Budget'!C77</f>
        <v>285558</v>
      </c>
      <c r="C77" s="590">
        <f>+B77</f>
        <v>285558</v>
      </c>
      <c r="D77" s="590"/>
      <c r="E77" s="589">
        <f>'Sources and Uses Budget'!S77</f>
        <v>285558</v>
      </c>
      <c r="F77" s="590"/>
      <c r="G77" s="590"/>
      <c r="H77" s="589">
        <f>'Sources and Uses Budget'!T77</f>
        <v>0</v>
      </c>
      <c r="I77" s="590"/>
      <c r="J77" s="590"/>
      <c r="K77" s="587"/>
    </row>
    <row r="78" spans="1:11" s="588" customFormat="1">
      <c r="A78" s="593" t="s">
        <v>1468</v>
      </c>
      <c r="B78" s="589">
        <f>'Sources and Uses Budget'!C78</f>
        <v>1695872</v>
      </c>
      <c r="C78" s="589">
        <f>SUM(C76:C77)</f>
        <v>1695872</v>
      </c>
      <c r="D78" s="589">
        <f>SUM(D76:D77)</f>
        <v>0</v>
      </c>
      <c r="E78" s="589">
        <f>'Sources and Uses Budget'!S78</f>
        <v>1695872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63410</v>
      </c>
      <c r="C80" s="590">
        <f>+B80</f>
        <v>63410</v>
      </c>
      <c r="D80" s="590"/>
      <c r="E80" s="591"/>
      <c r="F80" s="591"/>
      <c r="G80" s="591"/>
      <c r="H80" s="591"/>
      <c r="I80" s="591"/>
      <c r="J80" s="591"/>
      <c r="K80" s="587"/>
    </row>
    <row r="81" spans="1:11" s="588" customFormat="1">
      <c r="A81" s="223" t="s">
        <v>846</v>
      </c>
      <c r="B81" s="589">
        <f>'Sources and Uses Budget'!C81</f>
        <v>13230</v>
      </c>
      <c r="C81" s="590">
        <f t="shared" ref="C81:C94" si="6">+B81</f>
        <v>13230</v>
      </c>
      <c r="D81" s="590"/>
      <c r="E81" s="589">
        <f>'Sources and Uses Budget'!S81</f>
        <v>13230</v>
      </c>
      <c r="F81" s="590"/>
      <c r="G81" s="590"/>
      <c r="H81" s="589">
        <f>'Sources and Uses Budget'!T81</f>
        <v>0</v>
      </c>
      <c r="I81" s="590"/>
      <c r="J81" s="590"/>
      <c r="K81" s="587"/>
    </row>
    <row r="82" spans="1:11" s="588" customFormat="1">
      <c r="A82" s="223" t="s">
        <v>847</v>
      </c>
      <c r="B82" s="589">
        <f>'Sources and Uses Budget'!C82</f>
        <v>1299052</v>
      </c>
      <c r="C82" s="590">
        <f t="shared" si="6"/>
        <v>1299052</v>
      </c>
      <c r="D82" s="590"/>
      <c r="E82" s="589">
        <f>'Sources and Uses Budget'!S82</f>
        <v>906872</v>
      </c>
      <c r="F82" s="590"/>
      <c r="G82" s="590"/>
      <c r="H82" s="589">
        <f>'Sources and Uses Budget'!T82</f>
        <v>0</v>
      </c>
      <c r="I82" s="590"/>
      <c r="J82" s="590"/>
      <c r="K82" s="587"/>
    </row>
    <row r="83" spans="1:11" s="588" customFormat="1">
      <c r="A83" s="223" t="s">
        <v>848</v>
      </c>
      <c r="B83" s="589">
        <f>'Sources and Uses Budget'!C83</f>
        <v>220500</v>
      </c>
      <c r="C83" s="590">
        <f t="shared" si="6"/>
        <v>220500</v>
      </c>
      <c r="D83" s="590"/>
      <c r="E83" s="589">
        <f>'Sources and Uses Budget'!S83</f>
        <v>220500</v>
      </c>
      <c r="F83" s="590"/>
      <c r="G83" s="590"/>
      <c r="H83" s="589">
        <f>'Sources and Uses Budget'!T83</f>
        <v>0</v>
      </c>
      <c r="I83" s="590"/>
      <c r="J83" s="590"/>
      <c r="K83" s="587"/>
    </row>
    <row r="84" spans="1:11" s="588" customFormat="1">
      <c r="A84" s="223" t="s">
        <v>849</v>
      </c>
      <c r="B84" s="589">
        <f>'Sources and Uses Budget'!C84</f>
        <v>0</v>
      </c>
      <c r="C84" s="590">
        <f t="shared" si="6"/>
        <v>0</v>
      </c>
      <c r="D84" s="590"/>
      <c r="E84" s="589">
        <f>'Sources and Uses Budget'!S84</f>
        <v>0</v>
      </c>
      <c r="F84" s="590"/>
      <c r="G84" s="590"/>
      <c r="H84" s="589">
        <f>'Sources and Uses Budget'!T84</f>
        <v>0</v>
      </c>
      <c r="I84" s="590"/>
      <c r="J84" s="590"/>
      <c r="K84" s="587"/>
    </row>
    <row r="85" spans="1:11" s="588" customFormat="1">
      <c r="A85" s="223" t="s">
        <v>850</v>
      </c>
      <c r="B85" s="589">
        <f>'Sources and Uses Budget'!C85</f>
        <v>75000</v>
      </c>
      <c r="C85" s="590">
        <f t="shared" si="6"/>
        <v>75000</v>
      </c>
      <c r="D85" s="590"/>
      <c r="E85" s="591"/>
      <c r="F85" s="591"/>
      <c r="G85" s="591"/>
      <c r="H85" s="591"/>
      <c r="I85" s="591"/>
      <c r="J85" s="591"/>
      <c r="K85" s="587"/>
    </row>
    <row r="86" spans="1:11" s="588" customFormat="1">
      <c r="A86" s="223" t="s">
        <v>851</v>
      </c>
      <c r="B86" s="589">
        <f>'Sources and Uses Budget'!C86</f>
        <v>88000</v>
      </c>
      <c r="C86" s="590">
        <f t="shared" si="6"/>
        <v>88000</v>
      </c>
      <c r="D86" s="590"/>
      <c r="E86" s="589">
        <f>'Sources and Uses Budget'!S86</f>
        <v>88000</v>
      </c>
      <c r="F86" s="590"/>
      <c r="G86" s="590"/>
      <c r="H86" s="589">
        <f>'Sources and Uses Budget'!T86</f>
        <v>0</v>
      </c>
      <c r="I86" s="590"/>
      <c r="J86" s="590"/>
      <c r="K86" s="587"/>
    </row>
    <row r="87" spans="1:11" s="588" customFormat="1">
      <c r="A87" s="223" t="s">
        <v>852</v>
      </c>
      <c r="B87" s="589">
        <f>'Sources and Uses Budget'!C87</f>
        <v>54500</v>
      </c>
      <c r="C87" s="590">
        <f t="shared" si="6"/>
        <v>54500</v>
      </c>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f t="shared" si="6"/>
        <v>0</v>
      </c>
      <c r="D88" s="590"/>
      <c r="E88" s="589">
        <f>'Sources and Uses Budget'!S88</f>
        <v>0</v>
      </c>
      <c r="F88" s="590"/>
      <c r="G88" s="590"/>
      <c r="H88" s="589">
        <f>'Sources and Uses Budget'!T88</f>
        <v>0</v>
      </c>
      <c r="I88" s="590"/>
      <c r="J88" s="590"/>
      <c r="K88" s="587"/>
    </row>
    <row r="89" spans="1:11" s="588" customFormat="1">
      <c r="A89" s="889" t="s">
        <v>1470</v>
      </c>
      <c r="B89" s="589">
        <f>'Sources and Uses Budget'!C89</f>
        <v>37926</v>
      </c>
      <c r="C89" s="590">
        <f t="shared" si="6"/>
        <v>37926</v>
      </c>
      <c r="D89" s="590"/>
      <c r="E89" s="589">
        <f>'Sources and Uses Budget'!S89</f>
        <v>37926</v>
      </c>
      <c r="F89" s="590"/>
      <c r="G89" s="590"/>
      <c r="H89" s="589">
        <f>'Sources and Uses Budget'!T89</f>
        <v>0</v>
      </c>
      <c r="I89" s="590"/>
      <c r="J89" s="590"/>
      <c r="K89" s="587"/>
    </row>
    <row r="90" spans="1:11" s="588" customFormat="1">
      <c r="A90" s="595" t="str">
        <f>'Sources and Uses Budget'!$A90</f>
        <v>Other: (Security during construction)</v>
      </c>
      <c r="B90" s="589">
        <f>'Sources and Uses Budget'!C90</f>
        <v>88200</v>
      </c>
      <c r="C90" s="590">
        <f t="shared" si="6"/>
        <v>88200</v>
      </c>
      <c r="D90" s="590"/>
      <c r="E90" s="589">
        <f>'Sources and Uses Budget'!S90</f>
        <v>88200</v>
      </c>
      <c r="F90" s="590"/>
      <c r="G90" s="590"/>
      <c r="H90" s="589">
        <f>'Sources and Uses Budget'!T90</f>
        <v>0</v>
      </c>
      <c r="I90" s="590"/>
      <c r="J90" s="590"/>
      <c r="K90" s="587"/>
    </row>
    <row r="91" spans="1:11" s="588" customFormat="1">
      <c r="A91" s="595" t="str">
        <f>'Sources and Uses Budget'!$A91</f>
        <v>3rd party construction manager</v>
      </c>
      <c r="B91" s="589">
        <f>'Sources and Uses Budget'!C91</f>
        <v>242550</v>
      </c>
      <c r="C91" s="590">
        <f t="shared" si="6"/>
        <v>242550</v>
      </c>
      <c r="D91" s="590"/>
      <c r="E91" s="589">
        <f>'Sources and Uses Budget'!S91</f>
        <v>242550</v>
      </c>
      <c r="F91" s="590"/>
      <c r="G91" s="590"/>
      <c r="H91" s="589">
        <f>'Sources and Uses Budget'!T91</f>
        <v>0</v>
      </c>
      <c r="I91" s="590"/>
      <c r="J91" s="590"/>
      <c r="K91" s="587"/>
    </row>
    <row r="92" spans="1:11" s="588" customFormat="1">
      <c r="A92" s="595" t="str">
        <f>'Sources and Uses Budget'!$A92</f>
        <v>Acquisition Title/Recording/Escrow</v>
      </c>
      <c r="B92" s="589">
        <f>'Sources and Uses Budget'!C92</f>
        <v>19860</v>
      </c>
      <c r="C92" s="590">
        <f t="shared" si="6"/>
        <v>19860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6"/>
        <v>0</v>
      </c>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6"/>
        <v>0</v>
      </c>
      <c r="D94" s="590"/>
      <c r="E94" s="589">
        <f>'Sources and Uses Budget'!S94</f>
        <v>0</v>
      </c>
      <c r="F94" s="590"/>
      <c r="G94" s="590"/>
      <c r="H94" s="589">
        <f>'Sources and Uses Budget'!T94</f>
        <v>0</v>
      </c>
      <c r="I94" s="590"/>
      <c r="J94" s="590"/>
      <c r="K94" s="587"/>
    </row>
    <row r="95" spans="1:11" s="588" customFormat="1">
      <c r="A95" s="593" t="s">
        <v>853</v>
      </c>
      <c r="B95" s="589">
        <f>'Sources and Uses Budget'!C95</f>
        <v>2202228</v>
      </c>
      <c r="C95" s="589">
        <f>SUM(C80:C94)</f>
        <v>2202228</v>
      </c>
      <c r="D95" s="589">
        <f>SUM(D80:D94)</f>
        <v>0</v>
      </c>
      <c r="E95" s="589">
        <f>'Sources and Uses Budget'!S95</f>
        <v>1597278</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37281306</v>
      </c>
      <c r="C96" s="589">
        <f>SUM(C63+C67+C74+C78+C95)</f>
        <v>37281306</v>
      </c>
      <c r="D96" s="589">
        <f>SUM(D63+D67+D74+D78+D95)</f>
        <v>0</v>
      </c>
      <c r="E96" s="589">
        <f>'Sources and Uses Budget'!S96</f>
        <v>33804335.799999997</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4538230</v>
      </c>
      <c r="C98" s="590">
        <f>+B98</f>
        <v>4538230</v>
      </c>
      <c r="D98" s="590"/>
      <c r="E98" s="589">
        <f>'Sources and Uses Budget'!S98</f>
        <v>4538230</v>
      </c>
      <c r="F98" s="590"/>
      <c r="G98" s="590"/>
      <c r="H98" s="589">
        <f>'Sources and Uses Budget'!T98</f>
        <v>0</v>
      </c>
      <c r="I98" s="590"/>
      <c r="J98" s="590"/>
      <c r="K98" s="587"/>
    </row>
    <row r="99" spans="1:11" s="588" customFormat="1">
      <c r="A99" s="223" t="s">
        <v>857</v>
      </c>
      <c r="B99" s="589">
        <f>'Sources and Uses Budget'!C99</f>
        <v>0</v>
      </c>
      <c r="C99" s="590">
        <f t="shared" ref="C99:C103" si="7">+B99</f>
        <v>0</v>
      </c>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f t="shared" si="7"/>
        <v>0</v>
      </c>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f t="shared" si="7"/>
        <v>0</v>
      </c>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f t="shared" si="7"/>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7"/>
        <v>0</v>
      </c>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4538230</v>
      </c>
      <c r="C104" s="589">
        <f>SUM(C98:C103)</f>
        <v>4538230</v>
      </c>
      <c r="D104" s="589">
        <f>SUM(D98:D103)</f>
        <v>0</v>
      </c>
      <c r="E104" s="589">
        <f>'Sources and Uses Budget'!S104</f>
        <v>4538230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41819536</v>
      </c>
      <c r="C105" s="596">
        <f>SUM(C96+C104)</f>
        <v>41819536</v>
      </c>
      <c r="D105" s="596">
        <f>SUM(D96+D104)</f>
        <v>0</v>
      </c>
      <c r="E105" s="589">
        <f>'Sources and Uses Budget'!S105</f>
        <v>38342565.799999997</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38342565.799999997</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4" zoomScale="130" zoomScaleNormal="13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49" t="s">
        <v>1600</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0" t="s">
        <v>407</v>
      </c>
      <c r="C11" s="1621"/>
      <c r="D11" s="1621"/>
      <c r="E11" s="1621"/>
      <c r="F11" s="1621"/>
      <c r="G11" s="1621"/>
      <c r="H11" s="1621"/>
      <c r="I11" s="1621"/>
      <c r="J11" s="1621"/>
      <c r="K11" s="1621"/>
      <c r="L11" s="1621"/>
      <c r="M11" s="1621"/>
      <c r="N11" s="1621"/>
      <c r="O11" s="1621"/>
      <c r="P11" s="1621"/>
      <c r="Q11" s="1621"/>
      <c r="R11" s="1621"/>
      <c r="S11" s="1622"/>
      <c r="T11" s="1652">
        <f>IF('Sources and Basis Breakdown'!F107=0,'Sources and Basis Breakdown'!E107,'Sources and Basis Breakdown'!F107)</f>
        <v>38342565.799999997</v>
      </c>
      <c r="U11" s="1653"/>
      <c r="V11" s="1653"/>
      <c r="W11" s="1653"/>
      <c r="X11" s="1653"/>
      <c r="Y11" s="1652">
        <f>IF(Y7=" ",0,IF('Sources and Basis Breakdown'!G107+'Sources and Basis Breakdown'!F107='Sources and Basis Breakdown'!E107,'Sources and Basis Breakdown'!G107,0))</f>
        <v>0</v>
      </c>
      <c r="Z11" s="1653"/>
      <c r="AA11" s="1653"/>
      <c r="AB11" s="1653"/>
      <c r="AC11" s="1653"/>
      <c r="AD11" s="1653">
        <f>IF('Sources and Basis Breakdown'!I107=0,'Sources and Basis Breakdown'!H107,'Sources and Basis Breakdown'!I107)</f>
        <v>0</v>
      </c>
      <c r="AE11" s="1653"/>
      <c r="AF11" s="1653"/>
      <c r="AG11" s="1653"/>
      <c r="AH11" s="1653"/>
      <c r="AI11" s="1653">
        <f>IF(Y7=" ",0,IF('Sources and Basis Breakdown'!I107+'Sources and Basis Breakdown'!J107='Sources and Basis Breakdown'!H107,'Sources and Basis Breakdown'!J107,0))</f>
        <v>0</v>
      </c>
      <c r="AJ11" s="1653"/>
      <c r="AK11" s="1653"/>
      <c r="AL11" s="1653"/>
      <c r="AM11" s="165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4" t="s">
        <v>544</v>
      </c>
      <c r="C12" s="1645"/>
      <c r="D12" s="1645"/>
      <c r="E12" s="1645"/>
      <c r="F12" s="1645"/>
      <c r="G12" s="1645"/>
      <c r="H12" s="1645"/>
      <c r="I12" s="1645"/>
      <c r="J12" s="1645"/>
      <c r="K12" s="1645"/>
      <c r="L12" s="1645"/>
      <c r="M12" s="1645"/>
      <c r="N12" s="1645"/>
      <c r="O12" s="1645"/>
      <c r="P12" s="1645"/>
      <c r="Q12" s="1645"/>
      <c r="R12" s="1645"/>
      <c r="S12" s="1646"/>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7" t="s">
        <v>545</v>
      </c>
      <c r="D13" s="1647"/>
      <c r="E13" s="1647"/>
      <c r="F13" s="1647"/>
      <c r="G13" s="1647"/>
      <c r="H13" s="1647"/>
      <c r="I13" s="1647"/>
      <c r="J13" s="1647"/>
      <c r="K13" s="1647"/>
      <c r="L13" s="1647"/>
      <c r="M13" s="1647"/>
      <c r="N13" s="1647"/>
      <c r="O13" s="1647"/>
      <c r="P13" s="1647"/>
      <c r="Q13" s="1647"/>
      <c r="R13" s="1647"/>
      <c r="S13" s="1648"/>
      <c r="T13" s="1657"/>
      <c r="U13" s="1658"/>
      <c r="V13" s="1658"/>
      <c r="W13" s="1658"/>
      <c r="X13" s="1658"/>
      <c r="Y13" s="1657"/>
      <c r="Z13" s="1658"/>
      <c r="AA13" s="1658"/>
      <c r="AB13" s="1658"/>
      <c r="AC13" s="1658"/>
      <c r="AD13" s="1658"/>
      <c r="AE13" s="1658"/>
      <c r="AF13" s="1658"/>
      <c r="AG13" s="1658"/>
      <c r="AH13" s="1658"/>
      <c r="AI13" s="1658"/>
      <c r="AJ13" s="1658"/>
      <c r="AK13" s="1658"/>
      <c r="AL13" s="1658"/>
      <c r="AM13" s="165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7" t="s">
        <v>546</v>
      </c>
      <c r="D14" s="1647"/>
      <c r="E14" s="1647"/>
      <c r="F14" s="1647"/>
      <c r="G14" s="1647"/>
      <c r="H14" s="1647"/>
      <c r="I14" s="1647"/>
      <c r="J14" s="1647"/>
      <c r="K14" s="1647"/>
      <c r="L14" s="1647"/>
      <c r="M14" s="1647"/>
      <c r="N14" s="1647"/>
      <c r="O14" s="1647"/>
      <c r="P14" s="1647"/>
      <c r="Q14" s="1647"/>
      <c r="R14" s="1647"/>
      <c r="S14" s="1648"/>
      <c r="T14" s="1611"/>
      <c r="U14" s="1612"/>
      <c r="V14" s="1612"/>
      <c r="W14" s="1612"/>
      <c r="X14" s="1612"/>
      <c r="Y14" s="1611"/>
      <c r="Z14" s="1612"/>
      <c r="AA14" s="1612"/>
      <c r="AB14" s="1612"/>
      <c r="AC14" s="1612"/>
      <c r="AD14" s="1612"/>
      <c r="AE14" s="1612"/>
      <c r="AF14" s="1612"/>
      <c r="AG14" s="1612"/>
      <c r="AH14" s="1612"/>
      <c r="AI14" s="1612"/>
      <c r="AJ14" s="1612"/>
      <c r="AK14" s="1612"/>
      <c r="AL14" s="1612"/>
      <c r="AM14" s="161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7" t="s">
        <v>547</v>
      </c>
      <c r="D15" s="1647"/>
      <c r="E15" s="1647"/>
      <c r="F15" s="1647"/>
      <c r="G15" s="1647"/>
      <c r="H15" s="1647"/>
      <c r="I15" s="1647"/>
      <c r="J15" s="1647"/>
      <c r="K15" s="1647"/>
      <c r="L15" s="1647"/>
      <c r="M15" s="1647"/>
      <c r="N15" s="1647"/>
      <c r="O15" s="1647"/>
      <c r="P15" s="1647"/>
      <c r="Q15" s="1647"/>
      <c r="R15" s="1647"/>
      <c r="S15" s="1648"/>
      <c r="T15" s="1611"/>
      <c r="U15" s="1612"/>
      <c r="V15" s="1612"/>
      <c r="W15" s="1612"/>
      <c r="X15" s="1612"/>
      <c r="Y15" s="1611"/>
      <c r="Z15" s="1612"/>
      <c r="AA15" s="1612"/>
      <c r="AB15" s="1612"/>
      <c r="AC15" s="1612"/>
      <c r="AD15" s="1612"/>
      <c r="AE15" s="1612"/>
      <c r="AF15" s="1612"/>
      <c r="AG15" s="1612"/>
      <c r="AH15" s="1612"/>
      <c r="AI15" s="1612"/>
      <c r="AJ15" s="1612"/>
      <c r="AK15" s="1612"/>
      <c r="AL15" s="1612"/>
      <c r="AM15" s="161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7" t="s">
        <v>888</v>
      </c>
      <c r="D16" s="1647"/>
      <c r="E16" s="1647"/>
      <c r="F16" s="1647"/>
      <c r="G16" s="1647"/>
      <c r="H16" s="1647"/>
      <c r="I16" s="1647"/>
      <c r="J16" s="1647"/>
      <c r="K16" s="1647"/>
      <c r="L16" s="1647"/>
      <c r="M16" s="1647"/>
      <c r="N16" s="1647"/>
      <c r="O16" s="1647"/>
      <c r="P16" s="1647"/>
      <c r="Q16" s="1647"/>
      <c r="R16" s="1647"/>
      <c r="S16" s="1648"/>
      <c r="T16" s="1611"/>
      <c r="U16" s="1612"/>
      <c r="V16" s="1612"/>
      <c r="W16" s="1612"/>
      <c r="X16" s="1612"/>
      <c r="Y16" s="1611"/>
      <c r="Z16" s="1612"/>
      <c r="AA16" s="1612"/>
      <c r="AB16" s="1612"/>
      <c r="AC16" s="1612"/>
      <c r="AD16" s="1612"/>
      <c r="AE16" s="1612"/>
      <c r="AF16" s="1612"/>
      <c r="AG16" s="1612"/>
      <c r="AH16" s="1612"/>
      <c r="AI16" s="1612"/>
      <c r="AJ16" s="1612"/>
      <c r="AK16" s="1612"/>
      <c r="AL16" s="1612"/>
      <c r="AM16" s="161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7" t="s">
        <v>548</v>
      </c>
      <c r="D17" s="1647"/>
      <c r="E17" s="1647"/>
      <c r="F17" s="1647"/>
      <c r="G17" s="1647"/>
      <c r="H17" s="1647"/>
      <c r="I17" s="1647"/>
      <c r="J17" s="1647"/>
      <c r="K17" s="1647"/>
      <c r="L17" s="1647"/>
      <c r="M17" s="1647"/>
      <c r="N17" s="1647"/>
      <c r="O17" s="1647"/>
      <c r="P17" s="1647"/>
      <c r="Q17" s="1647"/>
      <c r="R17" s="1647"/>
      <c r="S17" s="1648"/>
      <c r="T17" s="1611"/>
      <c r="U17" s="1612"/>
      <c r="V17" s="1612"/>
      <c r="W17" s="1612"/>
      <c r="X17" s="1612"/>
      <c r="Y17" s="1611"/>
      <c r="Z17" s="1612"/>
      <c r="AA17" s="1612"/>
      <c r="AB17" s="1612"/>
      <c r="AC17" s="1612"/>
      <c r="AD17" s="1612"/>
      <c r="AE17" s="1612"/>
      <c r="AF17" s="1612"/>
      <c r="AG17" s="1612"/>
      <c r="AH17" s="1612"/>
      <c r="AI17" s="1612"/>
      <c r="AJ17" s="1612"/>
      <c r="AK17" s="1612"/>
      <c r="AL17" s="1612"/>
      <c r="AM17" s="161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2" t="s">
        <v>1070</v>
      </c>
      <c r="D18" s="1642"/>
      <c r="E18" s="1642"/>
      <c r="F18" s="1642"/>
      <c r="G18" s="1642"/>
      <c r="H18" s="1642"/>
      <c r="I18" s="1642"/>
      <c r="J18" s="1642"/>
      <c r="K18" s="1642"/>
      <c r="L18" s="1642"/>
      <c r="M18" s="1642"/>
      <c r="N18" s="1642"/>
      <c r="O18" s="1642"/>
      <c r="P18" s="1642"/>
      <c r="Q18" s="1642"/>
      <c r="R18" s="1642"/>
      <c r="S18" s="1643"/>
      <c r="T18" s="1611"/>
      <c r="U18" s="1612"/>
      <c r="V18" s="1612"/>
      <c r="W18" s="1612"/>
      <c r="X18" s="1612"/>
      <c r="Y18" s="1611"/>
      <c r="Z18" s="1612"/>
      <c r="AA18" s="1612"/>
      <c r="AB18" s="1612"/>
      <c r="AC18" s="1612"/>
      <c r="AD18" s="1612"/>
      <c r="AE18" s="1612"/>
      <c r="AF18" s="1612"/>
      <c r="AG18" s="1612"/>
      <c r="AH18" s="1612"/>
      <c r="AI18" s="1612"/>
      <c r="AJ18" s="1612"/>
      <c r="AK18" s="1612"/>
      <c r="AL18" s="1612"/>
      <c r="AM18" s="161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2" t="s">
        <v>1070</v>
      </c>
      <c r="D19" s="1642"/>
      <c r="E19" s="1642"/>
      <c r="F19" s="1642"/>
      <c r="G19" s="1642"/>
      <c r="H19" s="1642"/>
      <c r="I19" s="1642"/>
      <c r="J19" s="1642"/>
      <c r="K19" s="1642"/>
      <c r="L19" s="1642"/>
      <c r="M19" s="1642"/>
      <c r="N19" s="1642"/>
      <c r="O19" s="1642"/>
      <c r="P19" s="1642"/>
      <c r="Q19" s="1642"/>
      <c r="R19" s="1642"/>
      <c r="S19" s="1643"/>
      <c r="T19" s="1611"/>
      <c r="U19" s="1612"/>
      <c r="V19" s="1612"/>
      <c r="W19" s="1612"/>
      <c r="X19" s="1612"/>
      <c r="Y19" s="1611"/>
      <c r="Z19" s="1612"/>
      <c r="AA19" s="1612"/>
      <c r="AB19" s="1612"/>
      <c r="AC19" s="1612"/>
      <c r="AD19" s="1612"/>
      <c r="AE19" s="1612"/>
      <c r="AF19" s="1612"/>
      <c r="AG19" s="1612"/>
      <c r="AH19" s="1612"/>
      <c r="AI19" s="1612"/>
      <c r="AJ19" s="1612"/>
      <c r="AK19" s="1612"/>
      <c r="AL19" s="1612"/>
      <c r="AM19" s="161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0" t="s">
        <v>549</v>
      </c>
      <c r="C20" s="1621"/>
      <c r="D20" s="1621"/>
      <c r="E20" s="1621"/>
      <c r="F20" s="1621"/>
      <c r="G20" s="1621"/>
      <c r="H20" s="1621"/>
      <c r="I20" s="1621"/>
      <c r="J20" s="1621"/>
      <c r="K20" s="1621"/>
      <c r="L20" s="1621"/>
      <c r="M20" s="1621"/>
      <c r="N20" s="1621"/>
      <c r="O20" s="1621"/>
      <c r="P20" s="1621"/>
      <c r="Q20" s="1621"/>
      <c r="R20" s="1621"/>
      <c r="S20" s="1622"/>
      <c r="T20" s="1613">
        <f>SUM(T13:X19)</f>
        <v>0</v>
      </c>
      <c r="U20" s="1614"/>
      <c r="V20" s="1614"/>
      <c r="W20" s="1614"/>
      <c r="X20" s="1614"/>
      <c r="Y20" s="1613">
        <f>SUM(Y13:AC19)</f>
        <v>0</v>
      </c>
      <c r="Z20" s="1614"/>
      <c r="AA20" s="1614"/>
      <c r="AB20" s="1614"/>
      <c r="AC20" s="1614"/>
      <c r="AD20" s="1615">
        <f>SUM(AD13:AH19)</f>
        <v>0</v>
      </c>
      <c r="AE20" s="1616"/>
      <c r="AF20" s="1616"/>
      <c r="AG20" s="1616"/>
      <c r="AH20" s="1613"/>
      <c r="AI20" s="1615">
        <f>SUM(AI13:AM19)</f>
        <v>0</v>
      </c>
      <c r="AJ20" s="1616"/>
      <c r="AK20" s="1616"/>
      <c r="AL20" s="1616"/>
      <c r="AM20" s="161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0" t="s">
        <v>1552</v>
      </c>
      <c r="C21" s="1621"/>
      <c r="D21" s="1621"/>
      <c r="E21" s="1621"/>
      <c r="F21" s="1621"/>
      <c r="G21" s="1621"/>
      <c r="H21" s="1621"/>
      <c r="I21" s="1621"/>
      <c r="J21" s="1621"/>
      <c r="K21" s="1621"/>
      <c r="L21" s="1621"/>
      <c r="M21" s="1621"/>
      <c r="N21" s="1621"/>
      <c r="O21" s="1621"/>
      <c r="P21" s="1621"/>
      <c r="Q21" s="1621"/>
      <c r="R21" s="1621"/>
      <c r="S21" s="1622"/>
      <c r="T21" s="1611"/>
      <c r="U21" s="1612"/>
      <c r="V21" s="1612"/>
      <c r="W21" s="1612"/>
      <c r="X21" s="1612"/>
      <c r="Y21" s="1611"/>
      <c r="Z21" s="1612"/>
      <c r="AA21" s="1612"/>
      <c r="AB21" s="1612"/>
      <c r="AC21" s="1612"/>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0" t="s">
        <v>550</v>
      </c>
      <c r="C22" s="1621"/>
      <c r="D22" s="1621"/>
      <c r="E22" s="1621"/>
      <c r="F22" s="1621"/>
      <c r="G22" s="1621"/>
      <c r="H22" s="1621"/>
      <c r="I22" s="1621"/>
      <c r="J22" s="1621"/>
      <c r="K22" s="1621"/>
      <c r="L22" s="1621"/>
      <c r="M22" s="1621"/>
      <c r="N22" s="1621"/>
      <c r="O22" s="1621"/>
      <c r="P22" s="1621"/>
      <c r="Q22" s="1621"/>
      <c r="R22" s="1621"/>
      <c r="S22" s="1622"/>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3" t="s">
        <v>551</v>
      </c>
      <c r="C23" s="1624"/>
      <c r="D23" s="1624"/>
      <c r="E23" s="1624"/>
      <c r="F23" s="1624"/>
      <c r="G23" s="1624"/>
      <c r="H23" s="1624"/>
      <c r="I23" s="1624"/>
      <c r="J23" s="1624"/>
      <c r="K23" s="1624"/>
      <c r="L23" s="1624"/>
      <c r="M23" s="1624"/>
      <c r="N23" s="1624"/>
      <c r="O23" s="1624"/>
      <c r="P23" s="1624"/>
      <c r="Q23" s="1624"/>
      <c r="R23" s="1624"/>
      <c r="S23" s="1625"/>
      <c r="T23" s="1613">
        <f>T11+T22</f>
        <v>38342565.799999997</v>
      </c>
      <c r="U23" s="1614"/>
      <c r="V23" s="1614"/>
      <c r="W23" s="1614"/>
      <c r="X23" s="1614"/>
      <c r="Y23" s="1613">
        <f>Y11+Y22</f>
        <v>0</v>
      </c>
      <c r="Z23" s="1614"/>
      <c r="AA23" s="1614"/>
      <c r="AB23" s="1614"/>
      <c r="AC23" s="1614"/>
      <c r="AD23" s="1613">
        <f>AD11+AD22</f>
        <v>0</v>
      </c>
      <c r="AE23" s="1614"/>
      <c r="AF23" s="1614"/>
      <c r="AG23" s="1614"/>
      <c r="AH23" s="1614"/>
      <c r="AI23" s="1613">
        <f>AI11+AI22</f>
        <v>0</v>
      </c>
      <c r="AJ23" s="1614"/>
      <c r="AK23" s="1614"/>
      <c r="AL23" s="1614"/>
      <c r="AM23" s="161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0" t="s">
        <v>1071</v>
      </c>
      <c r="C24" s="1621"/>
      <c r="D24" s="1621"/>
      <c r="E24" s="1621"/>
      <c r="F24" s="1621"/>
      <c r="G24" s="1621"/>
      <c r="H24" s="1621"/>
      <c r="I24" s="1621"/>
      <c r="J24" s="1621"/>
      <c r="K24" s="1621"/>
      <c r="L24" s="1621"/>
      <c r="M24" s="1621"/>
      <c r="N24" s="1621"/>
      <c r="O24" s="1621"/>
      <c r="P24" s="1621"/>
      <c r="Q24" s="1621"/>
      <c r="R24" s="1621"/>
      <c r="S24" s="1622"/>
      <c r="T24" s="1615">
        <f>Application!AD1004</f>
        <v>59000345.319999993</v>
      </c>
      <c r="U24" s="1616"/>
      <c r="V24" s="1616"/>
      <c r="W24" s="1616"/>
      <c r="X24" s="1616"/>
      <c r="Y24" s="1616"/>
      <c r="Z24" s="1616"/>
      <c r="AA24" s="1616"/>
      <c r="AB24" s="1616"/>
      <c r="AC24" s="1616"/>
      <c r="AD24" s="1616"/>
      <c r="AE24" s="1616"/>
      <c r="AF24" s="1616"/>
      <c r="AG24" s="1616"/>
      <c r="AH24" s="1616"/>
      <c r="AI24" s="1616"/>
      <c r="AJ24" s="1616"/>
      <c r="AK24" s="1616"/>
      <c r="AL24" s="1616"/>
      <c r="AM24" s="161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8" t="s">
        <v>1553</v>
      </c>
      <c r="C25" s="1629"/>
      <c r="D25" s="1629"/>
      <c r="E25" s="1629"/>
      <c r="F25" s="1629"/>
      <c r="G25" s="1629"/>
      <c r="H25" s="1629"/>
      <c r="I25" s="1629"/>
      <c r="J25" s="1629"/>
      <c r="K25" s="1629"/>
      <c r="L25" s="1629"/>
      <c r="M25" s="1629"/>
      <c r="N25" s="1629"/>
      <c r="O25" s="1629"/>
      <c r="P25" s="1629"/>
      <c r="Q25" s="1629"/>
      <c r="R25" s="1629"/>
      <c r="S25" s="1630"/>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0" t="s">
        <v>552</v>
      </c>
      <c r="C26" s="1621"/>
      <c r="D26" s="1621"/>
      <c r="E26" s="1621"/>
      <c r="F26" s="1621"/>
      <c r="G26" s="1621"/>
      <c r="H26" s="1621"/>
      <c r="I26" s="1621"/>
      <c r="J26" s="1621"/>
      <c r="K26" s="1621"/>
      <c r="L26" s="1621"/>
      <c r="M26" s="1621"/>
      <c r="N26" s="1621"/>
      <c r="O26" s="1621"/>
      <c r="P26" s="1621"/>
      <c r="Q26" s="1621"/>
      <c r="R26" s="1621"/>
      <c r="S26" s="1622"/>
      <c r="T26" s="1664">
        <f>T23*T25</f>
        <v>49845335.539999999</v>
      </c>
      <c r="U26" s="1665"/>
      <c r="V26" s="1665"/>
      <c r="W26" s="1665"/>
      <c r="X26" s="1665"/>
      <c r="Y26" s="1664">
        <f>Y23*Y25</f>
        <v>0</v>
      </c>
      <c r="Z26" s="1665"/>
      <c r="AA26" s="1665"/>
      <c r="AB26" s="1665"/>
      <c r="AC26" s="1665"/>
      <c r="AD26" s="1664">
        <f>AD23*AD25</f>
        <v>0</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1" t="s">
        <v>461</v>
      </c>
      <c r="C27" s="1632"/>
      <c r="D27" s="1632"/>
      <c r="E27" s="1632"/>
      <c r="F27" s="1632"/>
      <c r="G27" s="1632"/>
      <c r="H27" s="1632"/>
      <c r="I27" s="1632"/>
      <c r="J27" s="1632"/>
      <c r="K27" s="1632"/>
      <c r="L27" s="1632"/>
      <c r="M27" s="1632"/>
      <c r="N27" s="1632"/>
      <c r="O27" s="1632"/>
      <c r="P27" s="1632"/>
      <c r="Q27" s="1632"/>
      <c r="R27" s="1632"/>
      <c r="S27" s="1633"/>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0" t="s">
        <v>553</v>
      </c>
      <c r="C28" s="1621"/>
      <c r="D28" s="1621"/>
      <c r="E28" s="1621"/>
      <c r="F28" s="1621"/>
      <c r="G28" s="1621"/>
      <c r="H28" s="1621"/>
      <c r="I28" s="1621"/>
      <c r="J28" s="1621"/>
      <c r="K28" s="1621"/>
      <c r="L28" s="1621"/>
      <c r="M28" s="1621"/>
      <c r="N28" s="1621"/>
      <c r="O28" s="1621"/>
      <c r="P28" s="1621"/>
      <c r="Q28" s="1621"/>
      <c r="R28" s="1621"/>
      <c r="S28" s="1622"/>
      <c r="T28" s="1634">
        <f>IF(ISERROR((T26*T27)),0,(T26*T27))</f>
        <v>49845335.539999999</v>
      </c>
      <c r="U28" s="1635"/>
      <c r="V28" s="1635"/>
      <c r="W28" s="1635"/>
      <c r="X28" s="1635"/>
      <c r="Y28" s="1634">
        <f>IF(ISERROR((Y26*Y27)),0,(Y26*Y27))</f>
        <v>0</v>
      </c>
      <c r="Z28" s="1635"/>
      <c r="AA28" s="1635"/>
      <c r="AB28" s="1635"/>
      <c r="AC28" s="1635"/>
      <c r="AD28" s="1634">
        <f>IF(ISERROR((AD26*AD27)),0,(AD26*AD27))</f>
        <v>0</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0" t="s">
        <v>570</v>
      </c>
      <c r="C29" s="1621"/>
      <c r="D29" s="1621"/>
      <c r="E29" s="1621"/>
      <c r="F29" s="1621"/>
      <c r="G29" s="1621"/>
      <c r="H29" s="1621"/>
      <c r="I29" s="1621"/>
      <c r="J29" s="1621"/>
      <c r="K29" s="1621"/>
      <c r="L29" s="1621"/>
      <c r="M29" s="1621"/>
      <c r="N29" s="1621"/>
      <c r="O29" s="1621"/>
      <c r="P29" s="1621"/>
      <c r="Q29" s="1621"/>
      <c r="R29" s="1621"/>
      <c r="S29" s="1622"/>
      <c r="T29" s="1615">
        <f>T28+Y28+AD28+AI28</f>
        <v>49845335.539999999</v>
      </c>
      <c r="U29" s="1616"/>
      <c r="V29" s="1616"/>
      <c r="W29" s="1616"/>
      <c r="X29" s="1616"/>
      <c r="Y29" s="1616"/>
      <c r="Z29" s="1616"/>
      <c r="AA29" s="1616"/>
      <c r="AB29" s="1616"/>
      <c r="AC29" s="1616"/>
      <c r="AD29" s="1616"/>
      <c r="AE29" s="1616"/>
      <c r="AF29" s="1616"/>
      <c r="AG29" s="1616"/>
      <c r="AH29" s="1616"/>
      <c r="AI29" s="1616"/>
      <c r="AJ29" s="1616"/>
      <c r="AK29" s="1616"/>
      <c r="AL29" s="1616"/>
      <c r="AM29" s="161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6" t="s">
        <v>1557</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6" t="s">
        <v>1554</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1386</v>
      </c>
      <c r="Z35" s="1651"/>
      <c r="AA35" s="1651"/>
      <c r="AB35" s="1651"/>
      <c r="AC35" s="1651"/>
      <c r="AD35" s="1683" t="s">
        <v>394</v>
      </c>
      <c r="AE35" s="1683"/>
      <c r="AF35" s="1683"/>
      <c r="AG35" s="1683"/>
      <c r="AH35" s="168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83"/>
      <c r="AE36" s="1683"/>
      <c r="AF36" s="1683"/>
      <c r="AG36" s="1683"/>
      <c r="AH36" s="168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83"/>
      <c r="AE37" s="1683"/>
      <c r="AF37" s="1683"/>
      <c r="AG37" s="1683"/>
      <c r="AH37" s="168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0" t="s">
        <v>553</v>
      </c>
      <c r="C38" s="1621"/>
      <c r="D38" s="1621"/>
      <c r="E38" s="1621"/>
      <c r="F38" s="1621"/>
      <c r="G38" s="1621"/>
      <c r="H38" s="1621"/>
      <c r="I38" s="1621"/>
      <c r="J38" s="1621"/>
      <c r="K38" s="1621"/>
      <c r="L38" s="1621"/>
      <c r="M38" s="1621"/>
      <c r="N38" s="1621"/>
      <c r="O38" s="1621"/>
      <c r="P38" s="1621"/>
      <c r="Q38" s="1621"/>
      <c r="R38" s="1621"/>
      <c r="S38" s="1621"/>
      <c r="T38" s="1621"/>
      <c r="U38" s="1621"/>
      <c r="V38" s="1621"/>
      <c r="W38" s="1621"/>
      <c r="X38" s="1622"/>
      <c r="Y38" s="1614">
        <f>IF(T24&gt;=(T23+Y23+AD23+AI23),T28+Y28,0)</f>
        <v>49845335.539999999</v>
      </c>
      <c r="Z38" s="1614"/>
      <c r="AA38" s="1614"/>
      <c r="AB38" s="1614"/>
      <c r="AC38" s="1614"/>
      <c r="AD38" s="1614">
        <f>IF(T24&gt;=(T23+Y23+AD23+AI23),AD28+AI28,0)</f>
        <v>0</v>
      </c>
      <c r="AE38" s="1614"/>
      <c r="AF38" s="1614"/>
      <c r="AG38" s="1614"/>
      <c r="AH38" s="161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0" t="s">
        <v>1555</v>
      </c>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2"/>
      <c r="Y39" s="1684">
        <v>3.2399999999999998E-2</v>
      </c>
      <c r="Z39" s="1684"/>
      <c r="AA39" s="1684"/>
      <c r="AB39" s="1684"/>
      <c r="AC39" s="1684"/>
      <c r="AD39" s="1684">
        <v>3.2399999999999998E-2</v>
      </c>
      <c r="AE39" s="1684"/>
      <c r="AF39" s="1684"/>
      <c r="AG39" s="1684"/>
      <c r="AH39" s="168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0" t="s">
        <v>693</v>
      </c>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2"/>
      <c r="Y40" s="1614">
        <f>ROUND(Y38*Y39,0)</f>
        <v>1614989</v>
      </c>
      <c r="Z40" s="1614"/>
      <c r="AA40" s="1614"/>
      <c r="AB40" s="1614"/>
      <c r="AC40" s="1614"/>
      <c r="AD40" s="1613">
        <f>ROUND(AD38*AD39,0)</f>
        <v>0</v>
      </c>
      <c r="AE40" s="1614"/>
      <c r="AF40" s="1614"/>
      <c r="AG40" s="1614"/>
      <c r="AH40" s="161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0" t="s">
        <v>694</v>
      </c>
      <c r="C41" s="1621"/>
      <c r="D41" s="1621"/>
      <c r="E41" s="1621"/>
      <c r="F41" s="1621"/>
      <c r="G41" s="1621"/>
      <c r="H41" s="1621"/>
      <c r="I41" s="1621"/>
      <c r="J41" s="1621"/>
      <c r="K41" s="1621"/>
      <c r="L41" s="1621"/>
      <c r="M41" s="1621"/>
      <c r="N41" s="1621"/>
      <c r="O41" s="1621"/>
      <c r="P41" s="1621"/>
      <c r="Q41" s="1621"/>
      <c r="R41" s="1621"/>
      <c r="S41" s="1621"/>
      <c r="T41" s="1621"/>
      <c r="U41" s="1621"/>
      <c r="V41" s="1621"/>
      <c r="W41" s="1621"/>
      <c r="X41" s="1622"/>
      <c r="Y41" s="1636">
        <f>Y40+AD40</f>
        <v>1614989</v>
      </c>
      <c r="Z41" s="1637"/>
      <c r="AA41" s="1637"/>
      <c r="AB41" s="1637"/>
      <c r="AC41" s="1637"/>
      <c r="AD41" s="1637"/>
      <c r="AE41" s="1637"/>
      <c r="AF41" s="1637"/>
      <c r="AG41" s="1637"/>
      <c r="AH41" s="163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7" t="s">
        <v>1556</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8" t="s">
        <v>1587</v>
      </c>
      <c r="B44" s="1618"/>
      <c r="C44" s="1618"/>
      <c r="D44" s="1618"/>
      <c r="E44" s="1618"/>
      <c r="F44" s="1618"/>
      <c r="G44" s="1618"/>
      <c r="H44" s="1618"/>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44399761.5</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26130883.199999999</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18268878.300000001</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6">
        <v>0.95997860000000002</v>
      </c>
      <c r="AC50" s="1677"/>
      <c r="AD50" s="1677"/>
      <c r="AE50" s="1677"/>
      <c r="AF50" s="167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9" t="s">
        <v>1182</v>
      </c>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19030506</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1903050.6</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0">
        <f>(IF((Y41&lt;AB55),Y41,AB55))</f>
        <v>1614989</v>
      </c>
      <c r="AC56" s="1681"/>
      <c r="AD56" s="1681"/>
      <c r="AE56" s="1681"/>
      <c r="AF56" s="168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15503549</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0">
        <f>AB49-AB57</f>
        <v>2765329.3000000007</v>
      </c>
      <c r="AC59" s="1670"/>
      <c r="AD59" s="1670"/>
      <c r="AE59" s="1670"/>
      <c r="AF59" s="167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8" t="str">
        <f>IF(Application!AF204="yes","Farmworker State Credit", "$500M State Credit" )</f>
        <v>$500M State Credit</v>
      </c>
      <c r="B61" s="1618"/>
      <c r="C61" s="1618"/>
      <c r="D61" s="1618"/>
      <c r="E61" s="1618"/>
      <c r="F61" s="1618"/>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1" t="s">
        <v>1101</v>
      </c>
      <c r="Z63" s="1671"/>
      <c r="AA63" s="1671"/>
      <c r="AB63" s="1671"/>
      <c r="AC63" s="1671"/>
      <c r="AD63" s="1671" t="s">
        <v>394</v>
      </c>
      <c r="AE63" s="1671"/>
      <c r="AF63" s="1671"/>
      <c r="AG63" s="1671"/>
      <c r="AH63" s="167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2">
        <f>IF(OR(Application!M350="yes",Application!AF204="yes"),(T23*T27)+Y28,0)</f>
        <v>38342565.799999997</v>
      </c>
      <c r="Z64" s="1673"/>
      <c r="AA64" s="1673"/>
      <c r="AB64" s="1673"/>
      <c r="AC64" s="1674"/>
      <c r="AD64" s="1672">
        <f>IF(AND(Application!AF204="yes",Application!M353="yes"),AD28+AI28,0)</f>
        <v>0</v>
      </c>
      <c r="AE64" s="1673"/>
      <c r="AF64" s="1673"/>
      <c r="AG64" s="1673"/>
      <c r="AH64" s="167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5" t="s">
        <v>1537</v>
      </c>
      <c r="F65" s="1675"/>
      <c r="G65" s="1675"/>
      <c r="H65" s="1675"/>
      <c r="I65" s="1675"/>
      <c r="J65" s="1675"/>
      <c r="K65" s="1675"/>
      <c r="L65" s="1675"/>
      <c r="M65" s="1675"/>
      <c r="N65" s="1675"/>
      <c r="O65" s="1675"/>
      <c r="P65" s="1675"/>
      <c r="Q65" s="1675"/>
      <c r="R65" s="1675"/>
      <c r="S65" s="1675"/>
      <c r="T65" s="1675"/>
      <c r="U65" s="1675"/>
      <c r="V65" s="1675"/>
      <c r="W65" s="1675"/>
      <c r="X65" s="1675"/>
      <c r="Y65" s="1675"/>
      <c r="Z65" s="1675"/>
      <c r="AA65" s="1675"/>
      <c r="AB65" s="1675"/>
      <c r="AC65" s="1675"/>
      <c r="AD65" s="1675"/>
      <c r="AE65" s="1675"/>
      <c r="AF65" s="1675"/>
      <c r="AG65" s="1675"/>
      <c r="AH65" s="167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5"/>
      <c r="F66" s="1675"/>
      <c r="G66" s="1675"/>
      <c r="H66" s="1675"/>
      <c r="I66" s="1675"/>
      <c r="J66" s="1675"/>
      <c r="K66" s="1675"/>
      <c r="L66" s="1675"/>
      <c r="M66" s="1675"/>
      <c r="N66" s="1675"/>
      <c r="O66" s="1675"/>
      <c r="P66" s="1675"/>
      <c r="Q66" s="1675"/>
      <c r="R66" s="1675"/>
      <c r="S66" s="1675"/>
      <c r="T66" s="1675"/>
      <c r="U66" s="1675"/>
      <c r="V66" s="1675"/>
      <c r="W66" s="1675"/>
      <c r="X66" s="1675"/>
      <c r="Y66" s="1675"/>
      <c r="Z66" s="1675"/>
      <c r="AA66" s="1675"/>
      <c r="AB66" s="1675"/>
      <c r="AC66" s="1675"/>
      <c r="AD66" s="1675"/>
      <c r="AE66" s="1675"/>
      <c r="AF66" s="1675"/>
      <c r="AG66" s="1675"/>
      <c r="AH66" s="167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0">
        <f>IF(Application!AF204="yes",0.75,0.3)</f>
        <v>0.3</v>
      </c>
      <c r="Z67" s="1690"/>
      <c r="AA67" s="1690"/>
      <c r="AB67" s="1690"/>
      <c r="AC67" s="1690"/>
      <c r="AD67" s="1690">
        <f>IF(Application!AF204="yes",0.75,0.3)</f>
        <v>0.3</v>
      </c>
      <c r="AE67" s="1690"/>
      <c r="AF67" s="1690"/>
      <c r="AG67" s="1690"/>
      <c r="AH67" s="169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1">
        <f>ROUND(Y64*Y67,0)</f>
        <v>11502770</v>
      </c>
      <c r="Z68" s="1692"/>
      <c r="AA68" s="1692"/>
      <c r="AB68" s="1692"/>
      <c r="AC68" s="1692"/>
      <c r="AD68" s="1691" t="str">
        <f>IF(Application!D210="At-Risk",AD64*AD67,"$0")</f>
        <v>$0</v>
      </c>
      <c r="AE68" s="1692"/>
      <c r="AF68" s="1692"/>
      <c r="AG68" s="1692"/>
      <c r="AH68" s="169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6">
        <v>0.8</v>
      </c>
      <c r="AC71" s="1677"/>
      <c r="AD71" s="1677"/>
      <c r="AE71" s="1677"/>
      <c r="AF71" s="167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3" t="s">
        <v>1540</v>
      </c>
      <c r="F72" s="1693"/>
      <c r="G72" s="1693"/>
      <c r="H72" s="1693"/>
      <c r="I72" s="1693"/>
      <c r="J72" s="1693"/>
      <c r="K72" s="1693"/>
      <c r="L72" s="1693"/>
      <c r="M72" s="1693"/>
      <c r="N72" s="1693"/>
      <c r="O72" s="1693"/>
      <c r="P72" s="1693"/>
      <c r="Q72" s="1693"/>
      <c r="R72" s="1693"/>
      <c r="S72" s="1693"/>
      <c r="T72" s="1693"/>
      <c r="U72" s="1693"/>
      <c r="V72" s="1693"/>
      <c r="W72" s="1693"/>
      <c r="X72" s="1693"/>
      <c r="Y72" s="1693"/>
      <c r="Z72" s="1693"/>
      <c r="AA72" s="169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3"/>
      <c r="F73" s="1693"/>
      <c r="G73" s="1693"/>
      <c r="H73" s="1693"/>
      <c r="I73" s="1693"/>
      <c r="J73" s="1693"/>
      <c r="K73" s="1693"/>
      <c r="L73" s="1693"/>
      <c r="M73" s="1693"/>
      <c r="N73" s="1693"/>
      <c r="O73" s="1693"/>
      <c r="P73" s="1693"/>
      <c r="Q73" s="1693"/>
      <c r="R73" s="1693"/>
      <c r="S73" s="1693"/>
      <c r="T73" s="1693"/>
      <c r="U73" s="1693"/>
      <c r="V73" s="1693"/>
      <c r="W73" s="1693"/>
      <c r="X73" s="1693"/>
      <c r="Y73" s="1693"/>
      <c r="Z73" s="1693"/>
      <c r="AA73" s="169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5">
        <f>ROUND(IF(ISERROR((AB59/AB71)),0,(AB59/AB71)),0)</f>
        <v>3456662</v>
      </c>
      <c r="AC76" s="1685"/>
      <c r="AD76" s="1685"/>
      <c r="AE76" s="1685"/>
      <c r="AF76" s="168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6">
        <f>IF((Y68+AD68&lt;AB76),Y68+AD68,AB76)</f>
        <v>3456662</v>
      </c>
      <c r="AC77" s="1687"/>
      <c r="AD77" s="1687"/>
      <c r="AE77" s="1687"/>
      <c r="AF77" s="168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9">
        <f>AB77*AB71</f>
        <v>2765329.6</v>
      </c>
      <c r="AC78" s="1689"/>
      <c r="AD78" s="1689"/>
      <c r="AE78" s="1689"/>
      <c r="AF78" s="168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0">
        <f>AB49-(AB57+AB78)</f>
        <v>-0.30000000074505806</v>
      </c>
      <c r="AC80" s="1670"/>
      <c r="AD80" s="1670"/>
      <c r="AE80" s="1670"/>
      <c r="AF80" s="167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8" t="s">
        <v>1588</v>
      </c>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row>
    <row r="84" spans="1:98" ht="13.5" thickTop="1"/>
    <row r="85" spans="1:98" ht="12.75">
      <c r="A85" s="819" t="s">
        <v>643</v>
      </c>
      <c r="C85" s="344" t="s">
        <v>1586</v>
      </c>
    </row>
    <row r="86" spans="1:98" ht="12.75">
      <c r="D86" s="344" t="s">
        <v>1643</v>
      </c>
      <c r="AB86" s="1619">
        <f>IF(A61="$500M State Credit",AB77/(Application!AG424-Application!AG425),"N/A")</f>
        <v>48009.194444444445</v>
      </c>
      <c r="AC86" s="1619"/>
      <c r="AD86" s="1619"/>
      <c r="AE86" s="1619"/>
      <c r="AF86" s="1619"/>
    </row>
    <row r="87" spans="1:98" ht="13.5" thickBot="1">
      <c r="D87" s="344" t="s">
        <v>1644</v>
      </c>
      <c r="AB87" s="1617">
        <f>IF(A61="$500M State Credit",(Application!AG424-Application!AG425)/AB77,"N/A")</f>
        <v>2.0829343453308423E-5</v>
      </c>
      <c r="AC87" s="1617"/>
      <c r="AD87" s="1617"/>
      <c r="AE87" s="1617"/>
      <c r="AF87" s="161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16" zoomScale="80" zoomScaleNormal="80" zoomScaleSheetLayoutView="100" workbookViewId="0">
      <selection activeCell="F50" sqref="F5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539436</v>
      </c>
      <c r="G4" s="366">
        <f>E4*$C$4</f>
        <v>552921.89999999991</v>
      </c>
      <c r="I4" s="366">
        <f>G4*$C$4</f>
        <v>566744.94749999989</v>
      </c>
      <c r="K4" s="366">
        <f>I4*$C$4</f>
        <v>580913.57118749979</v>
      </c>
      <c r="M4" s="366">
        <f>K4*$C$4</f>
        <v>595436.41046718729</v>
      </c>
      <c r="O4" s="366">
        <f>M4*$C$4</f>
        <v>610322.32072886697</v>
      </c>
      <c r="Q4" s="366">
        <f>O4*$C$4</f>
        <v>625580.3787470886</v>
      </c>
      <c r="S4" s="366">
        <f>Q4*$C$4</f>
        <v>641219.88821576571</v>
      </c>
      <c r="U4" s="366">
        <f>S4*$C$4</f>
        <v>657250.38542115979</v>
      </c>
      <c r="W4" s="366">
        <f>U4*$C$4</f>
        <v>673681.64505668869</v>
      </c>
      <c r="Y4" s="366">
        <f>W4*$C$4</f>
        <v>690523.6861831058</v>
      </c>
      <c r="AA4" s="366">
        <f>Y4*$C$4</f>
        <v>707786.77833768341</v>
      </c>
      <c r="AC4" s="366">
        <f>AA4*$C$4</f>
        <v>725481.44779612543</v>
      </c>
      <c r="AE4" s="366">
        <f>AC4*$C$4</f>
        <v>743618.48399102851</v>
      </c>
      <c r="AG4" s="366">
        <f>AE4*$C$4</f>
        <v>762208.94609080418</v>
      </c>
    </row>
    <row r="5" spans="1:34" s="350" customFormat="1" ht="14.25">
      <c r="B5" s="350" t="s">
        <v>925</v>
      </c>
      <c r="C5" s="391">
        <f>IF(Application!$D$210="Special Needs",0.1,0.05)</f>
        <v>0.05</v>
      </c>
      <c r="E5" s="368">
        <f>-E4*$C$5</f>
        <v>-26971.800000000003</v>
      </c>
      <c r="F5" s="368"/>
      <c r="G5" s="368">
        <f>-G4*$C$5</f>
        <v>-27646.094999999998</v>
      </c>
      <c r="H5" s="368"/>
      <c r="I5" s="368">
        <f>-I4*$C$5</f>
        <v>-28337.247374999995</v>
      </c>
      <c r="J5" s="368"/>
      <c r="K5" s="368">
        <f>-K4*$C$5</f>
        <v>-29045.678559374992</v>
      </c>
      <c r="L5" s="368"/>
      <c r="M5" s="368">
        <f>-M4*$C$5</f>
        <v>-29771.820523359365</v>
      </c>
      <c r="N5" s="368"/>
      <c r="O5" s="368">
        <f>-O4*$C$5</f>
        <v>-30516.116036443349</v>
      </c>
      <c r="P5" s="368"/>
      <c r="Q5" s="368">
        <f>-Q4*$C$5</f>
        <v>-31279.018937354431</v>
      </c>
      <c r="R5" s="368"/>
      <c r="S5" s="368">
        <f>-S4*$C$5</f>
        <v>-32060.994410788287</v>
      </c>
      <c r="T5" s="368"/>
      <c r="U5" s="368">
        <f>-U4*$C$5</f>
        <v>-32862.519271057994</v>
      </c>
      <c r="V5" s="368"/>
      <c r="W5" s="368">
        <f>-W4*$C$5</f>
        <v>-33684.082252834436</v>
      </c>
      <c r="X5" s="368"/>
      <c r="Y5" s="368">
        <f>-Y4*$C$5</f>
        <v>-34526.184309155295</v>
      </c>
      <c r="Z5" s="368"/>
      <c r="AA5" s="368">
        <f>-AA4*$C$5</f>
        <v>-35389.338916884175</v>
      </c>
      <c r="AB5" s="368"/>
      <c r="AC5" s="368">
        <f>-AC4*$C$5</f>
        <v>-36274.072389806272</v>
      </c>
      <c r="AD5" s="368"/>
      <c r="AE5" s="368">
        <f>-AE4*$C$5</f>
        <v>-37180.924199551424</v>
      </c>
      <c r="AF5" s="368"/>
      <c r="AG5" s="368">
        <f>-AG4*$C$5</f>
        <v>-38110.447304540212</v>
      </c>
    </row>
    <row r="6" spans="1:34" s="350" customFormat="1" ht="14.25">
      <c r="A6" s="350" t="s">
        <v>923</v>
      </c>
      <c r="C6" s="390">
        <v>1.0249999999999999</v>
      </c>
      <c r="E6" s="369">
        <f>Application!Z789</f>
        <v>317112</v>
      </c>
      <c r="F6" s="369"/>
      <c r="G6" s="369">
        <f>E6*$C$6</f>
        <v>325039.8</v>
      </c>
      <c r="H6" s="369"/>
      <c r="I6" s="369">
        <f>G6*$C$6</f>
        <v>333165.79499999998</v>
      </c>
      <c r="J6" s="369"/>
      <c r="K6" s="369">
        <f>I6*$C$6</f>
        <v>341494.93987499998</v>
      </c>
      <c r="L6" s="369"/>
      <c r="M6" s="369">
        <f>K6*$C$6</f>
        <v>350032.31337187497</v>
      </c>
      <c r="N6" s="369"/>
      <c r="O6" s="369">
        <f>M6*$C$6</f>
        <v>358783.12120617181</v>
      </c>
      <c r="P6" s="369"/>
      <c r="Q6" s="369">
        <f>O6*$C$6</f>
        <v>367752.69923632609</v>
      </c>
      <c r="R6" s="369"/>
      <c r="S6" s="369">
        <f>Q6*$C$6</f>
        <v>376946.51671723422</v>
      </c>
      <c r="T6" s="369"/>
      <c r="U6" s="369">
        <f>S6*$C$6</f>
        <v>386370.17963516503</v>
      </c>
      <c r="V6" s="369"/>
      <c r="W6" s="369">
        <f>U6*$C$6</f>
        <v>396029.4341260441</v>
      </c>
      <c r="X6" s="369"/>
      <c r="Y6" s="369">
        <f>W6*$C$6</f>
        <v>405930.16997919517</v>
      </c>
      <c r="Z6" s="369"/>
      <c r="AA6" s="369">
        <f>Y6*$C$6</f>
        <v>416078.42422867502</v>
      </c>
      <c r="AB6" s="369"/>
      <c r="AC6" s="369">
        <f>AA6*$C$6</f>
        <v>426480.38483439188</v>
      </c>
      <c r="AD6" s="369"/>
      <c r="AE6" s="369">
        <f>AC6*$C$6</f>
        <v>437142.39445525163</v>
      </c>
      <c r="AF6" s="369"/>
      <c r="AG6" s="369">
        <f>AE6*$C$6</f>
        <v>448070.95431663288</v>
      </c>
    </row>
    <row r="7" spans="1:34" s="350" customFormat="1" ht="14.25">
      <c r="B7" s="350" t="s">
        <v>925</v>
      </c>
      <c r="C7" s="391">
        <f>IF(Application!$D$210="Special Needs",0.1,0.05)</f>
        <v>0.05</v>
      </c>
      <c r="E7" s="368">
        <f>-E6*$C$7</f>
        <v>-15855.6</v>
      </c>
      <c r="F7" s="368"/>
      <c r="G7" s="368">
        <f>-G6*$C$7</f>
        <v>-16251.99</v>
      </c>
      <c r="H7" s="368"/>
      <c r="I7" s="368">
        <f>-I6*$C$7</f>
        <v>-16658.28975</v>
      </c>
      <c r="J7" s="368"/>
      <c r="K7" s="368">
        <f>-K6*$C$7</f>
        <v>-17074.746993749999</v>
      </c>
      <c r="L7" s="368"/>
      <c r="M7" s="368">
        <f>-M6*$C$7</f>
        <v>-17501.615668593749</v>
      </c>
      <c r="N7" s="368"/>
      <c r="O7" s="368">
        <f>-O6*$C$7</f>
        <v>-17939.156060308593</v>
      </c>
      <c r="P7" s="368"/>
      <c r="Q7" s="368">
        <f>-Q6*$C$7</f>
        <v>-18387.634961816304</v>
      </c>
      <c r="R7" s="368"/>
      <c r="S7" s="368">
        <f>-S6*$C$7</f>
        <v>-18847.325835861713</v>
      </c>
      <c r="T7" s="368"/>
      <c r="U7" s="368">
        <f>-U6*$C$7</f>
        <v>-19318.508981758252</v>
      </c>
      <c r="V7" s="368"/>
      <c r="W7" s="368">
        <f>-W6*$C$7</f>
        <v>-19801.471706302207</v>
      </c>
      <c r="X7" s="368"/>
      <c r="Y7" s="368">
        <f>-Y6*$C$7</f>
        <v>-20296.50849895976</v>
      </c>
      <c r="Z7" s="368"/>
      <c r="AA7" s="368">
        <f>-AA6*$C$7</f>
        <v>-20803.921211433753</v>
      </c>
      <c r="AB7" s="368"/>
      <c r="AC7" s="368">
        <f>-AC6*$C$7</f>
        <v>-21324.019241719594</v>
      </c>
      <c r="AD7" s="368"/>
      <c r="AE7" s="368">
        <f>-AE6*$C$7</f>
        <v>-21857.119722762582</v>
      </c>
      <c r="AF7" s="368"/>
      <c r="AG7" s="368">
        <f>-AG6*$C$7</f>
        <v>-22403.547715831646</v>
      </c>
    </row>
    <row r="8" spans="1:34" s="350" customFormat="1" ht="14.25">
      <c r="A8" s="350" t="s">
        <v>307</v>
      </c>
      <c r="C8" s="390">
        <v>1.0249999999999999</v>
      </c>
      <c r="E8" s="369">
        <f>Application!Z797</f>
        <v>13824</v>
      </c>
      <c r="F8" s="369"/>
      <c r="G8" s="369">
        <f>E8*$C$8</f>
        <v>14169.599999999999</v>
      </c>
      <c r="H8" s="369"/>
      <c r="I8" s="369">
        <f>G8*$C$8</f>
        <v>14523.839999999997</v>
      </c>
      <c r="J8" s="369"/>
      <c r="K8" s="369">
        <f>I8*$C$8</f>
        <v>14886.935999999994</v>
      </c>
      <c r="L8" s="369"/>
      <c r="M8" s="369">
        <f>K8*$C$8</f>
        <v>15259.109399999992</v>
      </c>
      <c r="N8" s="369"/>
      <c r="O8" s="369">
        <f>M8*$C$8</f>
        <v>15640.587134999991</v>
      </c>
      <c r="P8" s="369"/>
      <c r="Q8" s="369">
        <f>O8*$C$8</f>
        <v>16031.601813374989</v>
      </c>
      <c r="R8" s="369"/>
      <c r="S8" s="369">
        <f>Q8*$C$8</f>
        <v>16432.391858709361</v>
      </c>
      <c r="T8" s="369"/>
      <c r="U8" s="369">
        <f>S8*$C$8</f>
        <v>16843.201655177094</v>
      </c>
      <c r="V8" s="369"/>
      <c r="W8" s="369">
        <f>U8*$C$8</f>
        <v>17264.281696556518</v>
      </c>
      <c r="X8" s="369"/>
      <c r="Y8" s="369">
        <f>W8*$C$8</f>
        <v>17695.888738970429</v>
      </c>
      <c r="Z8" s="369"/>
      <c r="AA8" s="369">
        <f>Y8*$C$8</f>
        <v>18138.285957444688</v>
      </c>
      <c r="AB8" s="369"/>
      <c r="AC8" s="369">
        <f>AA8*$C$8</f>
        <v>18591.743106380804</v>
      </c>
      <c r="AD8" s="369"/>
      <c r="AE8" s="369">
        <f>AC8*$C$8</f>
        <v>19056.536684040322</v>
      </c>
      <c r="AF8" s="369"/>
      <c r="AG8" s="369">
        <f>AE8*$C$8</f>
        <v>19532.950101141327</v>
      </c>
    </row>
    <row r="9" spans="1:34" s="350" customFormat="1" ht="14.25">
      <c r="B9" s="350" t="s">
        <v>925</v>
      </c>
      <c r="C9" s="391">
        <v>0.05</v>
      </c>
      <c r="E9" s="388">
        <f>-E8*$C$9</f>
        <v>-691.2</v>
      </c>
      <c r="F9" s="368"/>
      <c r="G9" s="388">
        <f>-G8*$C$9</f>
        <v>-708.48</v>
      </c>
      <c r="H9" s="368"/>
      <c r="I9" s="388">
        <f>-I8*$C$9</f>
        <v>-726.19199999999989</v>
      </c>
      <c r="J9" s="368"/>
      <c r="K9" s="388">
        <f>-K8*$C$9</f>
        <v>-744.3467999999998</v>
      </c>
      <c r="L9" s="368"/>
      <c r="M9" s="388">
        <f>-M8*$C$9</f>
        <v>-762.95546999999965</v>
      </c>
      <c r="N9" s="368"/>
      <c r="O9" s="388">
        <f>-O8*$C$9</f>
        <v>-782.02935674999958</v>
      </c>
      <c r="P9" s="368"/>
      <c r="Q9" s="388">
        <f>-Q8*$C$9</f>
        <v>-801.58009066874956</v>
      </c>
      <c r="R9" s="368"/>
      <c r="S9" s="388">
        <f>-S8*$C$9</f>
        <v>-821.61959293546806</v>
      </c>
      <c r="T9" s="368"/>
      <c r="U9" s="388">
        <f>-U8*$C$9</f>
        <v>-842.16008275885474</v>
      </c>
      <c r="V9" s="368"/>
      <c r="W9" s="388">
        <f>-W8*$C$9</f>
        <v>-863.2140848278259</v>
      </c>
      <c r="X9" s="368"/>
      <c r="Y9" s="388">
        <f>-Y8*$C$9</f>
        <v>-884.79443694852148</v>
      </c>
      <c r="Z9" s="368"/>
      <c r="AA9" s="388">
        <f>-AA8*$C$9</f>
        <v>-906.91429787223444</v>
      </c>
      <c r="AB9" s="368"/>
      <c r="AC9" s="388">
        <f>-AC8*$C$9</f>
        <v>-929.58715531904022</v>
      </c>
      <c r="AD9" s="368"/>
      <c r="AE9" s="388">
        <f>-AE8*$C$9</f>
        <v>-952.82683420201613</v>
      </c>
      <c r="AF9" s="368"/>
      <c r="AG9" s="388">
        <f>-AG8*$C$9</f>
        <v>-976.64750505706638</v>
      </c>
    </row>
    <row r="10" spans="1:34" s="370" customFormat="1" ht="15">
      <c r="A10" s="370" t="s">
        <v>947</v>
      </c>
      <c r="C10" s="361"/>
      <c r="E10" s="370">
        <f>SUM(E4:E9)</f>
        <v>826853.4</v>
      </c>
      <c r="G10" s="370">
        <f>SUM(G4:G9)</f>
        <v>847524.73499999999</v>
      </c>
      <c r="I10" s="370">
        <f>SUM(I4:I9)</f>
        <v>868712.85337499983</v>
      </c>
      <c r="K10" s="370">
        <f>SUM(K4:K9)</f>
        <v>890430.67470937478</v>
      </c>
      <c r="M10" s="370">
        <f>SUM(M4:M9)</f>
        <v>912691.44157710904</v>
      </c>
      <c r="O10" s="370">
        <f>SUM(O4:O9)</f>
        <v>935508.7276165369</v>
      </c>
      <c r="Q10" s="370">
        <f>SUM(Q4:Q9)</f>
        <v>958896.44580695033</v>
      </c>
      <c r="S10" s="370">
        <f>SUM(S4:S9)</f>
        <v>982868.85695212381</v>
      </c>
      <c r="U10" s="370">
        <f>SUM(U4:U9)</f>
        <v>1007440.5783759267</v>
      </c>
      <c r="W10" s="370">
        <f>SUM(W4:W9)</f>
        <v>1032626.5928353248</v>
      </c>
      <c r="Y10" s="370">
        <f>SUM(Y4:Y9)</f>
        <v>1058442.2576562078</v>
      </c>
      <c r="AA10" s="370">
        <f>SUM(AA4:AA9)</f>
        <v>1084903.3140976129</v>
      </c>
      <c r="AC10" s="370">
        <f>SUM(AC4:AC9)</f>
        <v>1112025.8969500533</v>
      </c>
      <c r="AE10" s="370">
        <f>SUM(AE4:AE9)</f>
        <v>1139826.5443738042</v>
      </c>
      <c r="AG10" s="370">
        <f>SUM(AG4:AG9)</f>
        <v>1168322.2079831497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57656</v>
      </c>
      <c r="G14" s="366">
        <f>E14*$C$13</f>
        <v>59673.959999999992</v>
      </c>
      <c r="I14" s="366">
        <f>G14*$C$13</f>
        <v>61762.548599999987</v>
      </c>
      <c r="K14" s="366">
        <f>I14*$C$13</f>
        <v>63924.237800999981</v>
      </c>
      <c r="M14" s="366">
        <f>K14*$C$13</f>
        <v>66161.586124034977</v>
      </c>
      <c r="O14" s="366">
        <f>M14*$C$13</f>
        <v>68477.241638376203</v>
      </c>
      <c r="Q14" s="366">
        <f>O14*$C$13</f>
        <v>70873.945095719362</v>
      </c>
      <c r="S14" s="366">
        <f>Q14*$C$13</f>
        <v>73354.53317406954</v>
      </c>
      <c r="U14" s="366">
        <f>S14*$C$13</f>
        <v>75921.941835161968</v>
      </c>
      <c r="W14" s="366">
        <f>U14*$C$13</f>
        <v>78579.209799392629</v>
      </c>
      <c r="Y14" s="366">
        <f>W14*$C$13</f>
        <v>81329.482142371358</v>
      </c>
      <c r="AA14" s="366">
        <f>Y14*$C$13</f>
        <v>84176.014017354348</v>
      </c>
      <c r="AC14" s="366">
        <f>AA14*$C$13</f>
        <v>87122.174507961739</v>
      </c>
      <c r="AE14" s="366">
        <f>AC14*$C$13</f>
        <v>90171.450615740396</v>
      </c>
      <c r="AG14" s="366">
        <f>AE14*$C$13</f>
        <v>93327.451387291308</v>
      </c>
    </row>
    <row r="15" spans="1:34" s="350" customFormat="1" ht="14.25">
      <c r="A15" s="350" t="s">
        <v>368</v>
      </c>
      <c r="C15" s="380"/>
      <c r="E15" s="369">
        <f>Application!W829</f>
        <v>55269</v>
      </c>
      <c r="F15" s="369"/>
      <c r="G15" s="369">
        <f t="shared" ref="G15:AG20" si="0">E15*$C$13</f>
        <v>57203.414999999994</v>
      </c>
      <c r="H15" s="369"/>
      <c r="I15" s="369">
        <f t="shared" si="0"/>
        <v>59205.534524999988</v>
      </c>
      <c r="J15" s="369"/>
      <c r="K15" s="369">
        <f t="shared" si="0"/>
        <v>61277.728233374983</v>
      </c>
      <c r="L15" s="369"/>
      <c r="M15" s="369">
        <f t="shared" si="0"/>
        <v>63422.4487215431</v>
      </c>
      <c r="N15" s="369"/>
      <c r="O15" s="369">
        <f t="shared" si="0"/>
        <v>65642.234426797106</v>
      </c>
      <c r="P15" s="369"/>
      <c r="Q15" s="369">
        <f t="shared" si="0"/>
        <v>67939.712631735005</v>
      </c>
      <c r="R15" s="369"/>
      <c r="S15" s="369">
        <f t="shared" si="0"/>
        <v>70317.602573845725</v>
      </c>
      <c r="T15" s="369"/>
      <c r="U15" s="369">
        <f t="shared" si="0"/>
        <v>72778.718663930325</v>
      </c>
      <c r="V15" s="369"/>
      <c r="W15" s="369">
        <f t="shared" si="0"/>
        <v>75325.973817167876</v>
      </c>
      <c r="X15" s="369"/>
      <c r="Y15" s="369">
        <f t="shared" si="0"/>
        <v>77962.382900768745</v>
      </c>
      <c r="Z15" s="369"/>
      <c r="AA15" s="369">
        <f t="shared" si="0"/>
        <v>80691.066302295643</v>
      </c>
      <c r="AB15" s="369"/>
      <c r="AC15" s="369">
        <f t="shared" si="0"/>
        <v>83515.253622875985</v>
      </c>
      <c r="AD15" s="369"/>
      <c r="AE15" s="369">
        <f t="shared" si="0"/>
        <v>86438.287499676633</v>
      </c>
      <c r="AF15" s="369"/>
      <c r="AG15" s="369">
        <f t="shared" si="0"/>
        <v>89463.627562165304</v>
      </c>
    </row>
    <row r="16" spans="1:34" s="350" customFormat="1" ht="14.25">
      <c r="A16" s="350" t="s">
        <v>610</v>
      </c>
      <c r="C16" s="380"/>
      <c r="E16" s="369">
        <f>Application!W835</f>
        <v>101439</v>
      </c>
      <c r="F16" s="369"/>
      <c r="G16" s="369">
        <f t="shared" si="0"/>
        <v>104989.36499999999</v>
      </c>
      <c r="H16" s="369"/>
      <c r="I16" s="369">
        <f t="shared" si="0"/>
        <v>108663.99277499998</v>
      </c>
      <c r="J16" s="369"/>
      <c r="K16" s="369">
        <f t="shared" si="0"/>
        <v>112467.23252212496</v>
      </c>
      <c r="L16" s="369"/>
      <c r="M16" s="369">
        <f t="shared" si="0"/>
        <v>116403.58566039933</v>
      </c>
      <c r="N16" s="369"/>
      <c r="O16" s="369">
        <f t="shared" si="0"/>
        <v>120477.7111585133</v>
      </c>
      <c r="P16" s="369"/>
      <c r="Q16" s="369">
        <f t="shared" si="0"/>
        <v>124694.43104906126</v>
      </c>
      <c r="R16" s="369"/>
      <c r="S16" s="369">
        <f t="shared" si="0"/>
        <v>129058.7361357784</v>
      </c>
      <c r="T16" s="369"/>
      <c r="U16" s="369">
        <f t="shared" si="0"/>
        <v>133575.79190053063</v>
      </c>
      <c r="V16" s="369"/>
      <c r="W16" s="369">
        <f t="shared" si="0"/>
        <v>138250.94461704919</v>
      </c>
      <c r="X16" s="369"/>
      <c r="Y16" s="369">
        <f t="shared" si="0"/>
        <v>143089.7276786459</v>
      </c>
      <c r="Z16" s="369"/>
      <c r="AA16" s="369">
        <f t="shared" si="0"/>
        <v>148097.86814739849</v>
      </c>
      <c r="AB16" s="369"/>
      <c r="AC16" s="369">
        <f t="shared" si="0"/>
        <v>153281.29353255744</v>
      </c>
      <c r="AD16" s="369"/>
      <c r="AE16" s="369">
        <f t="shared" si="0"/>
        <v>158646.13880619695</v>
      </c>
      <c r="AF16" s="369"/>
      <c r="AG16" s="369">
        <f t="shared" si="0"/>
        <v>164198.75366441382</v>
      </c>
    </row>
    <row r="17" spans="1:33" s="350" customFormat="1" ht="14.25">
      <c r="A17" s="350" t="s">
        <v>929</v>
      </c>
      <c r="C17" s="380"/>
      <c r="E17" s="369">
        <f>Application!W840</f>
        <v>121590</v>
      </c>
      <c r="F17" s="369"/>
      <c r="G17" s="369">
        <f t="shared" si="0"/>
        <v>125845.65</v>
      </c>
      <c r="H17" s="369"/>
      <c r="I17" s="369">
        <f t="shared" si="0"/>
        <v>130250.24774999998</v>
      </c>
      <c r="J17" s="369"/>
      <c r="K17" s="369">
        <f t="shared" si="0"/>
        <v>134809.00642124997</v>
      </c>
      <c r="L17" s="369"/>
      <c r="M17" s="369">
        <f t="shared" si="0"/>
        <v>139527.32164599371</v>
      </c>
      <c r="N17" s="369"/>
      <c r="O17" s="369">
        <f t="shared" si="0"/>
        <v>144410.77790360348</v>
      </c>
      <c r="P17" s="369"/>
      <c r="Q17" s="369">
        <f t="shared" si="0"/>
        <v>149465.1551302296</v>
      </c>
      <c r="R17" s="369"/>
      <c r="S17" s="369">
        <f t="shared" si="0"/>
        <v>154696.43555978761</v>
      </c>
      <c r="T17" s="369"/>
      <c r="U17" s="369">
        <f t="shared" si="0"/>
        <v>160110.81080438016</v>
      </c>
      <c r="V17" s="369"/>
      <c r="W17" s="369">
        <f t="shared" si="0"/>
        <v>165714.68918253345</v>
      </c>
      <c r="X17" s="369"/>
      <c r="Y17" s="369">
        <f t="shared" si="0"/>
        <v>171514.70330392211</v>
      </c>
      <c r="Z17" s="369"/>
      <c r="AA17" s="369">
        <f t="shared" si="0"/>
        <v>177517.71791955936</v>
      </c>
      <c r="AB17" s="369"/>
      <c r="AC17" s="369">
        <f t="shared" si="0"/>
        <v>183730.83804674391</v>
      </c>
      <c r="AD17" s="369"/>
      <c r="AE17" s="369">
        <f t="shared" si="0"/>
        <v>190161.41737837993</v>
      </c>
      <c r="AF17" s="369"/>
      <c r="AG17" s="369">
        <f t="shared" si="0"/>
        <v>196817.06698662322</v>
      </c>
    </row>
    <row r="18" spans="1:33" s="350" customFormat="1" ht="14.25">
      <c r="A18" s="350" t="s">
        <v>162</v>
      </c>
      <c r="C18" s="380"/>
      <c r="E18" s="369">
        <f>Application!W841</f>
        <v>28150</v>
      </c>
      <c r="F18" s="369"/>
      <c r="G18" s="369">
        <f t="shared" si="0"/>
        <v>29135.249999999996</v>
      </c>
      <c r="H18" s="369"/>
      <c r="I18" s="369">
        <f t="shared" si="0"/>
        <v>30154.983749999992</v>
      </c>
      <c r="J18" s="369"/>
      <c r="K18" s="369">
        <f t="shared" si="0"/>
        <v>31210.40818124999</v>
      </c>
      <c r="L18" s="369"/>
      <c r="M18" s="369">
        <f t="shared" si="0"/>
        <v>32302.772467593735</v>
      </c>
      <c r="N18" s="369"/>
      <c r="O18" s="369">
        <f t="shared" si="0"/>
        <v>33433.369503959511</v>
      </c>
      <c r="P18" s="369"/>
      <c r="Q18" s="369">
        <f t="shared" si="0"/>
        <v>34603.53743659809</v>
      </c>
      <c r="R18" s="369"/>
      <c r="S18" s="369">
        <f t="shared" si="0"/>
        <v>35814.661246879019</v>
      </c>
      <c r="T18" s="369"/>
      <c r="U18" s="369">
        <f t="shared" si="0"/>
        <v>37068.17439051978</v>
      </c>
      <c r="V18" s="369"/>
      <c r="W18" s="369">
        <f t="shared" si="0"/>
        <v>38365.560494187972</v>
      </c>
      <c r="X18" s="369"/>
      <c r="Y18" s="369">
        <f t="shared" si="0"/>
        <v>39708.355111484547</v>
      </c>
      <c r="Z18" s="369"/>
      <c r="AA18" s="369">
        <f t="shared" si="0"/>
        <v>41098.147540386504</v>
      </c>
      <c r="AB18" s="369"/>
      <c r="AC18" s="369">
        <f t="shared" si="0"/>
        <v>42536.582704300032</v>
      </c>
      <c r="AD18" s="369"/>
      <c r="AE18" s="369">
        <f t="shared" si="0"/>
        <v>44025.363098950533</v>
      </c>
      <c r="AF18" s="369"/>
      <c r="AG18" s="369">
        <f t="shared" si="0"/>
        <v>45566.250807413795</v>
      </c>
    </row>
    <row r="19" spans="1:33" s="350" customFormat="1" ht="14.25">
      <c r="A19" s="350" t="s">
        <v>423</v>
      </c>
      <c r="C19" s="380"/>
      <c r="E19" s="369">
        <f>Application!W850</f>
        <v>120350</v>
      </c>
      <c r="F19" s="369"/>
      <c r="G19" s="369">
        <f t="shared" si="0"/>
        <v>124562.24999999999</v>
      </c>
      <c r="H19" s="369"/>
      <c r="I19" s="369">
        <f t="shared" si="0"/>
        <v>128921.92874999998</v>
      </c>
      <c r="J19" s="369"/>
      <c r="K19" s="369">
        <f t="shared" si="0"/>
        <v>133434.19625624997</v>
      </c>
      <c r="L19" s="369"/>
      <c r="M19" s="369">
        <f t="shared" si="0"/>
        <v>138104.39312521872</v>
      </c>
      <c r="N19" s="369"/>
      <c r="O19" s="369">
        <f t="shared" si="0"/>
        <v>142938.04688460135</v>
      </c>
      <c r="P19" s="369"/>
      <c r="Q19" s="369">
        <f t="shared" si="0"/>
        <v>147940.87852556238</v>
      </c>
      <c r="R19" s="369"/>
      <c r="S19" s="369">
        <f t="shared" si="0"/>
        <v>153118.80927395704</v>
      </c>
      <c r="T19" s="369"/>
      <c r="U19" s="369">
        <f t="shared" si="0"/>
        <v>158477.96759854554</v>
      </c>
      <c r="V19" s="369"/>
      <c r="W19" s="369">
        <f t="shared" si="0"/>
        <v>164024.69646449463</v>
      </c>
      <c r="X19" s="369"/>
      <c r="Y19" s="369">
        <f t="shared" si="0"/>
        <v>169765.56084075192</v>
      </c>
      <c r="Z19" s="369"/>
      <c r="AA19" s="369">
        <f t="shared" si="0"/>
        <v>175707.35547017821</v>
      </c>
      <c r="AB19" s="369"/>
      <c r="AC19" s="369">
        <f t="shared" si="0"/>
        <v>181857.11291163444</v>
      </c>
      <c r="AD19" s="369"/>
      <c r="AE19" s="369">
        <f t="shared" si="0"/>
        <v>188222.11186354162</v>
      </c>
      <c r="AF19" s="369"/>
      <c r="AG19" s="369">
        <f t="shared" si="0"/>
        <v>194809.88577876557</v>
      </c>
    </row>
    <row r="20" spans="1:33" s="350" customFormat="1" ht="14.25">
      <c r="A20" s="373" t="str">
        <f>Application!M852</f>
        <v>Misc. Licenses/Permits</v>
      </c>
      <c r="B20" s="373"/>
      <c r="C20" s="380"/>
      <c r="E20" s="379">
        <f>Application!W857</f>
        <v>240</v>
      </c>
      <c r="F20" s="369"/>
      <c r="G20" s="379">
        <f t="shared" si="0"/>
        <v>248.39999999999998</v>
      </c>
      <c r="H20" s="369"/>
      <c r="I20" s="379">
        <f t="shared" si="0"/>
        <v>257.09399999999994</v>
      </c>
      <c r="J20" s="369"/>
      <c r="K20" s="379">
        <f t="shared" si="0"/>
        <v>266.09228999999993</v>
      </c>
      <c r="L20" s="369"/>
      <c r="M20" s="379">
        <f t="shared" si="0"/>
        <v>275.40552014999992</v>
      </c>
      <c r="N20" s="369"/>
      <c r="O20" s="379">
        <f t="shared" si="0"/>
        <v>285.04471335524988</v>
      </c>
      <c r="P20" s="369"/>
      <c r="Q20" s="379">
        <f t="shared" si="0"/>
        <v>295.0212783226836</v>
      </c>
      <c r="R20" s="369"/>
      <c r="S20" s="379">
        <f t="shared" si="0"/>
        <v>305.34702306397747</v>
      </c>
      <c r="T20" s="369"/>
      <c r="U20" s="379">
        <f t="shared" si="0"/>
        <v>316.03416887121665</v>
      </c>
      <c r="V20" s="369"/>
      <c r="W20" s="379">
        <f t="shared" si="0"/>
        <v>327.09536478170924</v>
      </c>
      <c r="X20" s="369"/>
      <c r="Y20" s="379">
        <f t="shared" si="0"/>
        <v>338.54370254906905</v>
      </c>
      <c r="Z20" s="369"/>
      <c r="AA20" s="379">
        <f t="shared" si="0"/>
        <v>350.39273213828642</v>
      </c>
      <c r="AB20" s="369"/>
      <c r="AC20" s="379">
        <f t="shared" si="0"/>
        <v>362.65647776312642</v>
      </c>
      <c r="AD20" s="369"/>
      <c r="AE20" s="379">
        <f t="shared" si="0"/>
        <v>375.3494544848358</v>
      </c>
      <c r="AF20" s="369"/>
      <c r="AG20" s="379">
        <f t="shared" si="0"/>
        <v>388.48668539180505</v>
      </c>
    </row>
    <row r="21" spans="1:33" s="370" customFormat="1" ht="15">
      <c r="A21" s="370" t="s">
        <v>930</v>
      </c>
      <c r="C21" s="380"/>
      <c r="E21" s="370">
        <f>SUM(E14:E20)</f>
        <v>484694</v>
      </c>
      <c r="G21" s="370">
        <f>SUM(G14:G20)</f>
        <v>501658.29000000004</v>
      </c>
      <c r="I21" s="370">
        <f>SUM(I14:I20)</f>
        <v>519216.33014999988</v>
      </c>
      <c r="K21" s="370">
        <f>SUM(K14:K20)</f>
        <v>537388.90170524979</v>
      </c>
      <c r="M21" s="370">
        <f>SUM(M14:M20)</f>
        <v>556197.5132649336</v>
      </c>
      <c r="O21" s="370">
        <f>SUM(O14:O20)</f>
        <v>575664.42622920626</v>
      </c>
      <c r="Q21" s="370">
        <f>SUM(Q14:Q20)</f>
        <v>595812.68114722834</v>
      </c>
      <c r="S21" s="370">
        <f>SUM(S14:S20)</f>
        <v>616666.12498738116</v>
      </c>
      <c r="U21" s="370">
        <f>SUM(U14:U20)</f>
        <v>638249.43936193967</v>
      </c>
      <c r="W21" s="370">
        <f>SUM(W14:W20)</f>
        <v>660588.16973960737</v>
      </c>
      <c r="Y21" s="370">
        <f>SUM(Y14:Y20)</f>
        <v>683708.75568049354</v>
      </c>
      <c r="AA21" s="370">
        <f>SUM(AA14:AA20)</f>
        <v>707638.5621293108</v>
      </c>
      <c r="AC21" s="370">
        <f>SUM(AC14:AC20)</f>
        <v>732405.9118038367</v>
      </c>
      <c r="AE21" s="370">
        <f>SUM(AE14:AE20)</f>
        <v>758040.11871697102</v>
      </c>
      <c r="AG21" s="370">
        <f>SUM(AG14:AG20)</f>
        <v>784571.52287206484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1.0249999999999999</v>
      </c>
      <c r="E24" s="369">
        <f>Application!AC866</f>
        <v>15000</v>
      </c>
      <c r="F24" s="369"/>
      <c r="G24" s="369">
        <f>E24*$C$24</f>
        <v>15374.999999999998</v>
      </c>
      <c r="H24" s="369"/>
      <c r="I24" s="369">
        <f>G24*$C$24</f>
        <v>15759.374999999996</v>
      </c>
      <c r="J24" s="369"/>
      <c r="K24" s="369">
        <f>I24*$C$24</f>
        <v>16153.359374999995</v>
      </c>
      <c r="L24" s="369"/>
      <c r="M24" s="369">
        <f>K24*$C$24</f>
        <v>16557.193359374993</v>
      </c>
      <c r="N24" s="369"/>
      <c r="O24" s="369">
        <f>M24*$C$24</f>
        <v>16971.123193359366</v>
      </c>
      <c r="P24" s="369"/>
      <c r="Q24" s="369">
        <f>O24*$C$24</f>
        <v>17395.401273193347</v>
      </c>
      <c r="R24" s="369"/>
      <c r="S24" s="369">
        <f>Q24*$C$24</f>
        <v>17830.286305023179</v>
      </c>
      <c r="T24" s="369"/>
      <c r="U24" s="369">
        <f>S24*$C$24</f>
        <v>18276.043462648759</v>
      </c>
      <c r="V24" s="369"/>
      <c r="W24" s="369">
        <f>U24*$C$24</f>
        <v>18732.944549214975</v>
      </c>
      <c r="X24" s="369"/>
      <c r="Y24" s="369">
        <f>W24*$C$24</f>
        <v>19201.268162945347</v>
      </c>
      <c r="Z24" s="369"/>
      <c r="AA24" s="369">
        <f>Y24*$C$24</f>
        <v>19681.299867018981</v>
      </c>
      <c r="AB24" s="369"/>
      <c r="AC24" s="369">
        <f>AA24*$C$24</f>
        <v>20173.332363694455</v>
      </c>
      <c r="AD24" s="369"/>
      <c r="AE24" s="369">
        <f>AC24*$C$24</f>
        <v>20677.665672786814</v>
      </c>
      <c r="AF24" s="369"/>
      <c r="AG24" s="369">
        <f>AE24*$C$24</f>
        <v>21194.607314606481</v>
      </c>
    </row>
    <row r="25" spans="1:33" s="350" customFormat="1" ht="14.25">
      <c r="A25" s="350" t="s">
        <v>933</v>
      </c>
      <c r="C25" s="392"/>
      <c r="E25" s="369">
        <f>Application!AC867</f>
        <v>36000</v>
      </c>
      <c r="F25" s="369"/>
      <c r="G25" s="369">
        <f>$E$25</f>
        <v>36000</v>
      </c>
      <c r="H25" s="369"/>
      <c r="I25" s="369">
        <f>$E$25</f>
        <v>36000</v>
      </c>
      <c r="J25" s="369"/>
      <c r="K25" s="369">
        <f>$E$25</f>
        <v>36000</v>
      </c>
      <c r="L25" s="369"/>
      <c r="M25" s="369">
        <f>$E$25</f>
        <v>36000</v>
      </c>
      <c r="N25" s="369"/>
      <c r="O25" s="369">
        <f>$E$25</f>
        <v>36000</v>
      </c>
      <c r="P25" s="369"/>
      <c r="Q25" s="369">
        <f>$E$25</f>
        <v>36000</v>
      </c>
      <c r="R25" s="369"/>
      <c r="S25" s="369">
        <f>$E$25</f>
        <v>36000</v>
      </c>
      <c r="T25" s="369"/>
      <c r="U25" s="369">
        <f>$E$25</f>
        <v>36000</v>
      </c>
      <c r="V25" s="369"/>
      <c r="W25" s="369">
        <f>$E$25</f>
        <v>36000</v>
      </c>
      <c r="X25" s="369"/>
      <c r="Y25" s="369">
        <f>$E$25</f>
        <v>36000</v>
      </c>
      <c r="Z25" s="369"/>
      <c r="AA25" s="369">
        <f>$E$25</f>
        <v>36000</v>
      </c>
      <c r="AB25" s="369"/>
      <c r="AC25" s="369">
        <f>$E$25</f>
        <v>36000</v>
      </c>
      <c r="AD25" s="369"/>
      <c r="AE25" s="369">
        <f>$E$25</f>
        <v>36000</v>
      </c>
      <c r="AF25" s="369"/>
      <c r="AG25" s="369">
        <f>$E$25</f>
        <v>36000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Other (CMFA Bond Monitoring Fee):</v>
      </c>
      <c r="B27" s="373"/>
      <c r="C27" s="509">
        <v>1.0249999999999999</v>
      </c>
      <c r="E27" s="369">
        <f>Application!AC869</f>
        <v>4000</v>
      </c>
      <c r="F27" s="369"/>
      <c r="G27" s="369">
        <f>E27*$C$27</f>
        <v>4100</v>
      </c>
      <c r="H27" s="369"/>
      <c r="I27" s="369">
        <f>G27*$C$27</f>
        <v>4202.5</v>
      </c>
      <c r="J27" s="369"/>
      <c r="K27" s="369">
        <f>I27*$C$27</f>
        <v>4307.5625</v>
      </c>
      <c r="L27" s="369"/>
      <c r="M27" s="369">
        <f>K27*$C$27</f>
        <v>4415.2515624999996</v>
      </c>
      <c r="N27" s="369"/>
      <c r="O27" s="369">
        <f>M27*$C$27</f>
        <v>4525.6328515624991</v>
      </c>
      <c r="P27" s="369"/>
      <c r="Q27" s="369">
        <f>O27*$C$27</f>
        <v>4638.7736728515611</v>
      </c>
      <c r="R27" s="369"/>
      <c r="S27" s="369">
        <f>Q27*$C$27</f>
        <v>4754.7430146728493</v>
      </c>
      <c r="T27" s="369"/>
      <c r="U27" s="369">
        <f>S27*$C$27</f>
        <v>4873.6115900396699</v>
      </c>
      <c r="V27" s="369"/>
      <c r="W27" s="369">
        <f>U27*$C$27</f>
        <v>4995.4518797906612</v>
      </c>
      <c r="X27" s="369"/>
      <c r="Y27" s="369">
        <f>W27*$C$27</f>
        <v>5120.3381767854271</v>
      </c>
      <c r="Z27" s="369"/>
      <c r="AA27" s="369">
        <f>Y27*$C$27</f>
        <v>5248.3466312050623</v>
      </c>
      <c r="AB27" s="369"/>
      <c r="AC27" s="369">
        <f>AA27*$C$27</f>
        <v>5379.5552969851888</v>
      </c>
      <c r="AD27" s="369"/>
      <c r="AE27" s="369">
        <f>AC27*$C$27</f>
        <v>5514.0441794098178</v>
      </c>
      <c r="AF27" s="369"/>
      <c r="AG27" s="369">
        <f>AE27*$C$27</f>
        <v>5651.8952838950627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542694</v>
      </c>
      <c r="G30" s="370">
        <f>SUM(G21:G28)</f>
        <v>560193.29</v>
      </c>
      <c r="I30" s="370">
        <f>SUM(I21:I28)</f>
        <v>578299.40514999977</v>
      </c>
      <c r="K30" s="370">
        <f>SUM(K21:K28)</f>
        <v>597033.44758024975</v>
      </c>
      <c r="M30" s="370">
        <f>SUM(M21:M28)</f>
        <v>616417.25466680864</v>
      </c>
      <c r="O30" s="370">
        <f>SUM(O21:O28)</f>
        <v>636473.42468372802</v>
      </c>
      <c r="Q30" s="370">
        <f>SUM(Q21:Q28)</f>
        <v>657225.3433510653</v>
      </c>
      <c r="S30" s="370">
        <f>SUM(S21:S28)</f>
        <v>678697.21131002496</v>
      </c>
      <c r="U30" s="370">
        <f>SUM(U21:U28)</f>
        <v>700914.07255763491</v>
      </c>
      <c r="W30" s="370">
        <f>SUM(W21:W28)</f>
        <v>723901.84387447999</v>
      </c>
      <c r="Y30" s="370">
        <f>SUM(Y21:Y28)</f>
        <v>747687.34528020862</v>
      </c>
      <c r="AA30" s="370">
        <f>SUM(AA21:AA28)</f>
        <v>772298.33155271877</v>
      </c>
      <c r="AC30" s="370">
        <f>SUM(AC21:AC28)</f>
        <v>797763.52484820399</v>
      </c>
      <c r="AE30" s="370">
        <f>SUM(AE21:AE28)</f>
        <v>824112.64846052905</v>
      </c>
      <c r="AG30" s="370">
        <f>SUM(AG21:AG28)</f>
        <v>851376.46175975492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284159.40000000002</v>
      </c>
      <c r="G32" s="370">
        <f>G10-G30</f>
        <v>287331.44499999995</v>
      </c>
      <c r="I32" s="370">
        <f>I10-I30</f>
        <v>290413.44822500006</v>
      </c>
      <c r="K32" s="370">
        <f>K10-K30</f>
        <v>293397.22712912504</v>
      </c>
      <c r="M32" s="370">
        <f>M10-M30</f>
        <v>296274.1869103004</v>
      </c>
      <c r="O32" s="370">
        <f>O10-O30</f>
        <v>299035.30293280887</v>
      </c>
      <c r="Q32" s="370">
        <f>Q10-Q30</f>
        <v>301671.10245588503</v>
      </c>
      <c r="S32" s="370">
        <f>S10-S30</f>
        <v>304171.64564209885</v>
      </c>
      <c r="U32" s="370">
        <f>U10-U30</f>
        <v>306526.5058182918</v>
      </c>
      <c r="W32" s="370">
        <f>W10-W30</f>
        <v>308724.74896084482</v>
      </c>
      <c r="Y32" s="370">
        <f>Y10-Y30</f>
        <v>310754.91237599915</v>
      </c>
      <c r="AA32" s="370">
        <f>AA10-AA30</f>
        <v>312604.9825448941</v>
      </c>
      <c r="AC32" s="370">
        <f>AC10-AC30</f>
        <v>314262.37210184929</v>
      </c>
      <c r="AE32" s="370">
        <f>AE10-AE30</f>
        <v>315713.89591327519</v>
      </c>
      <c r="AG32" s="370">
        <f>AG10-AG30</f>
        <v>316945.74622339476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Tax Exempt Permanent Loan</v>
      </c>
      <c r="B35" s="373"/>
      <c r="C35" s="367"/>
      <c r="E35" s="369">
        <f>Application!AB618</f>
        <v>190468</v>
      </c>
      <c r="F35" s="369"/>
      <c r="G35" s="369">
        <f>$E$35</f>
        <v>190468</v>
      </c>
      <c r="H35" s="369"/>
      <c r="I35" s="369">
        <f>$E$35</f>
        <v>190468</v>
      </c>
      <c r="J35" s="369"/>
      <c r="K35" s="369">
        <f>$E$35</f>
        <v>190468</v>
      </c>
      <c r="L35" s="369"/>
      <c r="M35" s="369">
        <f>$E$35</f>
        <v>190468</v>
      </c>
      <c r="N35" s="369"/>
      <c r="O35" s="369">
        <f>$E$35</f>
        <v>190468</v>
      </c>
      <c r="P35" s="369"/>
      <c r="Q35" s="369">
        <f>$E$35</f>
        <v>190468</v>
      </c>
      <c r="R35" s="369"/>
      <c r="S35" s="369">
        <f>$E$35</f>
        <v>190468</v>
      </c>
      <c r="T35" s="369"/>
      <c r="U35" s="369">
        <f>$E$35</f>
        <v>190468</v>
      </c>
      <c r="V35" s="369"/>
      <c r="W35" s="369">
        <f>$E$35</f>
        <v>190468</v>
      </c>
      <c r="X35" s="369"/>
      <c r="Y35" s="369">
        <f>$E$35</f>
        <v>190468</v>
      </c>
      <c r="Z35" s="369"/>
      <c r="AA35" s="369">
        <f>$E$35</f>
        <v>190468</v>
      </c>
      <c r="AB35" s="369"/>
      <c r="AC35" s="369">
        <f>$E$35</f>
        <v>190468</v>
      </c>
      <c r="AD35" s="369"/>
      <c r="AE35" s="369">
        <f>$E$35</f>
        <v>190468</v>
      </c>
      <c r="AF35" s="369"/>
      <c r="AG35" s="369">
        <f>$E$35</f>
        <v>190468</v>
      </c>
    </row>
    <row r="36" spans="1:35" s="350" customFormat="1" ht="14.25">
      <c r="A36" s="372" t="s">
        <v>1818</v>
      </c>
      <c r="B36" s="373"/>
      <c r="C36" s="367"/>
      <c r="E36" s="369">
        <f>+Application!AB621</f>
        <v>29527</v>
      </c>
      <c r="F36" s="369"/>
      <c r="G36" s="369">
        <f>$E$36</f>
        <v>29527</v>
      </c>
      <c r="H36" s="369"/>
      <c r="I36" s="369">
        <f>$E$36</f>
        <v>29527</v>
      </c>
      <c r="J36" s="369"/>
      <c r="K36" s="369">
        <f>$E$36</f>
        <v>29527</v>
      </c>
      <c r="L36" s="369"/>
      <c r="M36" s="369">
        <f>$E$36</f>
        <v>29527</v>
      </c>
      <c r="N36" s="369"/>
      <c r="O36" s="369">
        <f>$E$36</f>
        <v>29527</v>
      </c>
      <c r="P36" s="369"/>
      <c r="Q36" s="369">
        <f>$E$36</f>
        <v>29527</v>
      </c>
      <c r="R36" s="369"/>
      <c r="S36" s="369">
        <f>$E$36</f>
        <v>29527</v>
      </c>
      <c r="T36" s="369"/>
      <c r="U36" s="369">
        <f>$E$36</f>
        <v>29527</v>
      </c>
      <c r="V36" s="369"/>
      <c r="W36" s="369">
        <f>$E$36</f>
        <v>29527</v>
      </c>
      <c r="X36" s="369"/>
      <c r="Y36" s="369">
        <f>$E$36</f>
        <v>29527</v>
      </c>
      <c r="Z36" s="369"/>
      <c r="AA36" s="369">
        <f>$E$36</f>
        <v>29527</v>
      </c>
      <c r="AB36" s="369"/>
      <c r="AC36" s="369">
        <f>$E$36</f>
        <v>29527</v>
      </c>
      <c r="AD36" s="369"/>
      <c r="AE36" s="369">
        <f>$E$36</f>
        <v>29527</v>
      </c>
      <c r="AF36" s="369"/>
      <c r="AG36" s="369">
        <f>$E$36</f>
        <v>29527</v>
      </c>
    </row>
    <row r="37" spans="1:35" s="350" customFormat="1" ht="14.25">
      <c r="A37" s="372" t="s">
        <v>1794</v>
      </c>
      <c r="B37" s="373"/>
      <c r="C37" s="367"/>
      <c r="E37" s="379">
        <f>+Application!AB622</f>
        <v>16806</v>
      </c>
      <c r="F37" s="369"/>
      <c r="G37" s="379">
        <f>$E$37</f>
        <v>16806</v>
      </c>
      <c r="H37" s="369"/>
      <c r="I37" s="379">
        <f>$E$37</f>
        <v>16806</v>
      </c>
      <c r="J37" s="369"/>
      <c r="K37" s="379">
        <f>$E$37</f>
        <v>16806</v>
      </c>
      <c r="L37" s="369"/>
      <c r="M37" s="379">
        <f>$E$37</f>
        <v>16806</v>
      </c>
      <c r="N37" s="369"/>
      <c r="O37" s="379">
        <f>$E$37</f>
        <v>16806</v>
      </c>
      <c r="P37" s="369"/>
      <c r="Q37" s="379">
        <f>$E$37</f>
        <v>16806</v>
      </c>
      <c r="R37" s="369"/>
      <c r="S37" s="379">
        <f>$E$37</f>
        <v>16806</v>
      </c>
      <c r="T37" s="369"/>
      <c r="U37" s="379">
        <f>$E$37</f>
        <v>16806</v>
      </c>
      <c r="V37" s="369"/>
      <c r="W37" s="379">
        <f>$E$37</f>
        <v>16806</v>
      </c>
      <c r="X37" s="369"/>
      <c r="Y37" s="379">
        <f>$E$37</f>
        <v>16806</v>
      </c>
      <c r="Z37" s="369"/>
      <c r="AA37" s="379">
        <f>$E$37</f>
        <v>16806</v>
      </c>
      <c r="AB37" s="369"/>
      <c r="AC37" s="379">
        <f>$E$37</f>
        <v>16806</v>
      </c>
      <c r="AD37" s="369"/>
      <c r="AE37" s="379">
        <f>$E$37</f>
        <v>16806</v>
      </c>
      <c r="AF37" s="369"/>
      <c r="AG37" s="379">
        <f>$E$37</f>
        <v>16806</v>
      </c>
    </row>
    <row r="38" spans="1:35" s="370" customFormat="1" ht="15">
      <c r="A38" s="370" t="s">
        <v>935</v>
      </c>
      <c r="C38" s="371"/>
      <c r="E38" s="370">
        <f>SUM(E35:E37)</f>
        <v>236801</v>
      </c>
      <c r="G38" s="370">
        <f>SUM(G35:G37)</f>
        <v>236801</v>
      </c>
      <c r="I38" s="370">
        <f>SUM(I35:I37)</f>
        <v>236801</v>
      </c>
      <c r="K38" s="370">
        <f>SUM(K35:K37)</f>
        <v>236801</v>
      </c>
      <c r="M38" s="370">
        <f>SUM(M35:M37)</f>
        <v>236801</v>
      </c>
      <c r="O38" s="370">
        <f>SUM(O35:O37)</f>
        <v>236801</v>
      </c>
      <c r="Q38" s="370">
        <f>SUM(Q35:Q37)</f>
        <v>236801</v>
      </c>
      <c r="S38" s="370">
        <f>SUM(S35:S37)</f>
        <v>236801</v>
      </c>
      <c r="U38" s="370">
        <f>SUM(U35:U37)</f>
        <v>236801</v>
      </c>
      <c r="W38" s="370">
        <f>SUM(W35:W37)</f>
        <v>236801</v>
      </c>
      <c r="Y38" s="370">
        <f>SUM(Y35:Y37)</f>
        <v>236801</v>
      </c>
      <c r="AA38" s="370">
        <f>SUM(AA35:AA37)</f>
        <v>236801</v>
      </c>
      <c r="AC38" s="370">
        <f>SUM(AC35:AC37)</f>
        <v>236801</v>
      </c>
      <c r="AE38" s="370">
        <f>SUM(AE35:AE37)</f>
        <v>236801</v>
      </c>
      <c r="AG38" s="370">
        <f>SUM(AG35:AG37)</f>
        <v>236801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47358.400000000023</v>
      </c>
      <c r="G40" s="370">
        <f>G32-G38</f>
        <v>50530.444999999949</v>
      </c>
      <c r="I40" s="370">
        <f>I32-I38</f>
        <v>53612.448225000058</v>
      </c>
      <c r="K40" s="370">
        <f>K32-K38</f>
        <v>56596.227129125036</v>
      </c>
      <c r="M40" s="370">
        <f>M32-M38</f>
        <v>59473.186910300399</v>
      </c>
      <c r="O40" s="370">
        <f>O32-O38</f>
        <v>62234.302932808874</v>
      </c>
      <c r="Q40" s="370">
        <f>Q32-Q38</f>
        <v>64870.102455885033</v>
      </c>
      <c r="S40" s="370">
        <f>S32-S38</f>
        <v>67370.645642098854</v>
      </c>
      <c r="U40" s="370">
        <f>U32-U38</f>
        <v>69725.5058182918</v>
      </c>
      <c r="W40" s="370">
        <f>W32-W38</f>
        <v>71923.748960844823</v>
      </c>
      <c r="Y40" s="370">
        <f>Y32-Y38</f>
        <v>73953.912375999149</v>
      </c>
      <c r="AA40" s="370">
        <f>AA32-AA38</f>
        <v>75803.982544894097</v>
      </c>
      <c r="AC40" s="370">
        <f>AC32-AC38</f>
        <v>77461.372101849294</v>
      </c>
      <c r="AE40" s="370">
        <f>AE32-AE38</f>
        <v>78912.895913275192</v>
      </c>
      <c r="AG40" s="370">
        <f>AG32-AG38</f>
        <v>80144.746223394759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5.4411676846222105E-2</v>
      </c>
      <c r="G42" s="374">
        <f>G40/(G4+G6+G8)</f>
        <v>5.6640143664951507E-2</v>
      </c>
      <c r="I42" s="374">
        <f>I40/(I4+I6+I8)</f>
        <v>5.862906899083737E-2</v>
      </c>
      <c r="K42" s="374">
        <f>K40/(K4+K6+K8)</f>
        <v>6.03824837797928E-2</v>
      </c>
      <c r="M42" s="374">
        <f>M40/(M4+M6+M8)</f>
        <v>6.1904303021791833E-2</v>
      </c>
      <c r="O42" s="374">
        <f>O40/(O4+O6+O8)</f>
        <v>6.3198328396998835E-2</v>
      </c>
      <c r="Q42" s="374">
        <f>Q40/(Q4+Q6+Q8)</f>
        <v>6.4268250865430518E-2</v>
      </c>
      <c r="S42" s="374">
        <f>S40/(S4+S6+S8)</f>
        <v>6.5117653191764005E-2</v>
      </c>
      <c r="U42" s="374">
        <f>U40/(U4+U6+U8)</f>
        <v>6.5750012406845915E-2</v>
      </c>
      <c r="W42" s="374">
        <f>W40/(W4+W6+W8)</f>
        <v>6.6168702207438618E-2</v>
      </c>
      <c r="Y42" s="374">
        <f>Y40/(Y4+Y6+Y8)</f>
        <v>6.637699529568393E-2</v>
      </c>
      <c r="AA42" s="374">
        <f>AA40/(AA4+AA6+AA8)</f>
        <v>6.637806565974784E-2</v>
      </c>
      <c r="AC42" s="374">
        <f>AC40/(AC4+AC6+AC8)</f>
        <v>6.6174990797055203E-2</v>
      </c>
      <c r="AE42" s="374">
        <f>AE40/(AE4+AE6+AE8)</f>
        <v>6.5770753881501151E-2</v>
      </c>
      <c r="AG42" s="374">
        <f>AG40/(AG4+AG6+AG8)</f>
        <v>6.5168245875989669E-2</v>
      </c>
    </row>
    <row r="43" spans="1:35" s="374" customFormat="1" ht="14.25">
      <c r="A43" s="374" t="s">
        <v>939</v>
      </c>
      <c r="C43" s="367"/>
      <c r="E43" s="374">
        <f>E40/E38</f>
        <v>0.19999239868074892</v>
      </c>
      <c r="G43" s="374">
        <f>G40/G38</f>
        <v>0.21338780241637473</v>
      </c>
      <c r="I43" s="374">
        <f>I40/I38</f>
        <v>0.22640296377549107</v>
      </c>
      <c r="K43" s="374">
        <f>K40/K38</f>
        <v>0.23900332823393919</v>
      </c>
      <c r="M43" s="374">
        <f>M40/M38</f>
        <v>0.25115260032812531</v>
      </c>
      <c r="O43" s="374">
        <f>O40/O38</f>
        <v>0.26281266942626458</v>
      </c>
      <c r="Q43" s="374">
        <f>Q40/Q38</f>
        <v>0.27394353256905601</v>
      </c>
      <c r="S43" s="374">
        <f>S40/S38</f>
        <v>0.28450321426893826</v>
      </c>
      <c r="U43" s="374">
        <f>U40/U38</f>
        <v>0.29444768315290815</v>
      </c>
      <c r="W43" s="374">
        <f>W40/W38</f>
        <v>0.30373076532972759</v>
      </c>
      <c r="Y43" s="374">
        <f>Y40/Y38</f>
        <v>0.31230405435787495</v>
      </c>
      <c r="AA43" s="374">
        <f>AA40/AA38</f>
        <v>0.32011681768613348</v>
      </c>
      <c r="AC43" s="374">
        <f>AC40/AC38</f>
        <v>0.3271158994339099</v>
      </c>
      <c r="AE43" s="374">
        <f>AE40/AE38</f>
        <v>0.33324561937354652</v>
      </c>
      <c r="AG43" s="374">
        <f>AG40/AG38</f>
        <v>0.33844766797181919</v>
      </c>
    </row>
    <row r="44" spans="1:35" s="375" customFormat="1" ht="14.25">
      <c r="A44" s="375" t="s">
        <v>937</v>
      </c>
      <c r="C44" s="376"/>
      <c r="E44" s="375">
        <f>E32/E38</f>
        <v>1.1999923986807488</v>
      </c>
      <c r="G44" s="375">
        <f>G32/G38</f>
        <v>1.2133878024163747</v>
      </c>
      <c r="I44" s="375">
        <f>I32/I38</f>
        <v>1.226402963775491</v>
      </c>
      <c r="K44" s="375">
        <f>K32/K38</f>
        <v>1.2390033282339392</v>
      </c>
      <c r="M44" s="375">
        <f>M32/M38</f>
        <v>1.2511526003281253</v>
      </c>
      <c r="O44" s="375">
        <f>O32/O38</f>
        <v>1.2628126694262645</v>
      </c>
      <c r="Q44" s="375">
        <f>Q32/Q38</f>
        <v>1.273943532569056</v>
      </c>
      <c r="S44" s="375">
        <f>S32/S38</f>
        <v>1.2845032142689383</v>
      </c>
      <c r="U44" s="375">
        <f>U32/U38</f>
        <v>1.2944476831529081</v>
      </c>
      <c r="W44" s="375">
        <f>W32/W38</f>
        <v>1.3037307653297276</v>
      </c>
      <c r="Y44" s="375">
        <f>Y32/Y38</f>
        <v>1.312304054357875</v>
      </c>
      <c r="AA44" s="375">
        <f>AA32/AA38</f>
        <v>1.3201168176861335</v>
      </c>
      <c r="AC44" s="375">
        <f>AC32/AC38</f>
        <v>1.3271158994339098</v>
      </c>
      <c r="AE44" s="375">
        <f>AE32/AE38</f>
        <v>1.3332456193735465</v>
      </c>
      <c r="AG44" s="375">
        <f>AG32/AG38</f>
        <v>1.3384476679718191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941</v>
      </c>
      <c r="C47" s="394"/>
      <c r="E47" s="383">
        <v>25000</v>
      </c>
      <c r="G47" s="369">
        <f>+E47*1.03</f>
        <v>25750</v>
      </c>
      <c r="I47" s="369">
        <f>+G47*1.03</f>
        <v>26522.5</v>
      </c>
      <c r="K47" s="369">
        <f>+I47*1.03</f>
        <v>27318.174999999999</v>
      </c>
      <c r="L47" s="369"/>
      <c r="M47" s="369">
        <f>+K47*1.03</f>
        <v>28137.720249999998</v>
      </c>
      <c r="N47" s="369"/>
      <c r="O47" s="369">
        <f>+M47*1.03</f>
        <v>28981.851857499998</v>
      </c>
      <c r="P47" s="369"/>
      <c r="Q47" s="369">
        <f>+O47*1.03</f>
        <v>29851.307413225</v>
      </c>
      <c r="R47" s="369"/>
      <c r="S47" s="369">
        <f>+Q47*1.03</f>
        <v>30746.84663562175</v>
      </c>
      <c r="T47" s="369"/>
      <c r="U47" s="369">
        <f>+S47*1.03</f>
        <v>31669.252034690402</v>
      </c>
      <c r="V47" s="369"/>
      <c r="W47" s="369">
        <f>+U47*1.03</f>
        <v>32619.329595731117</v>
      </c>
      <c r="X47" s="369"/>
      <c r="Y47" s="369">
        <f>+W47*1.03</f>
        <v>33597.909483603049</v>
      </c>
      <c r="Z47" s="369"/>
      <c r="AA47" s="369">
        <f>+Y47*1.03</f>
        <v>34605.846768111143</v>
      </c>
      <c r="AB47" s="369"/>
      <c r="AC47" s="369">
        <f>+AA47*1.03</f>
        <v>35644.02217115448</v>
      </c>
      <c r="AD47" s="369"/>
      <c r="AE47" s="369">
        <f>+AC47*1.03</f>
        <v>36713.342836289114</v>
      </c>
      <c r="AF47" s="369"/>
      <c r="AG47" s="369">
        <f>+AE47*1.03</f>
        <v>37814.743121377789</v>
      </c>
    </row>
    <row r="48" spans="1:35" s="152" customFormat="1" ht="14.25">
      <c r="A48" s="152" t="s">
        <v>942</v>
      </c>
      <c r="C48" s="394"/>
      <c r="E48" s="384">
        <v>5000</v>
      </c>
      <c r="F48" s="363"/>
      <c r="G48" s="369">
        <f>+E48*1.03</f>
        <v>5150</v>
      </c>
      <c r="H48" s="363"/>
      <c r="I48" s="369">
        <f>+G48*1.03</f>
        <v>5304.5</v>
      </c>
      <c r="J48" s="363"/>
      <c r="K48" s="369">
        <f>+I48*1.03</f>
        <v>5463.6350000000002</v>
      </c>
      <c r="L48" s="363"/>
      <c r="M48" s="369">
        <f>+K48*1.03</f>
        <v>5627.5440500000004</v>
      </c>
      <c r="N48" s="363"/>
      <c r="O48" s="369">
        <f>+M48*1.03</f>
        <v>5796.3703715000001</v>
      </c>
      <c r="P48" s="363"/>
      <c r="Q48" s="369">
        <f>+O48*1.03</f>
        <v>5970.2614826449999</v>
      </c>
      <c r="R48" s="363"/>
      <c r="S48" s="369">
        <f>+Q48*1.03</f>
        <v>6149.3693271243501</v>
      </c>
      <c r="T48" s="363"/>
      <c r="U48" s="369">
        <f>+S48*1.03</f>
        <v>6333.8504069380806</v>
      </c>
      <c r="V48" s="363"/>
      <c r="W48" s="369">
        <f>+U48*1.03</f>
        <v>6523.865919146223</v>
      </c>
      <c r="X48" s="363"/>
      <c r="Y48" s="369">
        <f>+W48*1.03</f>
        <v>6719.5818967206096</v>
      </c>
      <c r="Z48" s="363"/>
      <c r="AA48" s="369">
        <f>+Y48*1.03</f>
        <v>6921.1693536222283</v>
      </c>
      <c r="AB48" s="363"/>
      <c r="AC48" s="369">
        <f>+AA48*1.03</f>
        <v>7128.8044342308949</v>
      </c>
      <c r="AD48" s="363"/>
      <c r="AE48" s="369">
        <f>+AC48*1.03</f>
        <v>7342.6685672578224</v>
      </c>
      <c r="AF48" s="363"/>
      <c r="AG48" s="369">
        <f>+AE48*1.03</f>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30000</v>
      </c>
      <c r="F52" s="363"/>
      <c r="G52" s="363">
        <f>SUM(G47:G51)</f>
        <v>30900</v>
      </c>
      <c r="H52" s="363"/>
      <c r="I52" s="363">
        <f>SUM(I47:I51)</f>
        <v>31827</v>
      </c>
      <c r="J52" s="363"/>
      <c r="K52" s="363">
        <f>SUM(K47:K51)</f>
        <v>32781.81</v>
      </c>
      <c r="L52" s="363"/>
      <c r="M52" s="363">
        <f>SUM(M47:M51)</f>
        <v>33765.264299999995</v>
      </c>
      <c r="N52" s="363"/>
      <c r="O52" s="363">
        <f>SUM(O47:O51)</f>
        <v>34778.222228999999</v>
      </c>
      <c r="P52" s="363"/>
      <c r="Q52" s="363">
        <f>SUM(Q47:Q51)</f>
        <v>35821.568895869998</v>
      </c>
      <c r="R52" s="363"/>
      <c r="S52" s="363">
        <f>SUM(S47:S51)</f>
        <v>36896.215962746101</v>
      </c>
      <c r="T52" s="363"/>
      <c r="U52" s="363">
        <f>SUM(U47:U51)</f>
        <v>38003.102441628485</v>
      </c>
      <c r="V52" s="363"/>
      <c r="W52" s="363">
        <f>SUM(W47:W51)</f>
        <v>39143.195514877341</v>
      </c>
      <c r="X52" s="363"/>
      <c r="Y52" s="363">
        <f>SUM(Y47:Y51)</f>
        <v>40317.491380323656</v>
      </c>
      <c r="Z52" s="363"/>
      <c r="AA52" s="363">
        <f>SUM(AA47:AA51)</f>
        <v>41527.016121733373</v>
      </c>
      <c r="AB52" s="363"/>
      <c r="AC52" s="363">
        <f>SUM(AC47:AC51)</f>
        <v>42772.826605385373</v>
      </c>
      <c r="AD52" s="363"/>
      <c r="AE52" s="363">
        <f>SUM(AE47:AE51)</f>
        <v>44056.011403546938</v>
      </c>
      <c r="AF52" s="363"/>
      <c r="AG52" s="363">
        <f>SUM(AG47:AG51)</f>
        <v>45377.691745653348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17358.400000000023</v>
      </c>
      <c r="G54" s="255">
        <f>G40-G52</f>
        <v>19630.444999999949</v>
      </c>
      <c r="I54" s="255">
        <f>I40-I52</f>
        <v>21785.448225000058</v>
      </c>
      <c r="K54" s="255">
        <f>K40-K52</f>
        <v>23814.417129125039</v>
      </c>
      <c r="M54" s="255">
        <f>M40-M52</f>
        <v>25707.922610300404</v>
      </c>
      <c r="O54" s="255">
        <f>O40-O52</f>
        <v>27456.080703808875</v>
      </c>
      <c r="Q54" s="255">
        <f>Q40-Q52</f>
        <v>29048.533560015036</v>
      </c>
      <c r="S54" s="255">
        <f>S40-S52</f>
        <v>30474.429679352754</v>
      </c>
      <c r="U54" s="255">
        <f>U40-U52</f>
        <v>31722.403376663315</v>
      </c>
      <c r="W54" s="255">
        <f>W40-W52</f>
        <v>32780.553445967482</v>
      </c>
      <c r="Y54" s="255">
        <f>Y40-Y52</f>
        <v>33636.420995675493</v>
      </c>
      <c r="AA54" s="255">
        <f>AA40-AA52</f>
        <v>34276.966423160724</v>
      </c>
      <c r="AC54" s="255">
        <f>AC40-AC52</f>
        <v>34688.545496463921</v>
      </c>
      <c r="AE54" s="255">
        <f>AE40-AE52</f>
        <v>34856.884509728254</v>
      </c>
      <c r="AG54" s="255">
        <f>AG40-AG52</f>
        <v>34767.054477741411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2020-01-27T19:04:38Z</cp:lastPrinted>
  <dcterms:created xsi:type="dcterms:W3CDTF">2007-12-27T18:26:28Z</dcterms:created>
  <dcterms:modified xsi:type="dcterms:W3CDTF">2020-01-27T19:04:53Z</dcterms:modified>
</cp:coreProperties>
</file>