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40" windowHeight="808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AB50" i="15"/>
  <c r="AD984" i="3" l="1"/>
  <c r="Y811" i="3" l="1"/>
  <c r="U811" i="3"/>
  <c r="Q811" i="3"/>
  <c r="Q388" i="3" l="1"/>
  <c r="A3" i="15" l="1"/>
  <c r="AN929" i="3" l="1"/>
  <c r="AD64" i="15" l="1"/>
  <c r="A61" i="15" l="1"/>
  <c r="AD67" i="15" l="1"/>
  <c r="Y67" i="15"/>
  <c r="T11" i="4" l="1"/>
  <c r="R10" i="4"/>
  <c r="R88" i="4"/>
  <c r="S88" i="4" s="1"/>
  <c r="R81" i="4"/>
  <c r="S81" i="4" s="1"/>
  <c r="T25" i="15"/>
  <c r="AI7" i="15" s="1"/>
  <c r="AG428" i="3"/>
  <c r="AG431" i="3"/>
  <c r="B58" i="4"/>
  <c r="C77" i="11"/>
  <c r="C78" i="11"/>
  <c r="C79" i="11" s="1"/>
  <c r="B77" i="11"/>
  <c r="D77" i="11" s="1"/>
  <c r="B78" i="11"/>
  <c r="I95" i="13"/>
  <c r="J95" i="13"/>
  <c r="J78" i="13"/>
  <c r="I78" i="13"/>
  <c r="G78" i="13"/>
  <c r="F78" i="13"/>
  <c r="D78" i="13"/>
  <c r="C78" i="13"/>
  <c r="H77" i="13"/>
  <c r="E77" i="13"/>
  <c r="B77" i="13"/>
  <c r="R77" i="4"/>
  <c r="S77" i="4" s="1"/>
  <c r="R76" i="4"/>
  <c r="S76" i="4" s="1"/>
  <c r="E76"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E87" i="13"/>
  <c r="E86" i="13"/>
  <c r="E84" i="13"/>
  <c r="E81" i="13"/>
  <c r="E65" i="13"/>
  <c r="E52" i="13"/>
  <c r="E49" i="13"/>
  <c r="E46" i="13"/>
  <c r="E45" i="13"/>
  <c r="E41" i="13"/>
  <c r="E35" i="13"/>
  <c r="E34" i="13"/>
  <c r="E33" i="13"/>
  <c r="E30"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G63" i="13" s="1"/>
  <c r="G96" i="13" s="1"/>
  <c r="G105" i="13" s="1"/>
  <c r="G107" i="13" s="1"/>
  <c r="F53" i="13"/>
  <c r="D53" i="13"/>
  <c r="C53" i="13"/>
  <c r="J40" i="13"/>
  <c r="I40" i="13"/>
  <c r="G40" i="13"/>
  <c r="F40" i="13"/>
  <c r="F63" i="13" s="1"/>
  <c r="F96" i="13" s="1"/>
  <c r="F105" i="13" s="1"/>
  <c r="F107" i="13" s="1"/>
  <c r="F25" i="13"/>
  <c r="F36" i="13"/>
  <c r="D40" i="13"/>
  <c r="D63" i="13" s="1"/>
  <c r="D96" i="13" s="1"/>
  <c r="D105" i="13" s="1"/>
  <c r="C40" i="13"/>
  <c r="J36" i="13"/>
  <c r="I36" i="13"/>
  <c r="I63" i="13" s="1"/>
  <c r="I96" i="13" s="1"/>
  <c r="I105" i="13" s="1"/>
  <c r="I107" i="13" s="1"/>
  <c r="G36" i="13"/>
  <c r="D36" i="13"/>
  <c r="C36" i="13"/>
  <c r="J25" i="13"/>
  <c r="J63" i="13" s="1"/>
  <c r="J96" i="13" s="1"/>
  <c r="J105" i="13" s="1"/>
  <c r="J107" i="13" s="1"/>
  <c r="I25" i="13"/>
  <c r="I11" i="13"/>
  <c r="G25" i="13"/>
  <c r="D25" i="13"/>
  <c r="C25" i="13"/>
  <c r="J11" i="13"/>
  <c r="D11" i="13"/>
  <c r="C11" i="13"/>
  <c r="C12" i="13" s="1"/>
  <c r="C8" i="13"/>
  <c r="D8" i="13"/>
  <c r="T104" i="4"/>
  <c r="H104" i="13" s="1"/>
  <c r="R103" i="4"/>
  <c r="R102" i="4"/>
  <c r="R101" i="4"/>
  <c r="R100" i="4"/>
  <c r="R99" i="4"/>
  <c r="R98" i="4"/>
  <c r="S98" i="4" s="1"/>
  <c r="E98" i="13" s="1"/>
  <c r="R94" i="4"/>
  <c r="R93" i="4"/>
  <c r="R92" i="4"/>
  <c r="R91" i="4"/>
  <c r="R90" i="4"/>
  <c r="R89" i="4"/>
  <c r="S89" i="4" s="1"/>
  <c r="E89" i="13" s="1"/>
  <c r="R87" i="4"/>
  <c r="S87" i="4" s="1"/>
  <c r="R86" i="4"/>
  <c r="S86" i="4" s="1"/>
  <c r="R85" i="4"/>
  <c r="R84" i="4"/>
  <c r="R83" i="4"/>
  <c r="S83" i="4" s="1"/>
  <c r="E83" i="13" s="1"/>
  <c r="R82" i="4"/>
  <c r="S82" i="4" s="1"/>
  <c r="E82" i="13" s="1"/>
  <c r="R80" i="4"/>
  <c r="R73" i="4"/>
  <c r="R72" i="4"/>
  <c r="R69" i="4"/>
  <c r="R70" i="4"/>
  <c r="R71" i="4"/>
  <c r="R66" i="4"/>
  <c r="R65" i="4"/>
  <c r="R61" i="4"/>
  <c r="R60" i="4"/>
  <c r="R59" i="4"/>
  <c r="R58" i="4"/>
  <c r="R57" i="4"/>
  <c r="R56" i="4"/>
  <c r="R55" i="4"/>
  <c r="R52" i="4"/>
  <c r="R51" i="4"/>
  <c r="S51" i="4" s="1"/>
  <c r="E51" i="13" s="1"/>
  <c r="R50" i="4"/>
  <c r="R49" i="4"/>
  <c r="S49" i="4" s="1"/>
  <c r="R48" i="4"/>
  <c r="S48" i="4" s="1"/>
  <c r="E48" i="13" s="1"/>
  <c r="R47" i="4"/>
  <c r="S47" i="4" s="1"/>
  <c r="E47" i="13" s="1"/>
  <c r="R46" i="4"/>
  <c r="R45" i="4"/>
  <c r="R44" i="4"/>
  <c r="S44" i="4" s="1"/>
  <c r="E44" i="13" s="1"/>
  <c r="R43" i="4"/>
  <c r="S43" i="4" s="1"/>
  <c r="E43" i="13" s="1"/>
  <c r="R41" i="4"/>
  <c r="S41" i="4" s="1"/>
  <c r="R39" i="4"/>
  <c r="S39" i="4" s="1"/>
  <c r="E39" i="13" s="1"/>
  <c r="R38" i="4"/>
  <c r="S38" i="4" s="1"/>
  <c r="S40" i="4" s="1"/>
  <c r="E40" i="13" s="1"/>
  <c r="R35" i="4"/>
  <c r="R34" i="4"/>
  <c r="R33" i="4"/>
  <c r="S33" i="4" s="1"/>
  <c r="R32" i="4"/>
  <c r="S32" i="4" s="1"/>
  <c r="E32" i="13" s="1"/>
  <c r="R31" i="4"/>
  <c r="S31" i="4" s="1"/>
  <c r="E31" i="13" s="1"/>
  <c r="R30" i="4"/>
  <c r="S30" i="4" s="1"/>
  <c r="R29" i="4"/>
  <c r="S29" i="4" s="1"/>
  <c r="E29" i="13" s="1"/>
  <c r="R28" i="4"/>
  <c r="S28" i="4" s="1"/>
  <c r="E28" i="13" s="1"/>
  <c r="R26" i="4"/>
  <c r="R24" i="4"/>
  <c r="R23" i="4"/>
  <c r="R22" i="4"/>
  <c r="R21" i="4"/>
  <c r="R25" i="4" s="1"/>
  <c r="R20" i="4"/>
  <c r="R19" i="4"/>
  <c r="R18" i="4"/>
  <c r="R17" i="4"/>
  <c r="R15" i="4"/>
  <c r="R14" i="4"/>
  <c r="R13" i="4"/>
  <c r="R9" i="4"/>
  <c r="R11" i="4" s="1"/>
  <c r="R7" i="4"/>
  <c r="R6" i="4"/>
  <c r="R5" i="4"/>
  <c r="R4" i="4"/>
  <c r="R8" i="4" s="1"/>
  <c r="B5" i="11"/>
  <c r="C5" i="11"/>
  <c r="B6" i="11"/>
  <c r="C6" i="11"/>
  <c r="B7" i="11"/>
  <c r="C7" i="11"/>
  <c r="D7" i="11" s="1"/>
  <c r="C8" i="11"/>
  <c r="B8" i="11"/>
  <c r="D8" i="11" s="1"/>
  <c r="B10" i="11"/>
  <c r="B11" i="11"/>
  <c r="C10" i="11"/>
  <c r="C11" i="11"/>
  <c r="C12" i="11" s="1"/>
  <c r="B14" i="11"/>
  <c r="C14" i="11"/>
  <c r="D14" i="11" s="1"/>
  <c r="B15" i="11"/>
  <c r="C15" i="11"/>
  <c r="B16" i="11"/>
  <c r="C16" i="11"/>
  <c r="D16" i="11"/>
  <c r="B18" i="11"/>
  <c r="C18" i="11"/>
  <c r="D18" i="11" s="1"/>
  <c r="B19" i="11"/>
  <c r="C19" i="11"/>
  <c r="D19" i="11"/>
  <c r="B20" i="11"/>
  <c r="C20" i="11"/>
  <c r="B21" i="11"/>
  <c r="C21" i="11"/>
  <c r="D21" i="11" s="1"/>
  <c r="B22" i="11"/>
  <c r="C22" i="11"/>
  <c r="D22" i="11" s="1"/>
  <c r="B23" i="11"/>
  <c r="C23" i="11"/>
  <c r="D23" i="11" s="1"/>
  <c r="B24" i="11"/>
  <c r="C24" i="11"/>
  <c r="D24" i="11"/>
  <c r="B25" i="11"/>
  <c r="C25" i="11"/>
  <c r="D25" i="11" s="1"/>
  <c r="B27" i="11"/>
  <c r="D27" i="11" s="1"/>
  <c r="C27" i="11"/>
  <c r="B29" i="11"/>
  <c r="B30" i="11"/>
  <c r="B31" i="11"/>
  <c r="D31" i="11" s="1"/>
  <c r="B32" i="11"/>
  <c r="B33" i="11"/>
  <c r="B34" i="11"/>
  <c r="B35" i="11"/>
  <c r="B36" i="11"/>
  <c r="C29" i="11"/>
  <c r="C30" i="11"/>
  <c r="D30" i="11" s="1"/>
  <c r="C31" i="11"/>
  <c r="C32" i="11"/>
  <c r="C33" i="11"/>
  <c r="D33" i="11"/>
  <c r="C34" i="11"/>
  <c r="C35" i="11"/>
  <c r="D35" i="11"/>
  <c r="C36" i="11"/>
  <c r="D36" i="11"/>
  <c r="B39" i="11"/>
  <c r="C39" i="11"/>
  <c r="C41" i="11" s="1"/>
  <c r="C40" i="11"/>
  <c r="B40" i="11"/>
  <c r="D40" i="11"/>
  <c r="B42" i="11"/>
  <c r="D42" i="11" s="1"/>
  <c r="C42" i="11"/>
  <c r="B44" i="11"/>
  <c r="C44" i="11"/>
  <c r="B45" i="11"/>
  <c r="C45" i="11"/>
  <c r="D45" i="11" s="1"/>
  <c r="B46" i="11"/>
  <c r="B47" i="11"/>
  <c r="B48" i="11"/>
  <c r="B49" i="11"/>
  <c r="B50" i="11"/>
  <c r="B51" i="11"/>
  <c r="D51" i="11" s="1"/>
  <c r="B52" i="11"/>
  <c r="D52" i="11" s="1"/>
  <c r="B53" i="11"/>
  <c r="C46" i="11"/>
  <c r="C47" i="11"/>
  <c r="D47" i="11" s="1"/>
  <c r="C48" i="11"/>
  <c r="C49" i="11"/>
  <c r="C50" i="11"/>
  <c r="D50" i="11" s="1"/>
  <c r="C51" i="11"/>
  <c r="C52" i="11"/>
  <c r="C53" i="11"/>
  <c r="B56" i="11"/>
  <c r="C56" i="11"/>
  <c r="B57" i="11"/>
  <c r="C57" i="11"/>
  <c r="B58" i="11"/>
  <c r="C58" i="11"/>
  <c r="D58" i="11" s="1"/>
  <c r="B59" i="11"/>
  <c r="D59" i="11" s="1"/>
  <c r="C59" i="11"/>
  <c r="B60" i="11"/>
  <c r="C60" i="11"/>
  <c r="D60" i="11" s="1"/>
  <c r="B61" i="11"/>
  <c r="D61" i="11" s="1"/>
  <c r="C61" i="11"/>
  <c r="B62" i="11"/>
  <c r="C62" i="11"/>
  <c r="B66" i="11"/>
  <c r="B67" i="11"/>
  <c r="B68" i="11"/>
  <c r="C66" i="11"/>
  <c r="D66" i="11" s="1"/>
  <c r="C67" i="11"/>
  <c r="B70" i="11"/>
  <c r="B75" i="11" s="1"/>
  <c r="C70" i="11"/>
  <c r="C75" i="11" s="1"/>
  <c r="B71" i="11"/>
  <c r="C71" i="11"/>
  <c r="B72" i="11"/>
  <c r="D72" i="11" s="1"/>
  <c r="C72" i="11"/>
  <c r="B73" i="11"/>
  <c r="C73" i="11"/>
  <c r="D73" i="11" s="1"/>
  <c r="B74" i="11"/>
  <c r="C74" i="11"/>
  <c r="D74" i="11" s="1"/>
  <c r="B81" i="11"/>
  <c r="C81" i="11"/>
  <c r="D81" i="11" s="1"/>
  <c r="B82" i="11"/>
  <c r="C82" i="11"/>
  <c r="C83" i="11"/>
  <c r="D83" i="11" s="1"/>
  <c r="C84" i="11"/>
  <c r="C85" i="11"/>
  <c r="C86" i="11"/>
  <c r="D86" i="11" s="1"/>
  <c r="C87" i="11"/>
  <c r="D87" i="11" s="1"/>
  <c r="C88" i="11"/>
  <c r="C89" i="11"/>
  <c r="D89" i="11" s="1"/>
  <c r="C90" i="11"/>
  <c r="C91" i="11"/>
  <c r="D91" i="11" s="1"/>
  <c r="C92" i="11"/>
  <c r="D92" i="11" s="1"/>
  <c r="C93" i="11"/>
  <c r="C94" i="11"/>
  <c r="C95" i="11"/>
  <c r="B83" i="11"/>
  <c r="B84" i="11"/>
  <c r="B85" i="11"/>
  <c r="D85" i="11"/>
  <c r="B86" i="11"/>
  <c r="B87" i="11"/>
  <c r="B88" i="11"/>
  <c r="D88" i="11"/>
  <c r="B89" i="11"/>
  <c r="B90" i="11"/>
  <c r="B91" i="11"/>
  <c r="B92" i="11"/>
  <c r="B93" i="11"/>
  <c r="D93" i="11"/>
  <c r="B94" i="11"/>
  <c r="B95" i="11"/>
  <c r="B99" i="11"/>
  <c r="C99" i="11"/>
  <c r="D99" i="11" s="1"/>
  <c r="B100" i="11"/>
  <c r="D100" i="11" s="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4" s="1"/>
  <c r="C74" i="4"/>
  <c r="B74" i="13" s="1"/>
  <c r="C95" i="4"/>
  <c r="B95" i="13" s="1"/>
  <c r="C104" i="4"/>
  <c r="B104" i="13" s="1"/>
  <c r="D8" i="4"/>
  <c r="D12" i="4" s="1"/>
  <c r="D11" i="4"/>
  <c r="D25" i="4"/>
  <c r="D36" i="4"/>
  <c r="D40" i="4"/>
  <c r="D53" i="4"/>
  <c r="D62" i="4"/>
  <c r="D67" i="4"/>
  <c r="B67" i="4" s="1"/>
  <c r="D74" i="4"/>
  <c r="D95" i="4"/>
  <c r="D104" i="4"/>
  <c r="AG630" i="3"/>
  <c r="AG632" i="3" s="1"/>
  <c r="S25" i="4"/>
  <c r="E25" i="13" s="1"/>
  <c r="S36" i="4"/>
  <c r="E36" i="13" s="1"/>
  <c r="S95" i="4"/>
  <c r="E95" i="13" s="1"/>
  <c r="S104" i="4"/>
  <c r="E104" i="13" s="1"/>
  <c r="F2" i="4"/>
  <c r="G2" i="4"/>
  <c r="H2" i="4"/>
  <c r="I2" i="4"/>
  <c r="J2" i="4"/>
  <c r="K2" i="4"/>
  <c r="L2" i="4"/>
  <c r="M2" i="4"/>
  <c r="N2" i="4"/>
  <c r="O2" i="4"/>
  <c r="P2" i="4"/>
  <c r="Q2" i="4"/>
  <c r="B4" i="4"/>
  <c r="B5" i="4"/>
  <c r="B6" i="4"/>
  <c r="B7" i="4"/>
  <c r="E8" i="4"/>
  <c r="F8" i="4"/>
  <c r="G8" i="4"/>
  <c r="G11" i="4"/>
  <c r="G12" i="4" s="1"/>
  <c r="H8" i="4"/>
  <c r="H11" i="4"/>
  <c r="H12" i="4"/>
  <c r="I8" i="4"/>
  <c r="I12" i="4" s="1"/>
  <c r="I11" i="4"/>
  <c r="J8" i="4"/>
  <c r="J63" i="4" s="1"/>
  <c r="J96" i="4" s="1"/>
  <c r="J105" i="4" s="1"/>
  <c r="J11" i="4"/>
  <c r="J25" i="4"/>
  <c r="J36" i="4"/>
  <c r="J40" i="4"/>
  <c r="J53" i="4"/>
  <c r="J62" i="4"/>
  <c r="J67" i="4"/>
  <c r="J74" i="4"/>
  <c r="J95" i="4"/>
  <c r="J104" i="4"/>
  <c r="K8" i="4"/>
  <c r="K11" i="4"/>
  <c r="K12" i="4"/>
  <c r="L8" i="4"/>
  <c r="L11" i="4"/>
  <c r="L12" i="4"/>
  <c r="M8" i="4"/>
  <c r="M12" i="4" s="1"/>
  <c r="M11" i="4"/>
  <c r="N8" i="4"/>
  <c r="O8" i="4"/>
  <c r="O63" i="4" s="1"/>
  <c r="O96" i="4" s="1"/>
  <c r="O105" i="4" s="1"/>
  <c r="Q8" i="4"/>
  <c r="Q12" i="4" s="1"/>
  <c r="Q11" i="4"/>
  <c r="B9" i="4"/>
  <c r="B10" i="4"/>
  <c r="E11" i="4"/>
  <c r="F11" i="4"/>
  <c r="F25" i="4"/>
  <c r="F63" i="4" s="1"/>
  <c r="F36" i="4"/>
  <c r="F40" i="4"/>
  <c r="F53" i="4"/>
  <c r="F62" i="4"/>
  <c r="F12" i="4"/>
  <c r="N11" i="4"/>
  <c r="N12" i="4"/>
  <c r="O11" i="4"/>
  <c r="B13" i="4"/>
  <c r="B14" i="4"/>
  <c r="B15" i="4"/>
  <c r="B17" i="4"/>
  <c r="B18" i="4"/>
  <c r="B19" i="4"/>
  <c r="B20" i="4"/>
  <c r="B21" i="4"/>
  <c r="B22" i="4"/>
  <c r="B23" i="4"/>
  <c r="B24" i="4"/>
  <c r="E25" i="4"/>
  <c r="G25" i="4"/>
  <c r="H25" i="4"/>
  <c r="H63" i="4" s="1"/>
  <c r="H96" i="4" s="1"/>
  <c r="H105" i="4" s="1"/>
  <c r="I25" i="4"/>
  <c r="I36" i="4"/>
  <c r="I40" i="4"/>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Q25" i="4"/>
  <c r="B26" i="4"/>
  <c r="B28" i="4"/>
  <c r="B29" i="4"/>
  <c r="B30" i="4"/>
  <c r="B31" i="4"/>
  <c r="B32" i="4"/>
  <c r="B33" i="4"/>
  <c r="B34" i="4"/>
  <c r="B35" i="4"/>
  <c r="E36" i="4"/>
  <c r="G36" i="4"/>
  <c r="H36" i="4"/>
  <c r="K36" i="4"/>
  <c r="K63" i="4" s="1"/>
  <c r="K96" i="4" s="1"/>
  <c r="K105" i="4" s="1"/>
  <c r="L36" i="4"/>
  <c r="L63" i="4" s="1"/>
  <c r="L96" i="4" s="1"/>
  <c r="L105" i="4" s="1"/>
  <c r="O36" i="4"/>
  <c r="P36" i="4"/>
  <c r="P40" i="4"/>
  <c r="P63" i="4" s="1"/>
  <c r="P96" i="4" s="1"/>
  <c r="P105"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s="1"/>
  <c r="Y712" i="3"/>
  <c r="AI712" i="3"/>
  <c r="Y713" i="3"/>
  <c r="Y714" i="3"/>
  <c r="Y715" i="3"/>
  <c r="AI715" i="3"/>
  <c r="Y716" i="3"/>
  <c r="AI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49" i="11"/>
  <c r="D94" i="11"/>
  <c r="D6" i="11"/>
  <c r="D32" i="11"/>
  <c r="D15" i="11"/>
  <c r="D71" i="11"/>
  <c r="D102" i="11"/>
  <c r="D56" i="11"/>
  <c r="D53" i="11"/>
  <c r="D10" i="11"/>
  <c r="D101" i="11"/>
  <c r="D90" i="11"/>
  <c r="D44" i="11"/>
  <c r="D57" i="11"/>
  <c r="AG432" i="3"/>
  <c r="AI27" i="15" s="1"/>
  <c r="D82" i="11"/>
  <c r="D46" i="11"/>
  <c r="D12" i="13"/>
  <c r="J12" i="4"/>
  <c r="B25" i="4"/>
  <c r="D20" i="11"/>
  <c r="D63" i="4"/>
  <c r="D96" i="4"/>
  <c r="D105" i="4" s="1"/>
  <c r="B11" i="4"/>
  <c r="B11" i="13"/>
  <c r="M63" i="4" l="1"/>
  <c r="M96" i="4" s="1"/>
  <c r="M105" i="4" s="1"/>
  <c r="D34" i="11"/>
  <c r="B12" i="11"/>
  <c r="R53" i="4"/>
  <c r="S50" i="4"/>
  <c r="C63" i="11"/>
  <c r="C68" i="11"/>
  <c r="D68" i="11" s="1"/>
  <c r="R62" i="4"/>
  <c r="C63" i="13"/>
  <c r="C96" i="13" s="1"/>
  <c r="C105" i="13" s="1"/>
  <c r="G63" i="4"/>
  <c r="G96" i="4" s="1"/>
  <c r="G105" i="4" s="1"/>
  <c r="O12" i="4"/>
  <c r="D95" i="11"/>
  <c r="D67" i="11"/>
  <c r="B26" i="11"/>
  <c r="E38" i="13"/>
  <c r="S78" i="4"/>
  <c r="E78" i="13" s="1"/>
  <c r="D29" i="11"/>
  <c r="I63" i="4"/>
  <c r="I96" i="4" s="1"/>
  <c r="I105" i="4" s="1"/>
  <c r="D84" i="11"/>
  <c r="D48" i="11"/>
  <c r="R78" i="4"/>
  <c r="D62" i="11"/>
  <c r="R67" i="4"/>
  <c r="S66" i="4"/>
  <c r="D78" i="11"/>
  <c r="R104" i="4"/>
  <c r="C105" i="11"/>
  <c r="B105" i="11"/>
  <c r="R95" i="4"/>
  <c r="C96" i="11"/>
  <c r="B79" i="11"/>
  <c r="D79" i="11" s="1"/>
  <c r="R74" i="4"/>
  <c r="D75" i="11"/>
  <c r="D70" i="11"/>
  <c r="B63" i="11"/>
  <c r="B62" i="13"/>
  <c r="B53" i="4"/>
  <c r="B54" i="11"/>
  <c r="D54" i="11" s="1"/>
  <c r="C54" i="11"/>
  <c r="R40" i="4"/>
  <c r="B41" i="11"/>
  <c r="D41" i="11" s="1"/>
  <c r="B40" i="4"/>
  <c r="D39" i="11"/>
  <c r="R36" i="4"/>
  <c r="F96" i="4"/>
  <c r="F105" i="4" s="1"/>
  <c r="C37" i="11"/>
  <c r="B37" i="11"/>
  <c r="D37" i="11" s="1"/>
  <c r="B36" i="4"/>
  <c r="C13" i="11"/>
  <c r="B9" i="11"/>
  <c r="D9" i="11" s="1"/>
  <c r="C9" i="11"/>
  <c r="R12" i="4"/>
  <c r="B8" i="4"/>
  <c r="B12" i="4" s="1"/>
  <c r="D5" i="11"/>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R63" i="4"/>
  <c r="B13" i="11"/>
  <c r="D13" i="11" s="1"/>
  <c r="D12" i="11"/>
  <c r="C12" i="4"/>
  <c r="B12" i="13" s="1"/>
  <c r="D63" i="11" l="1"/>
  <c r="S67" i="4"/>
  <c r="E67" i="13" s="1"/>
  <c r="E66" i="13"/>
  <c r="R96" i="4"/>
  <c r="R105" i="4" s="1"/>
  <c r="B64" i="11"/>
  <c r="S53" i="4"/>
  <c r="E50" i="13"/>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E53" i="13" l="1"/>
  <c r="S63" i="4"/>
  <c r="D64" i="11"/>
  <c r="AU675" i="3"/>
  <c r="C97" i="11"/>
  <c r="D97" i="11" s="1"/>
  <c r="Z798" i="3"/>
  <c r="V951" i="3"/>
  <c r="AD951" i="3" s="1"/>
  <c r="AD953" i="3" s="1"/>
  <c r="AD991"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63" i="13"/>
  <c r="S96" i="4"/>
  <c r="AD996" i="3"/>
  <c r="AD1000" i="3"/>
  <c r="C106" i="11"/>
  <c r="D106" i="11" s="1"/>
  <c r="B1014" i="3"/>
  <c r="AD1004" i="3"/>
  <c r="V952" i="3"/>
  <c r="G10" i="7"/>
  <c r="G32" i="7" s="1"/>
  <c r="G44" i="7" s="1"/>
  <c r="E44" i="7"/>
  <c r="I4" i="7"/>
  <c r="I5" i="7" s="1"/>
  <c r="I7" i="7"/>
  <c r="K6" i="7"/>
  <c r="M9" i="7"/>
  <c r="O8" i="7"/>
  <c r="O21" i="7"/>
  <c r="O30" i="7" s="1"/>
  <c r="Q14" i="7"/>
  <c r="E54" i="7"/>
  <c r="E56" i="7" s="1"/>
  <c r="E43" i="7"/>
  <c r="E42" i="7"/>
  <c r="AC441" i="3"/>
  <c r="AB47" i="15"/>
  <c r="AB49" i="15" s="1"/>
  <c r="E96" i="13" l="1"/>
  <c r="S105" i="4"/>
  <c r="T24" i="15"/>
  <c r="G40" i="7"/>
  <c r="G54" i="7" s="1"/>
  <c r="G56" i="7" s="1"/>
  <c r="K4" i="7"/>
  <c r="M4" i="7" s="1"/>
  <c r="M5" i="7" s="1"/>
  <c r="I10" i="7"/>
  <c r="I32" i="7" s="1"/>
  <c r="I44" i="7" s="1"/>
  <c r="Q21" i="7"/>
  <c r="Q30" i="7" s="1"/>
  <c r="S14" i="7"/>
  <c r="M6" i="7"/>
  <c r="K7" i="7"/>
  <c r="O9" i="7"/>
  <c r="Q8" i="7"/>
  <c r="AB54" i="15"/>
  <c r="AB55" i="15" s="1"/>
  <c r="S107" i="4" l="1"/>
  <c r="E105" i="13"/>
  <c r="G42" i="7"/>
  <c r="G43" i="7"/>
  <c r="O4" i="7"/>
  <c r="O5" i="7" s="1"/>
  <c r="K5" i="7"/>
  <c r="K10" i="7" s="1"/>
  <c r="K32" i="7" s="1"/>
  <c r="K40" i="7" s="1"/>
  <c r="I40" i="7"/>
  <c r="I42" i="7" s="1"/>
  <c r="U14" i="7"/>
  <c r="S21" i="7"/>
  <c r="S30" i="7" s="1"/>
  <c r="Q9" i="7"/>
  <c r="S8" i="7"/>
  <c r="O6" i="7"/>
  <c r="M7" i="7"/>
  <c r="M10" i="7" s="1"/>
  <c r="M32" i="7" s="1"/>
  <c r="E107" i="13" l="1"/>
  <c r="AC443" i="3"/>
  <c r="I54" i="7"/>
  <c r="I56" i="7" s="1"/>
  <c r="I43" i="7"/>
  <c r="Q4" i="7"/>
  <c r="S4" i="7" s="1"/>
  <c r="K44" i="7"/>
  <c r="M40" i="7"/>
  <c r="M44" i="7"/>
  <c r="S9" i="7"/>
  <c r="U8" i="7"/>
  <c r="U21" i="7"/>
  <c r="U30" i="7" s="1"/>
  <c r="W14" i="7"/>
  <c r="K43" i="7"/>
  <c r="K42" i="7"/>
  <c r="K54" i="7"/>
  <c r="K56" i="7" s="1"/>
  <c r="O7" i="7"/>
  <c r="O10" i="7" s="1"/>
  <c r="O32" i="7" s="1"/>
  <c r="Q6" i="7"/>
  <c r="Y11" i="15" l="1"/>
  <c r="Y23" i="15" s="1"/>
  <c r="Y26" i="15" s="1"/>
  <c r="Y28" i="15" s="1"/>
  <c r="T11" i="15"/>
  <c r="T23" i="15" s="1"/>
  <c r="Q5" i="7"/>
  <c r="O40" i="7"/>
  <c r="O44" i="7"/>
  <c r="W21" i="7"/>
  <c r="W30" i="7" s="1"/>
  <c r="Y14" i="7"/>
  <c r="W8" i="7"/>
  <c r="U9" i="7"/>
  <c r="M43" i="7"/>
  <c r="M42" i="7"/>
  <c r="M54" i="7"/>
  <c r="M56" i="7" s="1"/>
  <c r="U4" i="7"/>
  <c r="S5" i="7"/>
  <c r="Q7" i="7"/>
  <c r="S6" i="7"/>
  <c r="Y64" i="15" l="1"/>
  <c r="Y68" i="15" s="1"/>
  <c r="T26" i="15"/>
  <c r="T28" i="15" s="1"/>
  <c r="T29" i="15" s="1"/>
  <c r="AD38" i="15"/>
  <c r="AD40" i="15" s="1"/>
  <c r="Y38" i="15"/>
  <c r="Y40" i="15" s="1"/>
  <c r="Y41" i="15" s="1"/>
  <c r="AB56" i="15" s="1"/>
  <c r="Q10" i="7"/>
  <c r="Q32" i="7" s="1"/>
  <c r="Q44" i="7" s="1"/>
  <c r="W4" i="7"/>
  <c r="U5" i="7"/>
  <c r="Y8" i="7"/>
  <c r="W9" i="7"/>
  <c r="Y21" i="7"/>
  <c r="Y30" i="7" s="1"/>
  <c r="AA14" i="7"/>
  <c r="S7" i="7"/>
  <c r="S10" i="7" s="1"/>
  <c r="S32" i="7" s="1"/>
  <c r="U6" i="7"/>
  <c r="O54" i="7"/>
  <c r="O56" i="7" s="1"/>
  <c r="O42" i="7"/>
  <c r="O43" i="7"/>
  <c r="AB57" i="15" l="1"/>
  <c r="AB59" i="15" s="1"/>
  <c r="AB76" i="15" s="1"/>
  <c r="AB77" i="15" s="1"/>
  <c r="M26" i="3"/>
  <c r="Q40" i="7"/>
  <c r="Q42" i="7" s="1"/>
  <c r="S40" i="7"/>
  <c r="S44" i="7"/>
  <c r="W6" i="7"/>
  <c r="U7" i="7"/>
  <c r="U10" i="7" s="1"/>
  <c r="U32" i="7" s="1"/>
  <c r="Y4" i="7"/>
  <c r="W5" i="7"/>
  <c r="AA21" i="7"/>
  <c r="AA30" i="7" s="1"/>
  <c r="AC14" i="7"/>
  <c r="Y9" i="7"/>
  <c r="AA8" i="7"/>
  <c r="AB87" i="15" l="1"/>
  <c r="M27" i="3"/>
  <c r="P204" i="3" s="1"/>
  <c r="P203" i="3" s="1"/>
  <c r="AB78" i="15"/>
  <c r="AB80" i="15" s="1"/>
  <c r="J81" i="15" s="1"/>
  <c r="AB86" i="15"/>
  <c r="Q54" i="7"/>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60" i="7" l="1"/>
  <c r="AA59" i="7"/>
  <c r="AG10" i="7"/>
  <c r="AG32" i="7" s="1"/>
  <c r="AG44" i="7" s="1"/>
  <c r="AE44" i="7"/>
  <c r="AE40" i="7"/>
  <c r="AC42" i="7"/>
  <c r="AC54" i="7"/>
  <c r="AC43" i="7"/>
  <c r="AC60" i="7" l="1"/>
  <c r="AC59" i="7"/>
  <c r="AG40" i="7"/>
  <c r="AG42" i="7" s="1"/>
  <c r="AE54" i="7"/>
  <c r="AE42" i="7"/>
  <c r="AE43" i="7"/>
  <c r="AE60" i="7" l="1"/>
  <c r="AE59" i="7"/>
  <c r="AG54" i="7"/>
  <c r="AG43" i="7"/>
  <c r="AG59" i="7" l="1"/>
  <c r="AG60"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<sst xmlns="http://schemas.openxmlformats.org/spreadsheetml/2006/main" count="3717" uniqueCount="1807">
  <si>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</si>
  <si>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</si>
  <si>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</si>
  <si>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</si>
  <si>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</si>
  <si>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</si>
  <si>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</si>
  <si>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</si>
  <si>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</si>
  <si>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</si>
  <si>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</si>
  <si>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</si>
  <si>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</si>
  <si>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</si>
  <si>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</si>
  <si>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</si>
  <si>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</si>
  <si>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</si>
  <si>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</si>
  <si>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</si>
  <si>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</si>
  <si>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</si>
  <si>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</si>
  <si>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</si>
  <si>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</si>
  <si>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</si>
  <si>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</si>
  <si>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</si>
  <si>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</si>
  <si>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</si>
  <si>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</si>
  <si>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</si>
  <si>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</si>
  <si>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</si>
  <si>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</si>
  <si>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</si>
  <si>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</si>
  <si>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</si>
  <si>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</si>
  <si>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</si>
  <si>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</si>
  <si>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</si>
  <si>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</si>
  <si>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</si>
  <si>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</si>
  <si>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</si>
  <si>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</si>
  <si>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</si>
  <si>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</si>
  <si>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</si>
  <si>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</si>
  <si>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</si>
  <si>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</si>
  <si>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</si>
  <si>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</si>
  <si>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</si>
  <si>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</si>
  <si>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</si>
  <si>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</si>
  <si>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</si>
  <si>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</si>
  <si>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</si>
  <si>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</si>
  <si>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</si>
  <si>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</si>
  <si>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</si>
  <si>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</si>
  <si>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</si>
  <si>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</si>
  <si>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</si>
  <si>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</si>
  <si>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</si>
  <si>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</si>
  <si>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</si>
  <si>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</si>
  <si>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</si>
  <si>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</si>
  <si>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</si>
  <si>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</si>
  <si>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</si>
  <si>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</si>
  <si>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</si>
  <si>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</si>
  <si>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</si>
  <si>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</si>
  <si>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</si>
  <si>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</si>
  <si>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</si>
  <si>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</si>
  <si>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</si>
  <si>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</si>
  <si>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</si>
  <si>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</si>
  <si>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</si>
  <si>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</si>
  <si>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</si>
  <si>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</si>
  <si>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</si>
  <si>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</si>
  <si>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</si>
  <si>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</si>
  <si>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</si>
  <si>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</si>
  <si>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</si>
  <si>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</si>
  <si>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</si>
  <si>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</si>
  <si>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</si>
  <si>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</si>
  <si>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</si>
  <si>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</si>
  <si>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</si>
  <si>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</si>
  <si>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</si>
  <si>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</si>
  <si>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</si>
  <si>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</si>
  <si>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</si>
  <si>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</si>
  <si>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</si>
  <si>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</si>
  <si>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</si>
  <si>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</si>
  <si>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</si>
  <si>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</si>
  <si>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</si>
  <si>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</si>
  <si>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</si>
  <si>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</si>
  <si>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</si>
  <si>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</si>
  <si>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</si>
  <si>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</si>
  <si>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</si>
  <si>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</si>
  <si>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</si>
  <si>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</si>
  <si>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</si>
  <si>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</si>
  <si>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</si>
  <si>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</si>
  <si>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</si>
  <si>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</si>
  <si>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</si>
  <si>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</si>
  <si>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</si>
  <si>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</si>
  <si>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</si>
  <si>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</si>
  <si>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</si>
  <si>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</si>
  <si>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</si>
  <si>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</si>
  <si>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</si>
  <si>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</si>
  <si>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</si>
  <si>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</si>
  <si>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</si>
  <si>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</si>
  <si>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</si>
  <si>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</si>
  <si>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</si>
  <si>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</si>
  <si>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</si>
  <si>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</si>
  <si>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</si>
  <si>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</si>
  <si>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</si>
  <si>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</si>
  <si>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</si>
  <si>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</si>
  <si>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</si>
  <si>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</si>
  <si>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</si>
  <si>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</si>
  <si>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</si>
  <si>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</si>
  <si>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</si>
  <si>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</si>
  <si>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</si>
  <si>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</si>
  <si>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</si>
  <si>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</si>
  <si>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</si>
  <si>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</si>
  <si>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</si>
  <si>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</si>
  <si>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</si>
  <si>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</si>
  <si>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</si>
  <si>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</si>
  <si>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</si>
  <si>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</si>
  <si>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</si>
  <si>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</si>
  <si>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</si>
  <si>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</si>
  <si>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</si>
  <si>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</si>
  <si>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</si>
  <si>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</si>
  <si>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</si>
  <si>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</si>
  <si>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</si>
  <si>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</si>
  <si>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</si>
  <si>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</si>
  <si>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</si>
  <si>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</si>
  <si>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</si>
  <si>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</si>
  <si>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</si>
  <si>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</si>
  <si>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</si>
  <si>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</si>
  <si>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</si>
  <si>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</si>
  <si>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</si>
  <si>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</si>
  <si>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</si>
  <si>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</si>
  <si>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</si>
  <si>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</si>
  <si>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</si>
  <si>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</si>
  <si>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</si>
  <si>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</si>
  <si>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</si>
  <si>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</si>
  <si>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</si>
  <si>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</si>
  <si>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</si>
  <si>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</si>
  <si>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</si>
  <si>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</si>
  <si>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</si>
  <si>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</si>
  <si>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</si>
  <si>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</si>
  <si>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</si>
  <si>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</si>
  <si>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</si>
  <si>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</si>
  <si>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</si>
  <si>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</si>
  <si>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</si>
  <si>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</si>
  <si>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</si>
  <si>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</si>
  <si>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</si>
  <si>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</si>
  <si>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</si>
  <si>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</si>
  <si>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</si>
  <si>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</si>
  <si>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</si>
  <si>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</si>
  <si>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</si>
  <si>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</si>
  <si>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</si>
  <si>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</si>
  <si>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</si>
  <si>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</si>
  <si>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</si>
  <si>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</si>
  <si>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</si>
  <si>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</si>
  <si>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</si>
  <si>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</si>
  <si>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</si>
  <si>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</si>
  <si>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</si>
  <si>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</si>
  <si>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</si>
  <si>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</si>
  <si>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</si>
  <si>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</si>
  <si>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</si>
  <si>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</si>
  <si>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</si>
  <si>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</si>
  <si>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</si>
  <si>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</si>
  <si>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</si>
  <si>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</si>
  <si>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</si>
  <si>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</si>
  <si>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</si>
  <si>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</si>
  <si>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</si>
  <si>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</si>
  <si>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</si>
  <si>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</si>
  <si>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</si>
  <si>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</si>
  <si>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</si>
  <si>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</si>
  <si>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</si>
  <si>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</si>
  <si>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</si>
  <si>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</si>
  <si>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</si>
  <si>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</si>
  <si>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</si>
  <si>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</si>
  <si>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</si>
  <si>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</si>
  <si>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</si>
  <si>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</si>
  <si>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</si>
  <si>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</si>
  <si>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</si>
  <si>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</si>
  <si>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</si>
  <si>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</si>
  <si>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</si>
  <si>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</si>
  <si>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</si>
  <si>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</si>
  <si>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</si>
  <si>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</si>
  <si>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</si>
  <si>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</si>
  <si>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</si>
  <si>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</si>
  <si>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</si>
  <si>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</si>
  <si>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</si>
  <si>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</si>
  <si>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</si>
  <si>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</si>
  <si>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</si>
  <si>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</si>
  <si>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</si>
  <si>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</si>
  <si>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</si>
  <si>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</si>
  <si>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</si>
  <si>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</si>
  <si>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</si>
  <si>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</si>
  <si>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</si>
  <si>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</si>
  <si>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</si>
  <si>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</si>
  <si>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</si>
  <si>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</si>
  <si>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</si>
  <si>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</si>
  <si>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</si>
  <si>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</si>
  <si>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</si>
  <si>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</si>
  <si>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</si>
  <si>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</si>
  <si>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</si>
  <si>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</si>
  <si>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</si>
  <si>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</si>
  <si>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</si>
  <si>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</si>
  <si>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</si>
  <si>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</si>
  <si>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</si>
  <si>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</si>
  <si>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</si>
  <si>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</si>
  <si>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</si>
  <si>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</si>
  <si>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</si>
  <si>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</si>
  <si>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</si>
  <si>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</si>
  <si>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</si>
  <si>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</si>
  <si>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</si>
  <si>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</si>
  <si>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</si>
  <si>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</si>
  <si>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</si>
  <si>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</si>
  <si>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</si>
  <si>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</si>
  <si>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</si>
  <si>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</si>
  <si>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</si>
  <si>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</si>
  <si>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</si>
  <si>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</si>
  <si>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</si>
  <si>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</si>
  <si>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</si>
  <si>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</si>
  <si>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</si>
  <si>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</si>
  <si>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</si>
  <si>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</si>
  <si>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</si>
  <si>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</si>
  <si>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</si>
  <si>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</si>
  <si>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</si>
  <si>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</si>
  <si>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</si>
  <si>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</si>
  <si>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</si>
  <si>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</si>
  <si>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</si>
  <si>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</si>
  <si>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</si>
  <si>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</si>
  <si>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</si>
  <si>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</si>
  <si>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</si>
  <si>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</si>
  <si>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</si>
  <si>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</si>
  <si>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</si>
  <si>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</si>
  <si>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</si>
  <si>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</si>
  <si>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</si>
  <si>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</si>
  <si>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</si>
  <si>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</si>
  <si>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</si>
  <si>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</si>
  <si>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</si>
  <si>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</si>
  <si>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</si>
  <si>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</si>
  <si>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</si>
  <si>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</si>
  <si>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</si>
  <si>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</si>
  <si>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</si>
  <si>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</si>
  <si>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</si>
  <si>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</si>
  <si>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</si>
  <si>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</si>
  <si>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</si>
  <si>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</si>
  <si>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</si>
  <si>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</si>
  <si>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</si>
  <si>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</si>
  <si>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</si>
  <si>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</si>
  <si>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</si>
  <si>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</si>
  <si>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</si>
  <si>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</si>
  <si>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</si>
  <si>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</si>
  <si>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</si>
  <si>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</si>
  <si>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</si>
  <si>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</si>
  <si>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</si>
  <si>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</si>
  <si>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</si>
  <si>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</si>
  <si>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</si>
  <si>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</si>
  <si>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</si>
  <si>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</si>
  <si>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</si>
  <si>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</si>
  <si>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</si>
  <si>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</si>
  <si>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</si>
  <si>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</si>
  <si>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</si>
  <si>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</si>
  <si>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</si>
  <si>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</si>
  <si>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</si>
  <si>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</si>
  <si>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</si>
  <si>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</si>
  <si>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</si>
  <si>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</si>
  <si>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</si>
  <si>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</si>
  <si>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</si>
  <si>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</si>
  <si>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</si>
  <si>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</si>
  <si>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</si>
  <si>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</si>
  <si>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</si>
  <si>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</si>
  <si>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</si>
  <si>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</si>
  <si>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</si>
  <si>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</si>
  <si>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</si>
  <si>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</si>
  <si>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</si>
  <si>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</si>
  <si>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</si>
  <si>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</si>
  <si>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</si>
  <si>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</si>
  <si>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</si>
  <si>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</si>
  <si>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</si>
  <si>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</si>
  <si>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</si>
  <si>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</si>
  <si>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</si>
  <si>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</si>
  <si>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</si>
  <si>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</si>
  <si>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</si>
  <si>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</si>
  <si>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</si>
  <si>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</si>
  <si>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</si>
  <si>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</si>
  <si>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</si>
  <si>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</si>
  <si>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</si>
  <si>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</si>
  <si>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</si>
  <si>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</si>
  <si>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</si>
  <si>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</si>
  <si>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</si>
  <si>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</si>
  <si>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</si>
  <si>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</si>
  <si>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</si>
  <si>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</si>
  <si>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</si>
  <si>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</si>
  <si>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</si>
  <si>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</si>
  <si>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</si>
  <si>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</si>
  <si>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</si>
  <si>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</si>
  <si>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</si>
  <si>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</si>
  <si>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</si>
  <si>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</si>
  <si>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</si>
  <si>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</si>
  <si>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</si>
  <si>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</si>
  <si>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</si>
  <si>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</si>
  <si>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</si>
  <si>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</si>
  <si>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</si>
  <si>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</si>
  <si>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</si>
  <si>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</si>
  <si>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</si>
  <si>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</si>
  <si>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</si>
  <si>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</si>
  <si>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</si>
  <si>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</si>
  <si>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</si>
  <si>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</si>
  <si>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</si>
  <si>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</si>
  <si>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</si>
  <si>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</si>
  <si>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</si>
  <si>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</si>
  <si>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</si>
  <si>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</si>
  <si>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</si>
  <si>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</si>
  <si>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</si>
  <si>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</si>
  <si>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</si>
  <si>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</si>
  <si>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</si>
  <si>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</si>
  <si>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</si>
  <si>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</si>
  <si>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</si>
  <si>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</si>
  <si>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</si>
  <si>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</si>
  <si>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</si>
  <si>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</si>
  <si>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</si>
  <si>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</si>
  <si>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</si>
  <si>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</si>
  <si>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</si>
  <si>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</si>
  <si>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</si>
  <si>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</si>
  <si>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</si>
  <si>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</si>
  <si>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</si>
  <si>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</si>
  <si>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</si>
  <si>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</si>
  <si>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</si>
  <si>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</si>
  <si>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</si>
  <si>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</si>
  <si>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</si>
  <si>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</si>
  <si>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</si>
  <si>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</si>
  <si>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</si>
  <si>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</si>
  <si>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</si>
  <si>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</si>
  <si>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</si>
  <si>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</si>
  <si>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</si>
  <si>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</si>
  <si>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</si>
  <si>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</si>
  <si>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</si>
  <si>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</si>
  <si>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</si>
  <si>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</si>
  <si>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</si>
  <si>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</si>
  <si>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</si>
  <si>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</si>
  <si>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</si>
  <si>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</si>
  <si>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</si>
  <si>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</si>
  <si>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</si>
  <si>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</si>
  <si>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</si>
  <si>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</si>
  <si>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</si>
  <si>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</si>
  <si>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</si>
  <si>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</si>
  <si>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</si>
  <si>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</si>
  <si>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</si>
  <si>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</si>
  <si>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</si>
  <si>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</si>
  <si>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</si>
  <si>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</si>
  <si>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</si>
  <si>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</si>
  <si>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</si>
  <si>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</si>
  <si>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</si>
  <si>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</si>
  <si>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</si>
  <si>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</si>
  <si>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</si>
  <si>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</si>
  <si>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</si>
  <si>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</si>
  <si>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</si>
  <si>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</si>
  <si>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</si>
  <si>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</si>
  <si>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</si>
  <si>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</si>
  <si>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</si>
  <si>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</si>
  <si>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</si>
  <si>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</si>
  <si>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</si>
  <si>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</si>
  <si>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</si>
  <si>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</si>
  <si>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</si>
  <si>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</si>
  <si>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</si>
  <si>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</si>
  <si>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</si>
  <si>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</si>
  <si>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</si>
  <si>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</si>
  <si>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</si>
  <si>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</si>
  <si>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</si>
  <si>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</si>
  <si>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</si>
  <si>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</si>
  <si>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</si>
  <si>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</si>
  <si>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</si>
  <si>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</si>
  <si>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</si>
  <si>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</si>
  <si>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</si>
  <si>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</si>
  <si>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</si>
  <si>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</si>
  <si>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</si>
  <si>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</si>
  <si>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</si>
  <si>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</si>
  <si>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</si>
  <si>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</si>
  <si>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</si>
  <si>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</si>
  <si>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</si>
  <si>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</si>
  <si>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</si>
  <si>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</si>
  <si>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</si>
  <si>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</si>
  <si>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</si>
  <si>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</si>
  <si>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</si>
  <si>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</si>
  <si>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</si>
  <si>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</si>
  <si>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</si>
  <si>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</si>
  <si>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</si>
  <si>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</si>
  <si>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</si>
  <si>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</si>
  <si>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</si>
  <si>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</si>
  <si>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</si>
  <si>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</si>
  <si>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</si>
  <si>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</si>
  <si>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</si>
  <si>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</si>
  <si>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</si>
  <si>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</si>
  <si>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</si>
  <si>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</si>
  <si>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</si>
  <si>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</si>
  <si>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</si>
  <si>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</si>
  <si>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</si>
  <si>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</si>
  <si>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</si>
  <si>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</si>
  <si>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</si>
  <si>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</si>
  <si>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</si>
  <si>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</si>
  <si>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</si>
  <si>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</si>
  <si>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</si>
  <si>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</si>
  <si>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</si>
  <si>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</si>
  <si>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</si>
  <si>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</si>
  <si>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</si>
  <si>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</si>
  <si>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</si>
  <si>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</si>
  <si>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</si>
  <si>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</si>
  <si>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</si>
  <si>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</si>
  <si>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</si>
  <si>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</si>
  <si>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</si>
  <si>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</si>
  <si>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</si>
  <si>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</si>
  <si>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</si>
  <si>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</si>
  <si>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</si>
  <si>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</si>
  <si>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</si>
  <si>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</si>
  <si>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</si>
  <si>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</si>
  <si>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</si>
  <si>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</si>
  <si>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</si>
  <si>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</si>
  <si>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</si>
  <si>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</si>
  <si>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</si>
  <si>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</si>
  <si>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</si>
  <si>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</si>
  <si>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</si>
  <si>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</si>
  <si>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</si>
  <si>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</si>
  <si>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</si>
  <si>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</si>
  <si>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</si>
  <si>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</si>
  <si>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</si>
  <si>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</si>
  <si>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</si>
  <si>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</si>
  <si>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</si>
  <si>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</si>
  <si>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</si>
  <si>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</si>
  <si>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</si>
  <si>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</si>
  <si>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</si>
  <si>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</si>
  <si>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</si>
  <si>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</si>
  <si>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</si>
  <si>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</si>
  <si>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</si>
  <si>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</si>
  <si>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</si>
  <si>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</si>
  <si>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</si>
  <si>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</si>
  <si>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</si>
  <si>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</si>
  <si>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</si>
  <si>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</si>
  <si>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</si>
  <si>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</si>
  <si>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</si>
  <si>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</si>
  <si>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</si>
  <si>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</si>
  <si>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</si>
  <si>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</si>
  <si>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</si>
  <si>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</si>
  <si>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</si>
  <si>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</si>
  <si>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</si>
  <si>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</si>
  <si>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</si>
  <si>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</si>
  <si>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</si>
  <si>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</si>
  <si>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</si>
  <si>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</si>
  <si>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</si>
  <si>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</si>
  <si>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</si>
  <si>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</si>
  <si>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</si>
  <si>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</si>
  <si>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</si>
  <si>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</si>
  <si>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</si>
  <si>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</si>
  <si>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</si>
  <si>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</si>
  <si>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</si>
  <si>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</si>
  <si>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</si>
  <si>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</si>
  <si>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</si>
  <si>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</si>
  <si>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</si>
  <si>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</si>
  <si>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</si>
  <si>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</si>
  <si>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</si>
  <si>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</si>
  <si>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</si>
  <si>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</si>
  <si>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</si>
  <si>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</si>
  <si>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</si>
  <si>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</si>
  <si>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</si>
  <si>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</si>
  <si>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</si>
  <si>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</si>
  <si>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</si>
  <si>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</si>
  <si>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</si>
  <si>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</si>
  <si>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</si>
  <si>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</si>
  <si>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</si>
  <si>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</si>
  <si>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</si>
  <si>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</si>
  <si>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</si>
  <si>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</si>
  <si>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</si>
  <si>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</si>
  <si>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</si>
  <si>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</si>
  <si>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</si>
  <si>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</si>
  <si>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</si>
  <si>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</si>
  <si>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</si>
  <si>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</si>
  <si>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</si>
  <si>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</si>
  <si>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</si>
  <si>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</si>
  <si>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</si>
  <si>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</si>
  <si>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</si>
  <si>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</si>
  <si>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</si>
  <si>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</si>
  <si>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</si>
  <si>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</si>
  <si>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</si>
  <si>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</si>
  <si>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</si>
  <si>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</si>
  <si>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</si>
  <si>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</si>
  <si>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</si>
  <si>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</si>
  <si>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</si>
  <si>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</si>
  <si>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</si>
  <si>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</si>
  <si>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</si>
  <si>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</si>
  <si>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</si>
  <si>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</si>
  <si>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</si>
  <si>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</si>
  <si>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</si>
  <si>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</si>
  <si>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</si>
  <si>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</si>
  <si>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</si>
  <si>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</si>
  <si>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</si>
  <si>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</si>
  <si>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</si>
  <si>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</si>
  <si>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</si>
  <si>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</si>
  <si>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</si>
  <si>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</si>
  <si>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</si>
  <si>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</si>
  <si>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</si>
  <si>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</si>
  <si>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</si>
  <si>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</si>
  <si>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</si>
  <si>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</si>
  <si>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</si>
  <si>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</si>
  <si>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</si>
  <si>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</si>
  <si>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</si>
  <si>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</si>
  <si>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</si>
  <si>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</si>
  <si>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</si>
  <si>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</si>
  <si>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</si>
  <si>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</si>
  <si>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</si>
  <si>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</si>
  <si>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</si>
  <si>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</si>
  <si>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</si>
  <si>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</si>
  <si>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</si>
  <si>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</si>
  <si>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</si>
  <si>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</si>
  <si>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</si>
  <si>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</si>
  <si>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</si>
  <si>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</si>
  <si>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</si>
  <si>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</si>
  <si>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</si>
  <si>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</si>
  <si>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</si>
  <si>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</si>
  <si>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</si>
  <si>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</si>
  <si>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</si>
  <si>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</si>
  <si>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</si>
  <si>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</si>
  <si>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</si>
  <si>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</si>
  <si>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</si>
  <si>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</si>
  <si>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</si>
  <si>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</si>
  <si>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</si>
  <si>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</si>
  <si>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</si>
  <si>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</si>
  <si>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</si>
  <si>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</si>
  <si>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</si>
  <si>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</si>
  <si>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</si>
  <si>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</si>
  <si>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</si>
  <si>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</si>
  <si>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</si>
  <si>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</si>
  <si>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</si>
  <si>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</si>
  <si>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</si>
  <si>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</si>
  <si>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</si>
  <si>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</si>
  <si>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</si>
  <si>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</si>
  <si>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</si>
  <si>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</si>
  <si>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</si>
  <si>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</si>
  <si>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</si>
  <si>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</si>
  <si>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</si>
  <si>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</si>
  <si>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</si>
  <si>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</si>
  <si>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</si>
  <si>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</si>
  <si>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</si>
  <si>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</si>
  <si>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</si>
  <si>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</si>
  <si>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</si>
  <si>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</si>
  <si>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</si>
  <si>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</si>
  <si>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</si>
  <si>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</si>
  <si>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</si>
  <si>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</si>
  <si>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</si>
  <si>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</si>
  <si>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</si>
  <si>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</si>
  <si>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</si>
  <si>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</si>
  <si>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</si>
  <si>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</si>
  <si>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</si>
  <si>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</si>
  <si>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</si>
  <si>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</si>
  <si>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</si>
  <si>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</si>
  <si>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</si>
  <si>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</si>
  <si>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</si>
  <si>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</si>
  <si>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</si>
  <si>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</si>
  <si>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</si>
  <si>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</si>
  <si>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</si>
  <si>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</si>
  <si>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</si>
  <si>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</si>
  <si>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</si>
  <si>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</si>
  <si>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</si>
  <si>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</si>
  <si>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</si>
  <si>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</si>
  <si>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</si>
  <si>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</si>
  <si>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</si>
  <si>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</si>
  <si>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</si>
  <si>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</si>
  <si>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</si>
  <si>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</si>
  <si>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</si>
  <si>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</si>
  <si>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</si>
  <si>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</si>
  <si>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</si>
  <si>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</si>
  <si>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</si>
  <si>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</si>
  <si>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</si>
  <si>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</si>
  <si>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</si>
  <si>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</si>
  <si>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</si>
  <si>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</si>
  <si>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</si>
  <si>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</si>
  <si>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</si>
  <si>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</si>
  <si>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</si>
  <si>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</si>
  <si>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</si>
  <si>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</si>
  <si>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</si>
  <si>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</si>
  <si>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</si>
  <si>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</si>
  <si>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</si>
  <si>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</si>
  <si>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</si>
  <si>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</si>
  <si>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</si>
  <si>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</si>
  <si>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</si>
  <si>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</si>
  <si>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</si>
  <si>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</si>
  <si>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</si>
  <si>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</si>
  <si>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</si>
  <si>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</si>
  <si>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</si>
  <si>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</si>
  <si>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</si>
  <si>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</si>
  <si>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</si>
  <si>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</si>
  <si>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</si>
  <si>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</si>
  <si>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</si>
  <si>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</si>
  <si>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</si>
  <si>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</si>
  <si>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</si>
  <si>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</si>
  <si>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</si>
  <si>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</si>
  <si>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</si>
  <si>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</si>
  <si>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</si>
  <si>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</si>
  <si>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</si>
  <si>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</si>
  <si>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</si>
  <si>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</si>
  <si>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</si>
  <si>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</si>
  <si>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</si>
  <si>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</si>
  <si>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</si>
  <si>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</si>
  <si>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</si>
  <si>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</si>
  <si>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</si>
  <si>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</si>
  <si>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</si>
  <si>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</si>
  <si>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</si>
  <si>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</si>
  <si>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</si>
  <si>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</si>
  <si>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</si>
  <si>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</si>
  <si>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</si>
  <si>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</si>
  <si>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</si>
  <si>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</si>
  <si>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</si>
  <si>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</si>
  <si>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</si>
  <si>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</si>
  <si>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</si>
  <si>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</si>
  <si>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</si>
  <si>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</si>
  <si>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</si>
  <si>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</si>
  <si>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</si>
  <si>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</si>
  <si>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</si>
  <si>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</si>
  <si>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</si>
  <si>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</si>
  <si>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</si>
  <si>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</si>
  <si>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</si>
  <si>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</si>
  <si>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</si>
  <si>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</si>
  <si>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</si>
  <si>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</si>
  <si>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</si>
  <si>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</si>
  <si>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</si>
  <si>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</si>
  <si>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</si>
  <si>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</si>
  <si>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</si>
  <si>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</si>
  <si>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</si>
  <si>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</si>
  <si>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</si>
  <si>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</si>
  <si>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</si>
  <si>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</si>
  <si>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</si>
  <si>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</si>
  <si>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</si>
  <si>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</si>
  <si>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</si>
  <si>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</si>
  <si>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</si>
  <si>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</si>
  <si>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</si>
  <si>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</si>
  <si>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</si>
  <si>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</si>
  <si>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</si>
  <si>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</si>
  <si>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</si>
  <si>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</si>
  <si>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</si>
  <si>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</si>
  <si>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</si>
  <si>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</si>
  <si>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</si>
  <si>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</si>
  <si>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</si>
  <si>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</si>
  <si>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</si>
  <si>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</si>
  <si>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</si>
  <si>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</si>
  <si>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</si>
  <si>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</si>
  <si>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</si>
  <si>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</si>
  <si>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</si>
  <si>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</si>
  <si>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</si>
  <si>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</si>
  <si>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</si>
  <si>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</si>
  <si>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</si>
  <si>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</si>
  <si>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</si>
  <si>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</si>
  <si>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</si>
  <si>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</si>
  <si>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</si>
  <si>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</si>
  <si>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</si>
  <si>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</si>
  <si>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</si>
  <si>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</si>
  <si>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</si>
  <si>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</si>
  <si>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</si>
  <si>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</si>
  <si>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</si>
  <si>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</si>
  <si>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</si>
  <si>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</si>
  <si>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</si>
  <si>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</si>
  <si>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</si>
  <si>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</si>
  <si>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</si>
  <si>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</si>
  <si>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</si>
  <si>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</si>
  <si>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</si>
  <si>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</si>
  <si>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</si>
  <si>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</si>
  <si>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</si>
  <si>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</si>
  <si>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</si>
  <si>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</si>
  <si>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</si>
  <si>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</si>
  <si>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</si>
  <si>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</si>
  <si>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</si>
  <si>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</si>
  <si>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</si>
  <si>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</si>
  <si>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</si>
  <si>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</si>
  <si>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</si>
  <si>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</si>
  <si>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</si>
  <si>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</si>
  <si>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</si>
  <si>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</si>
  <si>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</si>
  <si>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</si>
  <si>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</si>
  <si>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</si>
  <si>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</si>
  <si>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</si>
  <si>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</si>
  <si>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</si>
  <si>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</si>
  <si>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</si>
  <si>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</si>
  <si>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</si>
  <si>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</si>
  <si>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</si>
  <si>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</si>
  <si>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</si>
  <si>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</si>
  <si>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</si>
  <si>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</si>
  <si>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</si>
  <si>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</si>
  <si>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</si>
  <si>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</si>
  <si>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</si>
  <si>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</si>
  <si>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</si>
  <si>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</si>
  <si>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</si>
  <si>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</si>
  <si>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</si>
  <si>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</si>
  <si>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</si>
  <si>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</si>
  <si>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</si>
  <si>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</si>
  <si>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</si>
  <si>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</si>
  <si>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</si>
  <si>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</si>
  <si>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</si>
  <si>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</si>
  <si>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</si>
  <si>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</si>
  <si>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</si>
  <si>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</si>
  <si>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</si>
  <si>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</si>
  <si>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</si>
  <si>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</si>
  <si>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</si>
  <si>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</si>
  <si>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</si>
  <si>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</si>
  <si>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</si>
  <si>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</si>
  <si>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</si>
  <si>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</si>
  <si>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</si>
  <si>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</si>
  <si>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</si>
  <si>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</si>
  <si>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</si>
  <si>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</si>
  <si>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</si>
  <si>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</si>
  <si>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</si>
  <si>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</si>
  <si>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</si>
  <si>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</si>
  <si>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</si>
  <si>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</si>
  <si>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</si>
  <si>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</si>
  <si>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</si>
  <si>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</si>
  <si>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</si>
  <si>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</si>
  <si>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</si>
  <si>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</si>
  <si>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</si>
  <si>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</si>
  <si>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</si>
  <si>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</si>
  <si>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</si>
  <si>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</si>
  <si>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</si>
  <si>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</si>
  <si>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</si>
  <si>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</si>
  <si>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</si>
  <si>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</si>
  <si>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</si>
  <si>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</si>
  <si>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</si>
  <si>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</si>
  <si>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</si>
  <si>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</si>
  <si>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</si>
  <si>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</si>
  <si>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</si>
  <si>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</si>
  <si>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</si>
  <si>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</si>
  <si>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</si>
  <si>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</si>
  <si>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</si>
  <si>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</si>
  <si>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</si>
  <si>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</si>
  <si>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</si>
  <si>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</si>
  <si>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</si>
  <si>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</si>
  <si>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</si>
  <si>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</si>
  <si>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</si>
  <si>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</si>
  <si>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</si>
  <si>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</si>
  <si>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</si>
  <si>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</si>
  <si>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</si>
  <si>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</si>
  <si>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</si>
  <si>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</si>
  <si>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</si>
  <si>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</si>
  <si>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</si>
  <si>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</si>
  <si>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</si>
  <si>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</si>
  <si>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</si>
  <si>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</si>
  <si>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</si>
  <si>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</si>
  <si>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</si>
  <si>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</si>
  <si>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</si>
  <si>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</si>
  <si>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</si>
  <si>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</si>
  <si>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</si>
  <si>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</si>
  <si>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</si>
  <si>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</si>
  <si>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</si>
  <si>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</si>
  <si>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</si>
  <si>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</si>
  <si>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</si>
  <si>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</si>
  <si>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</si>
  <si>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</si>
  <si>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</si>
  <si>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</si>
  <si>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</si>
  <si>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</si>
  <si>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</si>
  <si>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</si>
  <si>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</si>
  <si>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</si>
  <si>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</si>
  <si>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</si>
  <si>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</si>
  <si>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</si>
  <si>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</si>
  <si>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</si>
  <si>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</si>
  <si>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</si>
  <si>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</si>
  <si>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</si>
  <si>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</si>
  <si>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</si>
  <si>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</si>
  <si>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</si>
  <si>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</si>
  <si>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</si>
  <si>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</si>
  <si>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</si>
  <si>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</si>
  <si>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</si>
  <si>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</si>
  <si>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</si>
  <si>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</si>
  <si>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</si>
  <si>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</si>
  <si>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</si>
  <si>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</si>
  <si>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</si>
  <si>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</si>
  <si>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</si>
  <si>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</si>
  <si>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</si>
  <si>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</si>
  <si>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</si>
  <si>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</si>
  <si>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</si>
  <si>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</si>
  <si>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</si>
  <si>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</si>
  <si>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</si>
  <si>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</si>
  <si>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</si>
  <si>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</si>
  <si>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</si>
  <si>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</si>
  <si>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</si>
  <si>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</si>
  <si>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</si>
  <si>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</si>
  <si>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</si>
  <si>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</si>
  <si>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</si>
  <si>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</si>
  <si>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</si>
  <si>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</si>
  <si>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</si>
  <si>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</si>
  <si>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</si>
  <si>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</si>
  <si>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</si>
  <si>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</si>
  <si>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</si>
  <si>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</si>
  <si>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</si>
  <si>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</si>
  <si>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</si>
  <si>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</si>
  <si>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</si>
  <si>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</si>
  <si>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</si>
  <si>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</si>
  <si>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</si>
  <si>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</si>
  <si>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</si>
  <si>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</si>
  <si>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</si>
  <si>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</si>
  <si>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</si>
  <si>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</si>
  <si>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</si>
  <si>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</si>
  <si>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</si>
  <si>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</si>
  <si>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</si>
  <si>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</si>
  <si>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</si>
  <si>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</si>
  <si>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</si>
  <si>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</si>
  <si>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</si>
  <si>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</si>
  <si>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</si>
  <si>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</si>
  <si>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</si>
  <si>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</si>
  <si>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</si>
  <si>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</si>
  <si>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</si>
  <si>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</si>
  <si>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</si>
  <si>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</si>
  <si>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</si>
  <si>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</si>
  <si>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</si>
  <si>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</si>
  <si>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</si>
  <si>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</si>
  <si>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</si>
  <si>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</si>
  <si>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</si>
  <si>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</si>
  <si>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</si>
  <si>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</si>
  <si>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</si>
  <si>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</si>
  <si>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</si>
  <si>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</si>
  <si>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</si>
  <si>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</si>
  <si>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</si>
  <si>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</si>
  <si>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</si>
  <si>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</si>
  <si>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</si>
  <si>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</si>
  <si>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</si>
  <si>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</si>
  <si>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</si>
  <si>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</si>
  <si>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</si>
  <si>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</si>
  <si>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</si>
  <si>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</si>
  <si>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</si>
  <si>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</si>
  <si>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</si>
  <si>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</si>
  <si>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</si>
  <si>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</si>
  <si>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</si>
  <si>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</si>
  <si>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</si>
  <si>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</si>
  <si>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</si>
  <si>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</si>
  <si>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</si>
  <si>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</si>
  <si>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</si>
  <si>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</si>
  <si>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</si>
  <si>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</si>
  <si>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</si>
  <si>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</si>
  <si>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</si>
  <si>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</si>
  <si>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</si>
  <si>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</si>
  <si>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</si>
  <si>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</si>
  <si>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</si>
  <si>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</si>
  <si>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</si>
  <si>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</si>
  <si>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</si>
  <si>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</si>
  <si>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</si>
  <si>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</si>
  <si>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</si>
  <si>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</si>
  <si>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</si>
  <si>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</si>
  <si>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</si>
  <si>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</si>
  <si>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</si>
  <si>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</si>
  <si>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</si>
  <si>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</si>
  <si>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</si>
  <si>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</si>
  <si>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</si>
  <si>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</si>
  <si>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</si>
  <si>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</si>
  <si>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</si>
  <si>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</si>
  <si>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Folsom Pacific Associates, a California Limited Partnership</t>
  </si>
  <si>
    <t>The Parkway Apartments</t>
  </si>
  <si>
    <t>Caleb Roope</t>
  </si>
  <si>
    <t>Manager, TPC Holdings VII, LLC, G.P.</t>
  </si>
  <si>
    <t>City of Folsom</t>
  </si>
  <si>
    <t>Elaine Anderson</t>
  </si>
  <si>
    <t>50 Natoma Street</t>
  </si>
  <si>
    <t>Folsom</t>
  </si>
  <si>
    <t>916.461.6010</t>
  </si>
  <si>
    <t>916.351.8901</t>
  </si>
  <si>
    <t>eanderson@folsom.ca.us</t>
  </si>
  <si>
    <t>CDLAC-TCAC Joint Application (submitting concurrently)</t>
  </si>
  <si>
    <t>SW Corner of Blue Ravine Road &amp; Oak Avenue Parkway</t>
  </si>
  <si>
    <t>071-1240-001</t>
  </si>
  <si>
    <t>40%/60% Average Income</t>
  </si>
  <si>
    <t>430 E. State Street, Suite 100</t>
  </si>
  <si>
    <t>Eagle</t>
  </si>
  <si>
    <t>ID</t>
  </si>
  <si>
    <t>208.461.0022</t>
  </si>
  <si>
    <t>208.461.3267</t>
  </si>
  <si>
    <t>calebr@tpchousing.com</t>
  </si>
  <si>
    <t>TPC Holdings VII, LLC</t>
  </si>
  <si>
    <t>Administrative GP</t>
  </si>
  <si>
    <t>The Pacific Companies</t>
  </si>
  <si>
    <t>Kelley Ventures, LLC</t>
  </si>
  <si>
    <t>520 Capitol Mall, Suite 150</t>
  </si>
  <si>
    <t>CA</t>
  </si>
  <si>
    <t>Mike Kelley</t>
  </si>
  <si>
    <t>916.834.5986</t>
  </si>
  <si>
    <t>916.669.8033</t>
  </si>
  <si>
    <t>mkelley86@yahoo.com</t>
  </si>
  <si>
    <t>Pacific Housing, Inc.</t>
  </si>
  <si>
    <t>Managing GP</t>
  </si>
  <si>
    <t>2115 J Street, Suite 201</t>
  </si>
  <si>
    <t>Mark A. Wiese</t>
  </si>
  <si>
    <t>916.638.5200</t>
  </si>
  <si>
    <t>916.325.8624</t>
  </si>
  <si>
    <t>mwiese@pacifichousing.com</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</si>
  <si>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</si>
  <si>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</si>
  <si>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</si>
  <si>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</si>
  <si>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</si>
  <si>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</si>
  <si>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</si>
  <si>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</si>
  <si>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</si>
  <si>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</si>
  <si>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</si>
  <si>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</si>
  <si>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</si>
  <si>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</si>
  <si>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</si>
  <si>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</si>
  <si>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</si>
  <si>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</si>
  <si>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</si>
  <si>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</si>
  <si>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</si>
  <si>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</si>
  <si>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</si>
  <si>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</si>
  <si>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</si>
  <si>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</si>
  <si>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</si>
  <si>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</si>
  <si>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</si>
  <si>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</si>
  <si>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</si>
  <si>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</si>
  <si>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</si>
  <si>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</si>
  <si>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</si>
  <si>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</si>
  <si>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</si>
  <si>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</si>
  <si>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</si>
  <si>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</si>
  <si>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</si>
  <si>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</si>
  <si>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</si>
  <si>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</si>
  <si>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</si>
  <si>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Property Dynamics</t>
  </si>
  <si>
    <t>15408 Main Street #206</t>
  </si>
  <si>
    <t>Mill Creek, WA 98012</t>
  </si>
  <si>
    <t>Gregory M. Fahey</t>
  </si>
  <si>
    <t>425.489.9780</t>
  </si>
  <si>
    <t>425.806.0760</t>
  </si>
  <si>
    <t>gmfahey@comcast.net</t>
  </si>
  <si>
    <t>6700 Antioch Road, Suite 450</t>
  </si>
  <si>
    <t>Merriam, KS 66204</t>
  </si>
  <si>
    <t>Rachel Denton</t>
  </si>
  <si>
    <t>913.312.4612</t>
  </si>
  <si>
    <t>Rachel.Denton@novoco.com</t>
  </si>
  <si>
    <t>California Housing Finance Agency (CalHFA)</t>
  </si>
  <si>
    <t>Aperto Property Management, Inc.</t>
  </si>
  <si>
    <t>500 Capitol Mall, Suite 900</t>
  </si>
  <si>
    <t>23461 South Pointe Drive, Ste. 180</t>
  </si>
  <si>
    <t>Sacramento, CA 95814</t>
  </si>
  <si>
    <t>Laguna Hills, CA 92653</t>
  </si>
  <si>
    <t>Kate Ferguson</t>
  </si>
  <si>
    <t>Ed Quigley</t>
  </si>
  <si>
    <t>916.326.8802</t>
  </si>
  <si>
    <t>949.873.0160</t>
  </si>
  <si>
    <t>916.326.6430</t>
  </si>
  <si>
    <t>877.657.8741</t>
  </si>
  <si>
    <t>kferguson@CalHFA.ca.gov</t>
  </si>
  <si>
    <t>equigley@apertopm.com</t>
  </si>
  <si>
    <t>President &amp; CEO</t>
  </si>
  <si>
    <t>Other (Specify below)</t>
  </si>
  <si>
    <t>3-Story Garden-style walk-up</t>
  </si>
  <si>
    <t>Multifamily</t>
  </si>
  <si>
    <t>SP 93-3 with RM-17 land use designation; 39 du / acre</t>
  </si>
  <si>
    <t>4 stories maximum, but not to exceed 50'</t>
  </si>
  <si>
    <t>1 space per 1-bdr unit; 2 spaces per 2-bdr and 3-bdr unit</t>
  </si>
  <si>
    <t>CalHFA - MIP Loan</t>
  </si>
  <si>
    <t>City of Folsom - Affordable Housing Loan</t>
  </si>
  <si>
    <t>County of Sacramento - Fee Waiver</t>
  </si>
  <si>
    <t>California Bank &amp; Trust - Const. Loan (T.E. Bonds)</t>
  </si>
  <si>
    <t>Fixed</t>
  </si>
  <si>
    <t>California Bank &amp; Trust - Const. Loan (Taxable Bonds)</t>
  </si>
  <si>
    <t>City of Folsom - Aff. Hsg. Loan</t>
  </si>
  <si>
    <t xml:space="preserve">Pacific West Communities, Inc. - DDF </t>
  </si>
  <si>
    <t xml:space="preserve">Folsom Pacific Assoc. - Def. Costs </t>
  </si>
  <si>
    <t>Boston Capital - LIHTC Equity</t>
  </si>
  <si>
    <t>1900 Avenue of the Stars, Ste. 2350</t>
  </si>
  <si>
    <t>Los Angeles, CA 90067</t>
  </si>
  <si>
    <t>Mark Wolf</t>
  </si>
  <si>
    <t>310.407.6183</t>
  </si>
  <si>
    <t>Construction Loan (T.E. Bonds)</t>
  </si>
  <si>
    <t>Construction Loan (Taxable Bonds)</t>
  </si>
  <si>
    <t>700 H Street, Suite 3650</t>
  </si>
  <si>
    <t>Folsom, CA 95630</t>
  </si>
  <si>
    <t>Pam Johns</t>
  </si>
  <si>
    <t>916.461.6205</t>
  </si>
  <si>
    <t>916.874.7422</t>
  </si>
  <si>
    <t>Affordable Housing Loan</t>
  </si>
  <si>
    <t>Fee Waiver</t>
  </si>
  <si>
    <t>Poonam Ajula</t>
  </si>
  <si>
    <t>Deferred Developer Fee</t>
  </si>
  <si>
    <t>Deferred Costs</t>
  </si>
  <si>
    <t>LIHTC Equity</t>
  </si>
  <si>
    <t>CalHFA - Perm Loan</t>
  </si>
  <si>
    <t>Varies</t>
  </si>
  <si>
    <t>Pacific West Communities, Inc. - DDF</t>
  </si>
  <si>
    <t>Permanent Loan (T.E. Bonds)</t>
  </si>
  <si>
    <t>MIP Loan</t>
  </si>
  <si>
    <t>Poonam Aujla</t>
  </si>
  <si>
    <t>Late Fees, Application Fees, Misc.</t>
  </si>
  <si>
    <t>Air Conditioning &amp; Electric Charge</t>
  </si>
  <si>
    <t>Sacramento Housing &amp; Redevelopment Agency (SHRA)</t>
  </si>
  <si>
    <t>Telephone, Office Expenses, Misc. Admin</t>
  </si>
  <si>
    <t>Payroll Taxes, Workers Comp, Benefits</t>
  </si>
  <si>
    <t>Cleaning &amp; Building Supplies</t>
  </si>
  <si>
    <t>Licenses</t>
  </si>
  <si>
    <t>State Tax</t>
  </si>
  <si>
    <t>Annual Issuer Fees</t>
  </si>
  <si>
    <t>Construction Lender Costs (Legal, Etc.)</t>
  </si>
  <si>
    <t>Bond Counsel</t>
  </si>
  <si>
    <t>CalHFA MIP Loan Fees &amp; Costs</t>
  </si>
  <si>
    <t>Borrower Attorney</t>
  </si>
  <si>
    <t xml:space="preserve">Licenses &amp; State Tax </t>
  </si>
  <si>
    <t>, Idaho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</si>
</sst>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3" fontId="6" fillId="0" borderId="0" xfId="0" applyNumberFormat="1" applyFont="1"/>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1430</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1438</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1596</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1440</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1505</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1425</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1437</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706</v>
      </c>
      <c r="F40" s="963" t="s">
        <v>1399</v>
      </c>
    </row>
    <row r="41" spans="1:38" s="963"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1528</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1529</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3" t="s">
        <v>1530</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1407</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1410</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706</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632</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1492</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1545</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1560</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1009</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v>
      </c>
      <c r="C4" s="682">
        <f>Application!K709</f>
        <v>386</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11</v>
      </c>
      <c r="C5" s="682">
        <f>Application!K710</f>
        <v>700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6</v>
      </c>
      <c r="C6" s="682">
        <f>Application!K711</f>
        <v>1171</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v>
      </c>
      <c r="C7" s="682">
        <f>Application!K712</f>
        <v>458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20</v>
      </c>
      <c r="C8" s="682">
        <f>Application!K713</f>
        <v>835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13</v>
      </c>
      <c r="C9" s="682">
        <f>Application!K714</f>
        <v>1400</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1</v>
      </c>
      <c r="C10" s="682">
        <f>Application!K715</f>
        <v>526</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10</v>
      </c>
      <c r="C11" s="682">
        <f>Application!K716</f>
        <v>960</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7</v>
      </c>
      <c r="C12" s="682">
        <f>Application!K717</f>
        <v>1613</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72345</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1250000</v>
      </c>
      <c r="C5" s="438">
        <f>'Sources and Uses Budget'!$C4</f>
        <v>1250000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3216</v>
      </c>
      <c r="C7" s="438">
        <f>'Sources and Uses Budget'!$C6</f>
        <v>3216</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1253216</v>
      </c>
      <c r="C9" s="442">
        <f>SUM(C5:C8)</f>
        <v>1253216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1253216</v>
      </c>
      <c r="C13" s="442">
        <f>SUM(C9+C12)</f>
        <v>1253216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381784</v>
      </c>
      <c r="C14" s="438">
        <f>'Sources and Uses Budget'!$C13</f>
        <v>381784</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3096000</v>
      </c>
      <c r="C29" s="438">
        <f>'Sources and Uses Budget'!$C28</f>
        <v>3096000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11798220</v>
      </c>
      <c r="C30" s="438">
        <f>'Sources and Uses Budget'!$C29</f>
        <v>11798220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893653</v>
      </c>
      <c r="C31" s="438">
        <f>'Sources and Uses Budget'!$C30</f>
        <v>893653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297884</v>
      </c>
      <c r="C32" s="438">
        <f>'Sources and Uses Budget'!$C31</f>
        <v>297884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893653</v>
      </c>
      <c r="C33" s="438">
        <f>'Sources and Uses Budget'!$C32</f>
        <v>893653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249000</v>
      </c>
      <c r="C34" s="438">
        <f>'Sources and Uses Budget'!$C33</f>
        <v>249000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17228410</v>
      </c>
      <c r="C37" s="442">
        <f>SUM(C29:C36)</f>
        <v>17228410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400000</v>
      </c>
      <c r="C39" s="438">
        <f>'Sources and Uses Budget'!$C38</f>
        <v>400000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450000</v>
      </c>
      <c r="C41" s="442">
        <f>SUM(C39:C40)</f>
        <v>450000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195000</v>
      </c>
      <c r="C42" s="438">
        <f>'Sources and Uses Budget'!$C41</f>
        <v>195000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641250</v>
      </c>
      <c r="C44" s="438">
        <f>'Sources and Uses Budget'!$C43</f>
        <v>641250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190000</v>
      </c>
      <c r="C45" s="438">
        <f>'Sources and Uses Budget'!$C44</f>
        <v>190000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100000</v>
      </c>
      <c r="C48" s="438">
        <f>'Sources and Uses Budget'!$C47</f>
        <v>100000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200000</v>
      </c>
      <c r="C51" s="438">
        <f>'Sources and Uses Budget'!$C50</f>
        <v>200000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100000</v>
      </c>
      <c r="C52" s="438">
        <f>'Sources and Uses Budget'!$C51</f>
        <v>100000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1306250</v>
      </c>
      <c r="C54" s="445">
        <f>SUM(C44:C53)</f>
        <v>1306250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68000</v>
      </c>
      <c r="C56" s="438">
        <f>'Sources and Uses Budget'!$C55</f>
        <v>68000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70000</v>
      </c>
      <c r="C61" s="438">
        <f>'Sources and Uses Budget'!$C60</f>
        <v>70000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58500</v>
      </c>
      <c r="C62" s="438">
        <f>'Sources and Uses Budget'!$C61</f>
        <v>58500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221500</v>
      </c>
      <c r="C63" s="442">
        <f>SUM(C56:C62)</f>
        <v>221500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21036160</v>
      </c>
      <c r="C64" s="442">
        <f>SUM(C9+C12+C14+C15+C17+C26+C27+C37+C41+C42+C54+C63)</f>
        <v>21036160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100000</v>
      </c>
      <c r="C70" s="438">
        <f>'Sources and Uses Budget'!$C69</f>
        <v>100000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192651</v>
      </c>
      <c r="C73" s="438">
        <f>'Sources and Uses Budget'!$C72</f>
        <v>192651</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292651</v>
      </c>
      <c r="C75" s="442">
        <f>SUM(C70:C74)</f>
        <v>292651</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980000</v>
      </c>
      <c r="C77" s="438">
        <f>'Sources and Uses Budget'!$C76</f>
        <v>980000</v>
      </c>
      <c r="D77" s="442">
        <f t="shared" si="1"/>
        <v>0</v>
      </c>
      <c r="E77" s="440"/>
      <c r="F77" s="439"/>
      <c r="G77" s="577"/>
    </row>
    <row r="78" spans="1:253" s="571" customFormat="1">
      <c r="A78" s="893" t="s">
        <v>63</v>
      </c>
      <c r="B78" s="438">
        <f>'Sources and Uses Budget'!$C77</f>
        <v>200000</v>
      </c>
      <c r="C78" s="438">
        <f>'Sources and Uses Budget'!$C77</f>
        <v>200000</v>
      </c>
      <c r="D78" s="442">
        <f t="shared" ref="D78" si="2">C78-B78</f>
        <v>0</v>
      </c>
      <c r="E78" s="440"/>
      <c r="F78" s="439"/>
      <c r="G78" s="577"/>
    </row>
    <row r="79" spans="1:253" s="571" customFormat="1">
      <c r="A79" s="443" t="s">
        <v>1466</v>
      </c>
      <c r="B79" s="442">
        <f>SUM(B77:B78)</f>
        <v>1180000</v>
      </c>
      <c r="C79" s="442">
        <f>SUM(C77:C78)</f>
        <v>1180000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42276</v>
      </c>
      <c r="C81" s="438">
        <f>'Sources and Uses Budget'!$C80</f>
        <v>42276</v>
      </c>
      <c r="D81" s="442">
        <f t="shared" si="1"/>
        <v>0</v>
      </c>
      <c r="E81" s="440"/>
      <c r="F81" s="439"/>
      <c r="G81" s="577"/>
    </row>
    <row r="82" spans="1:7" s="571" customFormat="1">
      <c r="A82" s="441" t="s">
        <v>845</v>
      </c>
      <c r="B82" s="438">
        <f>'Sources and Uses Budget'!$C81</f>
        <v>5000</v>
      </c>
      <c r="C82" s="438">
        <f>'Sources and Uses Budget'!$C81</f>
        <v>5000</v>
      </c>
      <c r="D82" s="442">
        <f t="shared" si="1"/>
        <v>0</v>
      </c>
      <c r="E82" s="440"/>
      <c r="F82" s="439"/>
      <c r="G82" s="577"/>
    </row>
    <row r="83" spans="1:7" s="571" customFormat="1">
      <c r="A83" s="441" t="s">
        <v>846</v>
      </c>
      <c r="B83" s="438">
        <f>'Sources and Uses Budget'!$C82</f>
        <v>2352233</v>
      </c>
      <c r="C83" s="438">
        <f>'Sources and Uses Budget'!$C82</f>
        <v>2352233</v>
      </c>
      <c r="D83" s="442">
        <f t="shared" si="1"/>
        <v>0</v>
      </c>
      <c r="E83" s="440"/>
      <c r="F83" s="439"/>
      <c r="G83" s="577"/>
    </row>
    <row r="84" spans="1:7" s="571" customFormat="1">
      <c r="A84" s="441" t="s">
        <v>847</v>
      </c>
      <c r="B84" s="438">
        <f>'Sources and Uses Budget'!$C83</f>
        <v>300000</v>
      </c>
      <c r="C84" s="438">
        <f>'Sources and Uses Budget'!$C83</f>
        <v>300000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101389</v>
      </c>
      <c r="C86" s="438">
        <f>'Sources and Uses Budget'!$C85</f>
        <v>101389</v>
      </c>
      <c r="D86" s="442">
        <f t="shared" si="1"/>
        <v>0</v>
      </c>
      <c r="E86" s="440"/>
      <c r="F86" s="439"/>
      <c r="G86" s="577"/>
    </row>
    <row r="87" spans="1:7" s="571" customFormat="1">
      <c r="A87" s="441" t="s">
        <v>850</v>
      </c>
      <c r="B87" s="438">
        <f>'Sources and Uses Budget'!$C86</f>
        <v>50000</v>
      </c>
      <c r="C87" s="438">
        <f>'Sources and Uses Budget'!$C86</f>
        <v>50000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10000</v>
      </c>
      <c r="C89" s="438">
        <f>'Sources and Uses Budget'!$C88</f>
        <v>10000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2880898</v>
      </c>
      <c r="C96" s="442">
        <f>SUM(C81:C95)</f>
        <v>2880898</v>
      </c>
      <c r="D96" s="442">
        <f t="shared" si="1"/>
        <v>0</v>
      </c>
      <c r="E96" s="440"/>
      <c r="F96" s="439"/>
      <c r="G96" s="577"/>
    </row>
    <row r="97" spans="1:7" s="571" customFormat="1">
      <c r="A97" s="443" t="s">
        <v>853</v>
      </c>
      <c r="B97" s="442">
        <f>SUM(B64+B68+B75+B79+B96)</f>
        <v>25449709</v>
      </c>
      <c r="C97" s="442">
        <f>SUM(C64+C68+C75+C79+C96)</f>
        <v>25449709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3473533</v>
      </c>
      <c r="C99" s="438">
        <f>'Sources and Uses Budget'!$C98</f>
        <v>3473533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3473533</v>
      </c>
      <c r="C105" s="442">
        <f>SUM(C99:C104)</f>
        <v>3473533</v>
      </c>
      <c r="D105" s="442">
        <f t="shared" si="1"/>
        <v>0</v>
      </c>
      <c r="E105" s="440"/>
      <c r="F105" s="439"/>
      <c r="G105" s="575"/>
    </row>
    <row r="106" spans="1:7" s="570" customFormat="1">
      <c r="A106" s="443" t="s">
        <v>861</v>
      </c>
      <c r="B106" s="445">
        <f>SUM(B97+B105)</f>
        <v>28923242</v>
      </c>
      <c r="C106" s="445">
        <f>SUM(C97+C105)</f>
        <v>28923242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329</v>
      </c>
    </row>
    <row r="4" spans="1:9">
      <c r="I4" s="702" t="s">
        <v>1198</v>
      </c>
    </row>
    <row r="5" spans="1:9" s="39" customFormat="1">
      <c r="A5" s="1017" t="s">
        <v>1125</v>
      </c>
      <c r="B5" s="1017"/>
      <c r="C5" s="1018"/>
      <c r="D5" s="1018"/>
      <c r="E5" s="1018"/>
      <c r="F5" s="1018"/>
      <c r="G5" s="1018"/>
      <c r="I5" s="702" t="s">
        <v>1199</v>
      </c>
    </row>
    <row r="6" spans="1:9" s="39" customFormat="1">
      <c r="A6" s="1017" t="s">
        <v>903</v>
      </c>
      <c r="B6" s="1017"/>
      <c r="C6" s="1018"/>
      <c r="D6" s="1018"/>
      <c r="E6" s="1018"/>
      <c r="F6" s="1018"/>
      <c r="G6" s="1018"/>
      <c r="I6" s="701" t="s">
        <v>642</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15" customHeight="1">
      <c r="C13" s="264"/>
      <c r="D13" s="1037" t="s">
        <v>1296</v>
      </c>
      <c r="E13" s="1037"/>
      <c r="F13" s="1037"/>
    </row>
    <row r="14" spans="1:9">
      <c r="C14" s="264"/>
      <c r="D14" s="1037"/>
      <c r="E14" s="1037"/>
      <c r="F14" s="1037"/>
    </row>
    <row r="15" spans="1:9">
      <c r="A15" s="269"/>
      <c r="B15" s="269"/>
      <c r="C15" s="269"/>
      <c r="D15" s="976" t="s">
        <v>1279</v>
      </c>
      <c r="E15" s="976"/>
      <c r="F15" s="976"/>
    </row>
    <row r="16" spans="1:9">
      <c r="A16" s="269"/>
      <c r="B16" s="269"/>
      <c r="C16" s="269"/>
      <c r="D16" s="337"/>
    </row>
    <row r="17" spans="1:7" ht="14.25">
      <c r="A17" s="270"/>
      <c r="B17" s="703" t="s">
        <v>329</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1281</v>
      </c>
      <c r="E21" s="1029"/>
      <c r="F21" s="1029"/>
    </row>
    <row r="22" spans="1:7" ht="14.25">
      <c r="A22" s="270"/>
      <c r="B22" s="270"/>
      <c r="D22" s="138"/>
    </row>
    <row r="23" spans="1:7" ht="14.25">
      <c r="A23" s="270"/>
      <c r="B23" s="703" t="s">
        <v>329</v>
      </c>
      <c r="D23" s="963" t="s">
        <v>1282</v>
      </c>
      <c r="E23" s="963"/>
      <c r="F23" s="963"/>
    </row>
    <row r="24" spans="1:7" ht="14.25">
      <c r="A24" s="270"/>
      <c r="B24" s="270"/>
      <c r="D24" s="963"/>
      <c r="E24" s="963"/>
      <c r="F24" s="963"/>
    </row>
    <row r="25" spans="1:7"/>
    <row r="26" spans="1:7" ht="14.25">
      <c r="A26" s="270"/>
      <c r="B26" s="703" t="s">
        <v>329</v>
      </c>
      <c r="D26" s="998" t="s">
        <v>1283</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1284</v>
      </c>
      <c r="E32" s="964"/>
      <c r="F32" s="964"/>
      <c r="G32" s="133"/>
    </row>
    <row r="33" spans="1:7" s="39" customFormat="1">
      <c r="A33" s="282"/>
      <c r="B33" s="282"/>
      <c r="C33" s="282"/>
      <c r="D33" s="964"/>
      <c r="E33" s="964"/>
      <c r="F33" s="964"/>
      <c r="G33" s="133"/>
    </row>
    <row r="34" spans="1:7" ht="14.25">
      <c r="A34" s="270"/>
      <c r="B34" s="270"/>
      <c r="D34" s="421"/>
    </row>
    <row r="35" spans="1:7" ht="14.65" customHeight="1">
      <c r="A35" s="270"/>
      <c r="B35" s="703" t="s">
        <v>329</v>
      </c>
      <c r="C35" s="578"/>
      <c r="D35" s="964" t="s">
        <v>1285</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1286</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1287</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65" customHeight="1">
      <c r="A50" s="270"/>
      <c r="B50" s="703" t="s">
        <v>329</v>
      </c>
      <c r="D50" s="964" t="s">
        <v>1288</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1289</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1290</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1291</v>
      </c>
      <c r="E61" s="964"/>
      <c r="F61" s="964"/>
    </row>
    <row r="62" spans="1:7">
      <c r="D62" s="964"/>
      <c r="E62" s="964"/>
      <c r="F62" s="964"/>
    </row>
    <row r="63" spans="1:7"/>
    <row r="64" spans="1:7" ht="14.25">
      <c r="A64" s="270"/>
      <c r="B64" s="703" t="s">
        <v>329</v>
      </c>
      <c r="D64" s="964" t="s">
        <v>1292</v>
      </c>
      <c r="E64" s="964"/>
      <c r="F64" s="964"/>
    </row>
    <row r="65" spans="1:7">
      <c r="D65" s="964"/>
      <c r="E65" s="964"/>
      <c r="F65" s="964"/>
    </row>
    <row r="66" spans="1:7">
      <c r="A66" s="579"/>
      <c r="C66" s="579"/>
      <c r="D66" s="964"/>
      <c r="E66" s="964"/>
      <c r="F66" s="964"/>
    </row>
    <row r="67" spans="1:7">
      <c r="D67" s="12"/>
    </row>
    <row r="68" spans="1:7" ht="14.25">
      <c r="A68" s="270"/>
      <c r="B68" s="703" t="s">
        <v>329</v>
      </c>
      <c r="D68" s="963" t="s">
        <v>1293</v>
      </c>
      <c r="E68" s="963"/>
      <c r="F68" s="963"/>
    </row>
    <row r="69" spans="1:7">
      <c r="D69" s="963"/>
      <c r="E69" s="963"/>
      <c r="F69" s="963"/>
    </row>
    <row r="70" spans="1:7" ht="14.25">
      <c r="A70" s="270"/>
      <c r="B70" s="270"/>
      <c r="D70" s="138"/>
    </row>
    <row r="71" spans="1:7">
      <c r="A71" s="983" t="s">
        <v>1200</v>
      </c>
      <c r="B71" s="983"/>
      <c r="C71" s="983"/>
      <c r="D71" s="983"/>
      <c r="E71" s="983"/>
      <c r="F71" s="983"/>
      <c r="G71" s="983"/>
    </row>
    <row r="72" spans="1:7"/>
    <row r="73" spans="1:7">
      <c r="C73" s="271"/>
      <c r="D73" s="1012" t="s">
        <v>1298</v>
      </c>
      <c r="E73" s="1012"/>
      <c r="F73" s="1012"/>
    </row>
    <row r="74" spans="1:7">
      <c r="A74" s="138"/>
      <c r="B74" s="138"/>
      <c r="D74" s="963" t="s">
        <v>1325</v>
      </c>
      <c r="E74" s="963"/>
      <c r="F74" s="963"/>
    </row>
    <row r="75" spans="1:7">
      <c r="A75" s="138"/>
      <c r="B75" s="138"/>
    </row>
    <row r="76" spans="1:7" ht="14.25">
      <c r="A76" s="270"/>
      <c r="B76" s="703" t="s">
        <v>329</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65" customHeight="1">
      <c r="A83" s="731"/>
      <c r="B83" s="736" t="s">
        <v>329</v>
      </c>
      <c r="C83" s="729"/>
      <c r="D83" s="992" t="s">
        <v>1398</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1301</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1302</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1304</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1305</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1306</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1310</v>
      </c>
      <c r="E174" s="1007"/>
      <c r="F174" s="1007"/>
      <c r="G174" s="57"/>
    </row>
    <row r="175" spans="1:7">
      <c r="A175" s="273"/>
      <c r="B175" s="273"/>
      <c r="C175" s="274"/>
      <c r="D175" s="1007"/>
      <c r="E175" s="1007"/>
      <c r="F175" s="1007"/>
      <c r="G175" s="57"/>
    </row>
    <row r="176" spans="1:7" s="743" customFormat="1">
      <c r="A176" s="745"/>
      <c r="B176" s="745"/>
      <c r="C176" s="274"/>
      <c r="D176" s="1008" t="s">
        <v>1311</v>
      </c>
      <c r="E176" s="1008"/>
      <c r="F176" s="1008"/>
      <c r="G176" s="57"/>
    </row>
    <row r="177" spans="1:7" ht="12" customHeight="1">
      <c r="A177" s="273"/>
      <c r="B177" s="273"/>
      <c r="C177" s="274"/>
      <c r="D177" s="57"/>
      <c r="E177" s="49"/>
      <c r="F177" s="57"/>
      <c r="G177" s="57"/>
    </row>
    <row r="178" spans="1:7" ht="14.25">
      <c r="A178" s="270"/>
      <c r="B178" s="703" t="s">
        <v>329</v>
      </c>
      <c r="C178" s="274"/>
      <c r="D178" s="1001" t="s">
        <v>1309</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1218</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1308</v>
      </c>
      <c r="E186" s="963"/>
      <c r="F186" s="963"/>
      <c r="G186" s="702"/>
    </row>
    <row r="187" spans="1:7" s="701" customFormat="1" ht="14.6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1332</v>
      </c>
      <c r="E194" s="988"/>
      <c r="F194" s="988"/>
    </row>
    <row r="195" spans="1:6" ht="12" customHeight="1">
      <c r="A195" s="23"/>
      <c r="B195" s="699"/>
      <c r="C195" s="23"/>
    </row>
    <row r="196" spans="1:6" ht="13.15" customHeight="1">
      <c r="A196" s="23"/>
      <c r="C196" s="23"/>
      <c r="D196" s="986" t="s">
        <v>593</v>
      </c>
      <c r="E196" s="986"/>
      <c r="F196" s="986"/>
    </row>
    <row r="197" spans="1:6" ht="14.25">
      <c r="A197" s="270"/>
      <c r="B197" s="703" t="s">
        <v>329</v>
      </c>
      <c r="D197" s="963" t="s">
        <v>1326</v>
      </c>
      <c r="E197" s="963"/>
      <c r="F197" s="963"/>
    </row>
    <row r="198" spans="1:6" ht="14.25">
      <c r="A198" s="270"/>
      <c r="B198" s="270"/>
      <c r="D198" s="963"/>
      <c r="E198" s="963"/>
      <c r="F198" s="963"/>
    </row>
    <row r="199" spans="1:6"/>
    <row r="200" spans="1:6" ht="14.25">
      <c r="A200" s="270"/>
      <c r="B200" s="703" t="s">
        <v>329</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1329</v>
      </c>
      <c r="E210" s="977"/>
      <c r="F210" s="977"/>
    </row>
    <row r="211" spans="1:7" ht="14.25">
      <c r="A211" s="270"/>
      <c r="B211" s="270"/>
      <c r="D211" s="977"/>
      <c r="E211" s="977"/>
      <c r="F211" s="977"/>
    </row>
    <row r="212" spans="1:7" ht="14.25">
      <c r="A212" s="270"/>
      <c r="B212" s="270"/>
      <c r="D212" s="1011" t="s">
        <v>992</v>
      </c>
      <c r="E212" s="1011"/>
      <c r="F212" s="1011"/>
    </row>
    <row r="213" spans="1:7" ht="14.25">
      <c r="A213" s="270"/>
      <c r="B213" s="270"/>
      <c r="D213" s="138"/>
      <c r="E213" s="138"/>
      <c r="F213" s="138"/>
    </row>
    <row r="214" spans="1:7" ht="14.65" customHeight="1">
      <c r="A214" s="270"/>
      <c r="B214" s="703" t="s">
        <v>329</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1330</v>
      </c>
      <c r="E220" s="963"/>
      <c r="F220" s="963"/>
    </row>
    <row r="221" spans="1:7" ht="14.25">
      <c r="A221" s="270"/>
      <c r="B221" s="270"/>
      <c r="D221" s="963"/>
      <c r="E221" s="963"/>
      <c r="F221" s="963"/>
    </row>
    <row r="222" spans="1:7">
      <c r="D222" s="29"/>
    </row>
    <row r="223" spans="1:7">
      <c r="A223" s="983" t="s">
        <v>1204</v>
      </c>
      <c r="B223" s="983"/>
      <c r="C223" s="983"/>
      <c r="D223" s="983"/>
      <c r="E223" s="983"/>
      <c r="F223" s="983"/>
      <c r="G223" s="983"/>
    </row>
    <row r="224" spans="1:7">
      <c r="D224" s="29"/>
    </row>
    <row r="225" spans="1:6">
      <c r="C225" s="271"/>
      <c r="D225" s="986" t="s">
        <v>1333</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1334</v>
      </c>
      <c r="E228" s="987"/>
      <c r="F228" s="987"/>
    </row>
    <row r="229" spans="1:6" ht="14.25">
      <c r="A229" s="270"/>
      <c r="B229" s="270"/>
      <c r="D229" s="987"/>
      <c r="E229" s="987"/>
      <c r="F229" s="987"/>
    </row>
    <row r="230" spans="1:6">
      <c r="D230" s="138"/>
      <c r="E230" s="138"/>
      <c r="F230" s="138"/>
    </row>
    <row r="231" spans="1:6" ht="14.65" customHeight="1">
      <c r="A231" s="270"/>
      <c r="B231" s="703" t="s">
        <v>329</v>
      </c>
      <c r="D231" s="977" t="s">
        <v>1335</v>
      </c>
      <c r="E231" s="977"/>
      <c r="F231" s="977"/>
    </row>
    <row r="232" spans="1:6">
      <c r="D232" s="977"/>
      <c r="E232" s="977"/>
      <c r="F232" s="977"/>
    </row>
    <row r="233" spans="1:6">
      <c r="D233" s="988" t="s">
        <v>983</v>
      </c>
      <c r="E233" s="988"/>
      <c r="F233" s="988"/>
    </row>
    <row r="234" spans="1:6">
      <c r="D234" s="138"/>
      <c r="E234" s="138"/>
      <c r="F234" s="138"/>
    </row>
    <row r="235" spans="1:6" ht="14.65" customHeight="1">
      <c r="A235" s="270"/>
      <c r="B235" s="703" t="s">
        <v>329</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1336</v>
      </c>
      <c r="E241" s="963"/>
      <c r="F241" s="963"/>
    </row>
    <row r="242" spans="1:7">
      <c r="D242" s="963"/>
      <c r="E242" s="963"/>
      <c r="F242" s="963"/>
    </row>
    <row r="243" spans="1:7">
      <c r="D243" s="963"/>
      <c r="E243" s="963"/>
      <c r="F243" s="963"/>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1012" t="s">
        <v>1338</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1339</v>
      </c>
      <c r="E251" s="994"/>
      <c r="F251" s="994"/>
    </row>
    <row r="252" spans="1:7">
      <c r="E252" s="138"/>
      <c r="F252" s="138"/>
    </row>
    <row r="253" spans="1:7" ht="14.25">
      <c r="A253" s="270"/>
      <c r="B253" s="703" t="s">
        <v>329</v>
      </c>
      <c r="D253" s="963" t="s">
        <v>1340</v>
      </c>
      <c r="E253" s="963"/>
      <c r="F253" s="963"/>
    </row>
    <row r="254" spans="1:7" ht="14.25">
      <c r="A254" s="270"/>
      <c r="B254" s="270"/>
      <c r="D254" s="963"/>
      <c r="E254" s="963"/>
      <c r="F254" s="963"/>
    </row>
    <row r="255" spans="1:7">
      <c r="D255" s="138"/>
      <c r="E255" s="138"/>
      <c r="F255" s="138"/>
    </row>
    <row r="256" spans="1:7" ht="14.25">
      <c r="A256" s="270"/>
      <c r="B256" s="703" t="s">
        <v>329</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1342</v>
      </c>
      <c r="E260" s="963"/>
      <c r="F260" s="963"/>
    </row>
    <row r="261" spans="1:7" ht="14.25">
      <c r="A261" s="270"/>
      <c r="B261" s="270"/>
      <c r="D261" s="963"/>
      <c r="E261" s="963"/>
      <c r="F261" s="963"/>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6" t="s">
        <v>735</v>
      </c>
      <c r="E265" s="986"/>
      <c r="F265" s="986"/>
    </row>
    <row r="266" spans="1:7">
      <c r="C266" s="23"/>
      <c r="D266" s="976" t="s">
        <v>1343</v>
      </c>
      <c r="E266" s="976"/>
      <c r="F266" s="976"/>
    </row>
    <row r="267" spans="1:7">
      <c r="C267" s="23"/>
      <c r="D267" s="268"/>
    </row>
    <row r="268" spans="1:7">
      <c r="A268" s="282"/>
      <c r="B268" s="703" t="s">
        <v>329</v>
      </c>
      <c r="D268" s="976" t="s">
        <v>1344</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1345</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1346</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1347</v>
      </c>
      <c r="E279" s="976"/>
      <c r="F279" s="976"/>
    </row>
    <row r="280" spans="1:7">
      <c r="E280" s="138"/>
      <c r="F280" s="138"/>
    </row>
    <row r="281" spans="1:7" ht="14.25">
      <c r="A281" s="270"/>
      <c r="B281" s="703" t="s">
        <v>329</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1092</v>
      </c>
      <c r="E314" s="995"/>
      <c r="F314" s="995"/>
      <c r="G314" s="12"/>
    </row>
    <row r="315" spans="1:7" s="743" customFormat="1" ht="13.5" thickTop="1">
      <c r="A315" s="755"/>
      <c r="B315" s="755"/>
      <c r="C315" s="755"/>
      <c r="D315" s="996" t="s">
        <v>1351</v>
      </c>
      <c r="E315" s="996"/>
      <c r="F315" s="996"/>
    </row>
    <row r="316" spans="1:7">
      <c r="A316" s="335"/>
      <c r="B316" s="335"/>
      <c r="C316" s="335"/>
      <c r="D316" s="484"/>
      <c r="E316" s="484"/>
      <c r="F316" s="138"/>
      <c r="G316" s="12"/>
    </row>
    <row r="317" spans="1:7" ht="14.25">
      <c r="A317" s="270"/>
      <c r="B317" s="703" t="s">
        <v>329</v>
      </c>
      <c r="C317" s="335"/>
      <c r="D317" s="997" t="s">
        <v>1352</v>
      </c>
      <c r="E317" s="997"/>
      <c r="F317" s="997"/>
      <c r="G317" s="12"/>
    </row>
    <row r="318" spans="1:7">
      <c r="A318" s="335"/>
      <c r="B318" s="335"/>
      <c r="C318" s="335"/>
      <c r="D318" s="484"/>
      <c r="E318" s="484"/>
      <c r="F318" s="138"/>
      <c r="G318" s="12"/>
    </row>
    <row r="319" spans="1:7">
      <c r="A319" s="335"/>
      <c r="B319" s="703" t="s">
        <v>329</v>
      </c>
      <c r="C319" s="335"/>
      <c r="D319" s="992" t="s">
        <v>1353</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1354</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1355</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1356</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1357</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1358</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1360</v>
      </c>
      <c r="E405" s="976"/>
      <c r="F405" s="976"/>
    </row>
    <row r="406" spans="1:7">
      <c r="D406" s="993" t="s">
        <v>1117</v>
      </c>
      <c r="E406" s="993"/>
      <c r="F406" s="993"/>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1363</v>
      </c>
      <c r="E416" s="977"/>
      <c r="F416" s="977"/>
      <c r="G416" s="12"/>
    </row>
    <row r="417" spans="1:7">
      <c r="D417" s="977"/>
      <c r="E417" s="977"/>
      <c r="F417" s="977"/>
      <c r="G417" s="12"/>
    </row>
    <row r="418" spans="1:7">
      <c r="D418" s="138"/>
      <c r="E418" s="138"/>
      <c r="F418" s="138"/>
      <c r="G418" s="12"/>
    </row>
    <row r="419" spans="1:7" ht="14.25">
      <c r="B419" s="703" t="s">
        <v>329</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1366</v>
      </c>
      <c r="E440" s="978"/>
      <c r="F440" s="978"/>
    </row>
    <row r="441" spans="1:7">
      <c r="A441" s="138"/>
      <c r="B441" s="138"/>
    </row>
    <row r="442" spans="1:7">
      <c r="A442" s="983" t="s">
        <v>1207</v>
      </c>
      <c r="B442" s="983"/>
      <c r="C442" s="983"/>
      <c r="D442" s="983"/>
      <c r="E442" s="983"/>
      <c r="F442" s="983"/>
      <c r="G442" s="983"/>
    </row>
    <row r="443" spans="1:7">
      <c r="A443" s="138"/>
      <c r="B443" s="138"/>
    </row>
    <row r="444" spans="1:7">
      <c r="D444" s="979" t="s">
        <v>977</v>
      </c>
      <c r="E444" s="979"/>
      <c r="F444" s="979"/>
    </row>
    <row r="445" spans="1:7" s="39" customFormat="1" ht="14.25">
      <c r="A445" s="420"/>
      <c r="B445" s="420"/>
      <c r="C445" s="282"/>
      <c r="D445" s="980" t="s">
        <v>1367</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1368</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1369</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1370</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1371</v>
      </c>
      <c r="E459" s="976"/>
      <c r="F459" s="976"/>
      <c r="G459" s="12"/>
    </row>
    <row r="460" spans="1:7" ht="14.25">
      <c r="A460" s="270"/>
      <c r="B460" s="270"/>
      <c r="D460" s="754"/>
      <c r="E460" s="6"/>
      <c r="F460" s="6"/>
      <c r="G460" s="12"/>
    </row>
    <row r="461" spans="1:7" ht="14.25">
      <c r="A461" s="270"/>
      <c r="B461" s="703" t="s">
        <v>329</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1373</v>
      </c>
      <c r="E464" s="976"/>
      <c r="F464" s="976"/>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874</v>
      </c>
      <c r="E468" s="984"/>
      <c r="F468" s="984"/>
      <c r="G468" s="187"/>
    </row>
    <row r="469" spans="1:7" customFormat="1" ht="13.15" customHeight="1">
      <c r="A469" s="269"/>
      <c r="B469" s="269"/>
      <c r="C469" s="323"/>
      <c r="D469" s="985" t="s">
        <v>1251</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65" customHeight="1">
      <c r="A475" s="270"/>
      <c r="B475" s="703" t="s">
        <v>329</v>
      </c>
      <c r="C475" s="323"/>
      <c r="D475" s="1025" t="s">
        <v>1242</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65" customHeight="1">
      <c r="A481" s="270"/>
      <c r="B481" s="703" t="s">
        <v>329</v>
      </c>
      <c r="C481" s="323"/>
      <c r="D481" s="1025" t="s">
        <v>1245</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65" customHeight="1">
      <c r="A486" s="270"/>
      <c r="B486" s="703" t="s">
        <v>329</v>
      </c>
      <c r="C486" s="323"/>
      <c r="D486" s="1025" t="s">
        <v>1243</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65" customHeight="1">
      <c r="A490" s="270"/>
      <c r="B490" s="703" t="s">
        <v>329</v>
      </c>
      <c r="C490" s="323"/>
      <c r="D490" s="1025" t="s">
        <v>1244</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1388</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65" customHeight="1">
      <c r="A506" s="270"/>
      <c r="B506" s="703" t="s">
        <v>329</v>
      </c>
      <c r="C506" s="10"/>
      <c r="D506" s="1025" t="s">
        <v>1246</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1210</v>
      </c>
      <c r="B514" s="1033"/>
      <c r="C514" s="1033"/>
      <c r="D514" s="1033"/>
      <c r="E514" s="1033"/>
      <c r="F514" s="1033"/>
      <c r="G514" s="1033"/>
    </row>
    <row r="515" spans="1:7">
      <c r="A515" s="138"/>
      <c r="B515" s="138"/>
      <c r="C515" s="275"/>
      <c r="D515" s="138"/>
      <c r="F515" s="138"/>
    </row>
    <row r="516" spans="1:7">
      <c r="C516" s="275"/>
      <c r="D516" s="986" t="s">
        <v>736</v>
      </c>
      <c r="E516" s="986"/>
      <c r="F516" s="986"/>
    </row>
    <row r="517" spans="1:7" s="706" customFormat="1">
      <c r="A517" s="723"/>
      <c r="B517" s="723"/>
      <c r="C517" s="275"/>
      <c r="D517" s="976" t="s">
        <v>1267</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978</v>
      </c>
      <c r="E519" s="976"/>
      <c r="F519" s="976"/>
      <c r="G519" s="12"/>
    </row>
    <row r="520" spans="1:7" ht="13.15" customHeight="1">
      <c r="A520" s="275"/>
      <c r="B520" s="275"/>
      <c r="C520" s="275"/>
      <c r="D520" s="728"/>
      <c r="E520" s="701"/>
      <c r="F520" s="701"/>
      <c r="G520" s="12"/>
    </row>
    <row r="521" spans="1:7" ht="14.25">
      <c r="A521" s="270"/>
      <c r="B521" s="703" t="s">
        <v>329</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1389</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1272</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1274</v>
      </c>
      <c r="E543" s="976"/>
      <c r="F543" s="976"/>
      <c r="G543" s="57"/>
    </row>
    <row r="544" spans="1:7">
      <c r="A544" s="23"/>
      <c r="B544" s="699"/>
      <c r="C544" s="275"/>
      <c r="D544" s="976" t="s">
        <v>904</v>
      </c>
      <c r="E544" s="976"/>
      <c r="F544" s="976"/>
      <c r="G544" s="57"/>
    </row>
    <row r="545" spans="1:7">
      <c r="A545" s="23"/>
      <c r="B545" s="699"/>
      <c r="C545" s="275"/>
      <c r="D545" s="6"/>
      <c r="E545" s="994" t="s">
        <v>1275</v>
      </c>
      <c r="F545" s="994"/>
      <c r="G545" s="57"/>
    </row>
    <row r="546" spans="1:7" ht="14.25">
      <c r="A546" s="270"/>
      <c r="B546" s="270"/>
      <c r="C546" s="275"/>
      <c r="E546" s="138"/>
      <c r="F546" s="138"/>
      <c r="G546" s="57"/>
    </row>
    <row r="547" spans="1:7" ht="14.25">
      <c r="A547" s="270"/>
      <c r="B547" s="703" t="s">
        <v>329</v>
      </c>
      <c r="C547" s="275"/>
      <c r="D547" s="1038" t="s">
        <v>1276</v>
      </c>
      <c r="E547" s="1038"/>
      <c r="F547" s="1038"/>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1227</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982" t="s">
        <v>1228</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1229</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1230</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1212</v>
      </c>
      <c r="B588" s="983"/>
      <c r="C588" s="983"/>
      <c r="D588" s="983"/>
      <c r="E588" s="983"/>
      <c r="F588" s="983"/>
      <c r="G588" s="983"/>
    </row>
    <row r="589" spans="1:7"/>
    <row r="590" spans="1:7">
      <c r="D590" s="1000" t="s">
        <v>1312</v>
      </c>
      <c r="E590" s="1000"/>
      <c r="F590" s="1000"/>
    </row>
    <row r="591" spans="1:7">
      <c r="D591" s="1039" t="s">
        <v>1313</v>
      </c>
      <c r="E591" s="1039"/>
      <c r="F591" s="1039"/>
    </row>
    <row r="592" spans="1:7" s="743" customFormat="1">
      <c r="A592" s="729"/>
      <c r="B592" s="729"/>
      <c r="C592" s="729"/>
      <c r="D592" s="747"/>
      <c r="E592" s="746"/>
      <c r="F592" s="746"/>
      <c r="G592" s="7"/>
    </row>
    <row r="593" spans="1:7" s="39" customFormat="1" ht="14.25">
      <c r="A593" s="420"/>
      <c r="B593" s="703" t="s">
        <v>329</v>
      </c>
      <c r="C593" s="282"/>
      <c r="D593" s="1002" t="s">
        <v>1314</v>
      </c>
      <c r="E593" s="1002"/>
      <c r="F593" s="1002"/>
      <c r="G593" s="133"/>
    </row>
    <row r="594" spans="1:7">
      <c r="D594" s="1002"/>
      <c r="E594" s="1002"/>
      <c r="F594" s="1002"/>
    </row>
    <row r="595" spans="1:7">
      <c r="D595" s="1002"/>
      <c r="E595" s="1002"/>
      <c r="F595" s="1002"/>
    </row>
    <row r="596" spans="1:7"/>
    <row r="597" spans="1:7">
      <c r="A597" s="983" t="s">
        <v>1213</v>
      </c>
      <c r="B597" s="983"/>
      <c r="C597" s="983"/>
      <c r="D597" s="983"/>
      <c r="E597" s="983"/>
      <c r="F597" s="983"/>
      <c r="G597" s="983"/>
    </row>
    <row r="598" spans="1:7">
      <c r="A598" s="138"/>
      <c r="B598" s="138"/>
      <c r="G598" s="57"/>
    </row>
    <row r="599" spans="1:7">
      <c r="A599" s="266"/>
      <c r="B599" s="698"/>
      <c r="C599" s="264"/>
      <c r="D599" s="1040" t="s">
        <v>1315</v>
      </c>
      <c r="E599" s="1040"/>
      <c r="F599" s="1040"/>
      <c r="G599" s="57"/>
    </row>
    <row r="600" spans="1:7">
      <c r="A600" s="266"/>
      <c r="B600" s="698"/>
      <c r="C600" s="264"/>
      <c r="D600" s="1040"/>
      <c r="E600" s="1040"/>
      <c r="F600" s="1040"/>
      <c r="G600" s="57"/>
    </row>
    <row r="601" spans="1:7">
      <c r="C601" s="269"/>
      <c r="D601" s="1039" t="s">
        <v>1316</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1317</v>
      </c>
      <c r="E605" s="999"/>
      <c r="F605" s="999"/>
      <c r="G605" s="57"/>
    </row>
    <row r="606" spans="1:7">
      <c r="D606" s="999"/>
      <c r="E606" s="999"/>
      <c r="F606" s="999"/>
      <c r="G606" s="57"/>
    </row>
    <row r="607" spans="1:7">
      <c r="D607" s="12"/>
      <c r="G607" s="57"/>
    </row>
    <row r="608" spans="1:7">
      <c r="B608" s="703" t="s">
        <v>329</v>
      </c>
      <c r="D608" s="999" t="s">
        <v>1318</v>
      </c>
      <c r="E608" s="999"/>
      <c r="F608" s="999"/>
      <c r="G608" s="57"/>
    </row>
    <row r="609" spans="1:7">
      <c r="C609" s="277"/>
      <c r="D609" s="999"/>
      <c r="E609" s="999"/>
      <c r="F609" s="999"/>
      <c r="G609" s="57"/>
    </row>
    <row r="610" spans="1:7">
      <c r="C610" s="277"/>
      <c r="G610" s="57"/>
    </row>
    <row r="611" spans="1:7">
      <c r="B611" s="703" t="s">
        <v>329</v>
      </c>
      <c r="C611" s="277"/>
      <c r="D611" s="999" t="s">
        <v>1319</v>
      </c>
      <c r="E611" s="999"/>
      <c r="F611" s="999"/>
      <c r="G611" s="57"/>
    </row>
    <row r="612" spans="1:7">
      <c r="C612" s="277"/>
      <c r="D612" s="999"/>
      <c r="E612" s="999"/>
      <c r="F612" s="999"/>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1000" t="s">
        <v>1320</v>
      </c>
      <c r="E616" s="1000"/>
      <c r="F616" s="1000"/>
      <c r="G616" s="57"/>
    </row>
    <row r="617" spans="1:7">
      <c r="A617" s="23"/>
      <c r="B617" s="699"/>
      <c r="C617" s="274"/>
      <c r="D617" s="50"/>
      <c r="G617" s="57"/>
    </row>
    <row r="618" spans="1:7" ht="14.25">
      <c r="A618" s="270"/>
      <c r="B618" s="703" t="s">
        <v>329</v>
      </c>
      <c r="C618" s="274"/>
      <c r="D618" s="1001" t="s">
        <v>1321</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1322</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1323</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1324</v>
      </c>
      <c r="E633" s="1003"/>
      <c r="F633" s="100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04" t="s">
        <v>1374</v>
      </c>
      <c r="E637" s="1004"/>
      <c r="F637" s="1004"/>
      <c r="G637" s="57"/>
    </row>
    <row r="638" spans="1:7">
      <c r="A638" s="269"/>
      <c r="B638" s="269"/>
      <c r="C638" s="269"/>
      <c r="D638" s="1005" t="s">
        <v>1375</v>
      </c>
      <c r="E638" s="1005"/>
      <c r="F638" s="1005"/>
      <c r="G638" s="57"/>
    </row>
    <row r="639" spans="1:7" s="743" customFormat="1">
      <c r="A639" s="744"/>
      <c r="B639" s="744"/>
      <c r="C639" s="744"/>
      <c r="D639" s="758"/>
      <c r="E639" s="758"/>
      <c r="F639" s="758"/>
      <c r="G639" s="57"/>
    </row>
    <row r="640" spans="1:7" ht="14.65" customHeight="1">
      <c r="A640" s="270"/>
      <c r="B640" s="703" t="s">
        <v>329</v>
      </c>
      <c r="C640" s="275"/>
      <c r="D640" s="961" t="s">
        <v>1376</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1226</v>
      </c>
      <c r="E646" s="1022"/>
      <c r="F646" s="1022"/>
      <c r="G646" s="57"/>
    </row>
    <row r="647" spans="1:11" s="706" customFormat="1" ht="14.25">
      <c r="A647" s="270"/>
      <c r="B647" s="270"/>
      <c r="C647" s="275"/>
      <c r="D647" s="1023" t="s">
        <v>1377</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1378</v>
      </c>
      <c r="E652" s="1024"/>
      <c r="F652" s="1024"/>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1252</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980</v>
      </c>
      <c r="E660" s="976"/>
      <c r="F660" s="976"/>
      <c r="G660" s="57"/>
      <c r="H660" s="278"/>
      <c r="I660" s="278"/>
      <c r="J660" s="278"/>
      <c r="K660" s="278"/>
    </row>
    <row r="661" spans="1:11">
      <c r="A661" s="269"/>
      <c r="B661" s="269"/>
      <c r="C661" s="269"/>
      <c r="D661" s="976" t="s">
        <v>991</v>
      </c>
      <c r="E661" s="976"/>
      <c r="F661" s="976"/>
      <c r="G661" s="57"/>
      <c r="H661" s="278"/>
      <c r="I661" s="278"/>
      <c r="J661" s="278"/>
      <c r="K661" s="278"/>
    </row>
    <row r="662" spans="1:11">
      <c r="A662" s="269"/>
      <c r="B662" s="269"/>
      <c r="C662" s="269"/>
      <c r="D662" s="6"/>
      <c r="E662" s="972" t="s">
        <v>1253</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1021</v>
      </c>
      <c r="E669" s="976"/>
      <c r="F669" s="976"/>
      <c r="G669" s="57"/>
      <c r="H669" s="278"/>
      <c r="I669" s="278"/>
      <c r="J669" s="278"/>
      <c r="K669" s="278"/>
    </row>
    <row r="670" spans="1:11" ht="14.25">
      <c r="A670" s="270"/>
      <c r="B670" s="270"/>
      <c r="C670" s="269"/>
      <c r="D670" s="976" t="s">
        <v>991</v>
      </c>
      <c r="E670" s="976"/>
      <c r="F670" s="976"/>
      <c r="G670" s="57"/>
      <c r="H670" s="278"/>
      <c r="I670" s="278"/>
      <c r="J670" s="278"/>
      <c r="K670" s="278"/>
    </row>
    <row r="671" spans="1:11">
      <c r="A671" s="269"/>
      <c r="B671" s="269"/>
      <c r="C671" s="269"/>
      <c r="D671" s="6"/>
      <c r="E671" s="994" t="s">
        <v>1255</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1265</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1256</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1266</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1263</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1264</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1257</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1258</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1392</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1260</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1217</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1233</v>
      </c>
      <c r="E728" s="1012"/>
      <c r="F728" s="1012"/>
      <c r="G728" s="280"/>
      <c r="H728" s="278"/>
      <c r="I728" s="278"/>
      <c r="J728" s="278"/>
      <c r="K728" s="278"/>
    </row>
    <row r="729" spans="1:11">
      <c r="A729" s="269"/>
      <c r="B729" s="269"/>
      <c r="C729" s="269"/>
      <c r="D729" s="1029" t="s">
        <v>1234</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1236</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1237</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1238</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1239</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1240</v>
      </c>
      <c r="B754" s="1035"/>
      <c r="C754" s="1035"/>
      <c r="D754" s="1035"/>
      <c r="E754" s="1035"/>
      <c r="F754" s="1035"/>
      <c r="G754" s="1035"/>
    </row>
    <row r="755" spans="1:11">
      <c r="A755" s="269"/>
      <c r="B755" s="269"/>
      <c r="C755" s="269"/>
      <c r="D755" s="285"/>
      <c r="F755" s="150"/>
      <c r="G755" s="280"/>
    </row>
    <row r="756" spans="1:11">
      <c r="A756" s="282"/>
      <c r="B756" s="282"/>
      <c r="C756" s="459"/>
      <c r="D756" s="1036" t="s">
        <v>1224</v>
      </c>
      <c r="E756" s="1036"/>
      <c r="F756" s="1036"/>
      <c r="G756" s="280"/>
    </row>
    <row r="757" spans="1:11">
      <c r="A757" s="523"/>
      <c r="B757" s="523"/>
      <c r="C757" s="522"/>
      <c r="D757" s="1026" t="s">
        <v>1241</v>
      </c>
      <c r="E757" s="1026"/>
      <c r="F757" s="1026"/>
      <c r="G757" s="280"/>
    </row>
    <row r="758" spans="1:11">
      <c r="A758" s="282"/>
      <c r="B758" s="282"/>
      <c r="C758" s="459"/>
      <c r="D758" s="717"/>
      <c r="E758" s="717"/>
      <c r="F758" s="717"/>
      <c r="G758" s="280"/>
    </row>
    <row r="759" spans="1:11" ht="14.25">
      <c r="A759" s="270"/>
      <c r="B759" s="703" t="s">
        <v>329</v>
      </c>
      <c r="C759" s="459"/>
      <c r="D759" s="1027" t="s">
        <v>1102</v>
      </c>
      <c r="E759" s="1027"/>
      <c r="F759" s="1027"/>
      <c r="G759" s="280"/>
    </row>
    <row r="760" spans="1:11">
      <c r="A760" s="282"/>
      <c r="B760" s="282"/>
      <c r="C760" s="459"/>
      <c r="D760" s="716"/>
      <c r="E760" s="1028" t="s">
        <v>1225</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1101</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25">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967</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9" t="s">
        <v>1131</v>
      </c>
      <c r="B76" s="969"/>
      <c r="C76" s="969"/>
      <c r="D76" s="969"/>
      <c r="E76" s="969"/>
    </row>
    <row r="77" spans="1:9" ht="12.75">
      <c r="A77" s="969" t="s">
        <v>1437</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1559</v>
      </c>
      <c r="B2" s="1058"/>
      <c r="C2" s="1059"/>
      <c r="D2" s="1059"/>
      <c r="E2" s="1059"/>
      <c r="F2" s="1059"/>
      <c r="G2" s="1059"/>
    </row>
    <row r="3" spans="1:9">
      <c r="A3" s="1066" t="s">
        <v>1562</v>
      </c>
      <c r="B3" s="1066"/>
      <c r="C3" s="1067"/>
      <c r="D3" s="1067"/>
      <c r="E3" s="1067"/>
      <c r="F3" s="1067"/>
      <c r="G3" s="1067"/>
      <c r="I3" s="717" t="s">
        <v>1198</v>
      </c>
    </row>
    <row r="4" spans="1:9">
      <c r="A4" s="1062" t="s">
        <v>1561</v>
      </c>
      <c r="B4" s="1062"/>
      <c r="C4" s="1068"/>
      <c r="D4" s="1068"/>
      <c r="E4" s="1068"/>
      <c r="F4" s="1068"/>
      <c r="G4" s="1068"/>
      <c r="I4" s="717"/>
    </row>
    <row r="5" spans="1:9" s="816" customFormat="1">
      <c r="A5" s="1062"/>
      <c r="B5" s="1062"/>
      <c r="C5" s="1063"/>
      <c r="D5" s="1063"/>
      <c r="E5" s="1063"/>
      <c r="F5" s="1063"/>
      <c r="G5" s="1063"/>
      <c r="I5" s="717" t="s">
        <v>1199</v>
      </c>
    </row>
    <row r="6" spans="1:9" s="816" customFormat="1">
      <c r="A6" s="1060" t="s">
        <v>1294</v>
      </c>
      <c r="B6" s="1060"/>
      <c r="C6" s="1061"/>
      <c r="D6" s="1061"/>
      <c r="E6" s="1061"/>
      <c r="F6" s="1061"/>
      <c r="G6" s="1061"/>
    </row>
    <row r="7" spans="1:9" s="816" customFormat="1">
      <c r="A7" s="1060" t="s">
        <v>1295</v>
      </c>
      <c r="B7" s="1060"/>
      <c r="C7" s="1061"/>
      <c r="D7" s="1061"/>
      <c r="E7" s="1061"/>
      <c r="F7" s="1061"/>
      <c r="G7" s="106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85" t="s">
        <v>1296</v>
      </c>
      <c r="E11" s="1085"/>
      <c r="F11" s="1085"/>
    </row>
    <row r="12" spans="1:9">
      <c r="C12" s="818"/>
      <c r="D12" s="1085"/>
      <c r="E12" s="1085"/>
      <c r="F12" s="1085"/>
    </row>
    <row r="13" spans="1:9">
      <c r="A13" s="820"/>
      <c r="B13" s="820"/>
      <c r="C13" s="820"/>
      <c r="D13" s="1003" t="s">
        <v>1279</v>
      </c>
      <c r="E13" s="1003"/>
      <c r="F13" s="1003"/>
    </row>
    <row r="14" spans="1:9">
      <c r="A14" s="820"/>
      <c r="B14" s="820"/>
      <c r="C14" s="820"/>
      <c r="D14" s="821"/>
    </row>
    <row r="15" spans="1:9" ht="14.25">
      <c r="A15" s="822"/>
      <c r="B15" s="823" t="s">
        <v>329</v>
      </c>
      <c r="C15" s="824"/>
      <c r="D15" s="1001" t="s">
        <v>1280</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1281</v>
      </c>
      <c r="E19" s="1027"/>
      <c r="F19" s="1027"/>
    </row>
    <row r="20" spans="1:7" ht="14.25">
      <c r="A20" s="822"/>
      <c r="B20" s="822"/>
      <c r="D20" s="825"/>
    </row>
    <row r="21" spans="1:7" ht="14.25">
      <c r="A21" s="822"/>
      <c r="B21" s="823" t="s">
        <v>329</v>
      </c>
      <c r="D21" s="1001" t="s">
        <v>1282</v>
      </c>
      <c r="E21" s="1001"/>
      <c r="F21" s="1001"/>
    </row>
    <row r="22" spans="1:7" ht="14.25">
      <c r="A22" s="822"/>
      <c r="B22" s="822"/>
      <c r="D22" s="1001"/>
      <c r="E22" s="1001"/>
      <c r="F22" s="1001"/>
    </row>
    <row r="23" spans="1:7"/>
    <row r="24" spans="1:7" ht="14.25">
      <c r="A24" s="822"/>
      <c r="B24" s="823" t="s">
        <v>329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1284</v>
      </c>
      <c r="E30" s="1002"/>
      <c r="F30" s="1002"/>
      <c r="G30" s="827"/>
    </row>
    <row r="31" spans="1:7" s="816" customFormat="1">
      <c r="A31" s="826"/>
      <c r="B31" s="826"/>
      <c r="C31" s="826"/>
      <c r="D31" s="1002"/>
      <c r="E31" s="1002"/>
      <c r="F31" s="1002"/>
      <c r="G31" s="827"/>
    </row>
    <row r="32" spans="1:7" ht="14.25">
      <c r="A32" s="822"/>
      <c r="B32" s="822"/>
      <c r="D32" s="828"/>
    </row>
    <row r="33" spans="1:6" ht="14.65" customHeight="1">
      <c r="A33" s="822"/>
      <c r="B33" s="823" t="s">
        <v>329</v>
      </c>
      <c r="D33" s="1002" t="s">
        <v>1472</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1286</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1287</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65" customHeight="1">
      <c r="A49" s="822"/>
      <c r="B49" s="823" t="s">
        <v>329</v>
      </c>
      <c r="D49" s="1002" t="s">
        <v>1288</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1289</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1290</v>
      </c>
      <c r="E56" s="1002"/>
      <c r="F56" s="1002"/>
    </row>
    <row r="57" spans="1:7">
      <c r="D57" s="1002"/>
      <c r="E57" s="1002"/>
      <c r="F57" s="1002"/>
    </row>
    <row r="58" spans="1:7">
      <c r="D58" s="1002"/>
      <c r="E58" s="1002"/>
      <c r="F58" s="1002"/>
    </row>
    <row r="59" spans="1:7">
      <c r="D59" s="717"/>
    </row>
    <row r="60" spans="1:7" ht="14.25">
      <c r="A60" s="822"/>
      <c r="B60" s="823" t="s">
        <v>329</v>
      </c>
      <c r="D60" s="1002" t="s">
        <v>1291</v>
      </c>
      <c r="E60" s="1002"/>
      <c r="F60" s="1002"/>
    </row>
    <row r="61" spans="1:7">
      <c r="D61" s="1002"/>
      <c r="E61" s="1002"/>
      <c r="F61" s="1002"/>
    </row>
    <row r="62" spans="1:7"/>
    <row r="63" spans="1:7" ht="14.25">
      <c r="A63" s="822"/>
      <c r="B63" s="823" t="s">
        <v>329</v>
      </c>
      <c r="D63" s="1002" t="s">
        <v>1292</v>
      </c>
      <c r="E63" s="1002"/>
      <c r="F63" s="1002"/>
    </row>
    <row r="64" spans="1:7">
      <c r="D64" s="1002"/>
      <c r="E64" s="1002"/>
      <c r="F64" s="1002"/>
    </row>
    <row r="65" spans="1:7">
      <c r="D65" s="1002"/>
      <c r="E65" s="1002"/>
      <c r="F65" s="1002"/>
    </row>
    <row r="66" spans="1:7">
      <c r="D66" s="815"/>
    </row>
    <row r="67" spans="1:7" ht="14.25">
      <c r="A67" s="822"/>
      <c r="B67" s="823" t="s">
        <v>329</v>
      </c>
      <c r="D67" s="1001" t="s">
        <v>1293</v>
      </c>
      <c r="E67" s="1001"/>
      <c r="F67" s="1001"/>
    </row>
    <row r="68" spans="1:7">
      <c r="D68" s="1001"/>
      <c r="E68" s="1001"/>
      <c r="F68" s="1001"/>
    </row>
    <row r="69" spans="1:7" ht="14.25">
      <c r="A69" s="822"/>
      <c r="B69" s="822"/>
      <c r="D69" s="825"/>
    </row>
    <row r="70" spans="1:7">
      <c r="A70" s="983" t="s">
        <v>1200</v>
      </c>
      <c r="B70" s="983"/>
      <c r="C70" s="983"/>
      <c r="D70" s="983"/>
      <c r="E70" s="983"/>
      <c r="F70" s="983"/>
      <c r="G70" s="983"/>
    </row>
    <row r="71" spans="1:7"/>
    <row r="72" spans="1:7">
      <c r="C72" s="832"/>
      <c r="D72" s="1072" t="s">
        <v>1298</v>
      </c>
      <c r="E72" s="1072"/>
      <c r="F72" s="1072"/>
    </row>
    <row r="73" spans="1:7">
      <c r="A73" s="825"/>
      <c r="B73" s="825"/>
      <c r="D73" s="1001" t="s">
        <v>1325</v>
      </c>
      <c r="E73" s="1001"/>
      <c r="F73" s="1001"/>
    </row>
    <row r="74" spans="1:7">
      <c r="A74" s="825"/>
      <c r="B74" s="825"/>
    </row>
    <row r="75" spans="1:7" ht="13.7" customHeight="1">
      <c r="A75" s="822"/>
      <c r="B75" s="823" t="s">
        <v>329</v>
      </c>
      <c r="D75" s="1001" t="s">
        <v>1526</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65" customHeight="1">
      <c r="A84" s="822"/>
      <c r="B84" s="823" t="s">
        <v>329</v>
      </c>
      <c r="C84" s="813"/>
      <c r="D84" s="1001" t="s">
        <v>1444</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1300</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1302</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1303</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1304</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1412</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1454</v>
      </c>
      <c r="E149" s="1071"/>
      <c r="F149" s="1071"/>
      <c r="G149" s="887"/>
    </row>
    <row r="150" spans="1:7" s="746" customFormat="1" ht="13.7" customHeight="1">
      <c r="A150" s="813"/>
      <c r="B150" s="813"/>
      <c r="C150" s="829"/>
      <c r="D150" s="1069"/>
      <c r="E150" s="1069"/>
      <c r="F150" s="1069"/>
      <c r="G150" s="1069"/>
    </row>
    <row r="151" spans="1:7" s="746" customFormat="1" ht="14.65" customHeight="1">
      <c r="A151" s="838"/>
      <c r="B151" s="823" t="s">
        <v>329</v>
      </c>
      <c r="C151" s="839"/>
      <c r="D151" s="975" t="s">
        <v>1486</v>
      </c>
      <c r="E151" s="975"/>
      <c r="F151" s="975"/>
      <c r="G151" s="840"/>
    </row>
    <row r="152" spans="1:7" s="746" customFormat="1" ht="14.6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1306</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1310</v>
      </c>
      <c r="E170" s="1007"/>
      <c r="F170" s="1007"/>
      <c r="G170" s="844"/>
    </row>
    <row r="171" spans="1:7">
      <c r="A171" s="842"/>
      <c r="B171" s="842"/>
      <c r="C171" s="843"/>
      <c r="D171" s="1007"/>
      <c r="E171" s="1007"/>
      <c r="F171" s="1007"/>
      <c r="G171" s="844"/>
    </row>
    <row r="172" spans="1:7">
      <c r="A172" s="842"/>
      <c r="B172" s="842"/>
      <c r="C172" s="843"/>
      <c r="D172" s="1008" t="s">
        <v>1445</v>
      </c>
      <c r="E172" s="1008"/>
      <c r="F172" s="1008"/>
      <c r="G172" s="844"/>
    </row>
    <row r="173" spans="1:7" ht="12" customHeight="1">
      <c r="A173" s="842"/>
      <c r="B173" s="842"/>
      <c r="C173" s="843"/>
      <c r="D173" s="844"/>
      <c r="E173" s="845"/>
      <c r="F173" s="844"/>
      <c r="G173" s="844"/>
    </row>
    <row r="174" spans="1:7" ht="14.25">
      <c r="A174" s="822"/>
      <c r="B174" s="823" t="s">
        <v>329</v>
      </c>
      <c r="C174" s="843"/>
      <c r="D174" s="1001" t="s">
        <v>1309</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1218</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1474</v>
      </c>
      <c r="E182" s="1001"/>
      <c r="F182" s="1001"/>
      <c r="G182" s="717"/>
    </row>
    <row r="183" spans="1:7" s="642" customFormat="1" ht="14.6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1332</v>
      </c>
      <c r="E190" s="1078"/>
      <c r="F190" s="1078"/>
    </row>
    <row r="191" spans="1:7" ht="12" customHeight="1">
      <c r="A191" s="841"/>
      <c r="B191" s="841"/>
      <c r="C191" s="841"/>
    </row>
    <row r="192" spans="1:7" ht="13.7" customHeight="1">
      <c r="A192" s="841"/>
      <c r="C192" s="841"/>
      <c r="D192" s="1000" t="s">
        <v>593</v>
      </c>
      <c r="E192" s="1000"/>
      <c r="F192" s="1000"/>
    </row>
    <row r="193" spans="1:6" ht="14.25">
      <c r="A193" s="822"/>
      <c r="B193" s="823" t="s">
        <v>329</v>
      </c>
      <c r="D193" s="1001" t="s">
        <v>1327</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1328</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1329</v>
      </c>
      <c r="E203" s="1073"/>
      <c r="F203" s="1073"/>
    </row>
    <row r="204" spans="1:6" ht="14.25">
      <c r="A204" s="822"/>
      <c r="B204" s="822"/>
      <c r="D204" s="1073"/>
      <c r="E204" s="1073"/>
      <c r="F204" s="1073"/>
    </row>
    <row r="205" spans="1:6" ht="14.25">
      <c r="A205" s="822"/>
      <c r="B205" s="822"/>
      <c r="D205" s="1065" t="s">
        <v>992</v>
      </c>
      <c r="E205" s="1065"/>
      <c r="F205" s="1065"/>
    </row>
    <row r="206" spans="1:6" ht="14.25">
      <c r="A206" s="822"/>
      <c r="B206" s="822"/>
      <c r="D206" s="825"/>
      <c r="E206" s="825"/>
      <c r="F206" s="825"/>
    </row>
    <row r="207" spans="1:6" ht="14.65" customHeight="1">
      <c r="A207" s="822"/>
      <c r="B207" s="823" t="s">
        <v>329</v>
      </c>
      <c r="D207" s="1073" t="s">
        <v>1331</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1330</v>
      </c>
      <c r="E213" s="1001"/>
      <c r="F213" s="1001"/>
    </row>
    <row r="214" spans="1:7" ht="14.25">
      <c r="A214" s="822"/>
      <c r="B214" s="822"/>
      <c r="D214" s="1001"/>
      <c r="E214" s="1001"/>
      <c r="F214" s="1001"/>
    </row>
    <row r="215" spans="1:7">
      <c r="D215" s="846"/>
    </row>
    <row r="216" spans="1:7">
      <c r="A216" s="983" t="s">
        <v>1204</v>
      </c>
      <c r="B216" s="983"/>
      <c r="C216" s="983"/>
      <c r="D216" s="983"/>
      <c r="E216" s="983"/>
      <c r="F216" s="983"/>
      <c r="G216" s="983"/>
    </row>
    <row r="217" spans="1:7">
      <c r="D217" s="846"/>
    </row>
    <row r="218" spans="1:7">
      <c r="C218" s="832"/>
      <c r="D218" s="1000" t="s">
        <v>1333</v>
      </c>
      <c r="E218" s="1000"/>
      <c r="F218" s="1000"/>
    </row>
    <row r="219" spans="1:7">
      <c r="A219" s="818"/>
      <c r="B219" s="818"/>
      <c r="C219" s="818"/>
      <c r="D219" s="825"/>
      <c r="E219" s="825"/>
      <c r="F219" s="825"/>
    </row>
    <row r="220" spans="1:7">
      <c r="A220" s="820"/>
      <c r="B220" s="820"/>
      <c r="C220" s="820"/>
      <c r="D220" s="1000" t="s">
        <v>285</v>
      </c>
      <c r="E220" s="1000"/>
      <c r="F220" s="1000"/>
    </row>
    <row r="221" spans="1:7" ht="14.65" customHeight="1">
      <c r="A221" s="822"/>
      <c r="B221" s="823" t="s">
        <v>329</v>
      </c>
      <c r="D221" s="1075" t="s">
        <v>1446</v>
      </c>
      <c r="E221" s="1075"/>
      <c r="F221" s="1075"/>
    </row>
    <row r="222" spans="1:7">
      <c r="D222" s="1075"/>
      <c r="E222" s="1075"/>
      <c r="F222" s="1075"/>
    </row>
    <row r="223" spans="1:7">
      <c r="D223" s="1078" t="s">
        <v>983</v>
      </c>
      <c r="E223" s="1078"/>
      <c r="F223" s="1078"/>
    </row>
    <row r="224" spans="1:7">
      <c r="D224" s="825"/>
      <c r="E224" s="825"/>
      <c r="F224" s="825"/>
    </row>
    <row r="225" spans="1:7" ht="14.65" customHeight="1">
      <c r="A225" s="822"/>
      <c r="B225" s="823" t="s">
        <v>329</v>
      </c>
      <c r="D225" s="1073" t="s">
        <v>1447</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1336</v>
      </c>
      <c r="E231" s="1001"/>
      <c r="F231" s="1001"/>
    </row>
    <row r="232" spans="1:7">
      <c r="D232" s="1001"/>
      <c r="E232" s="1001"/>
      <c r="F232" s="1001"/>
    </row>
    <row r="233" spans="1:7">
      <c r="D233" s="1001"/>
      <c r="E233" s="1001"/>
      <c r="F233" s="1001"/>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72" t="s">
        <v>1338</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1339</v>
      </c>
      <c r="E241" s="1056"/>
      <c r="F241" s="1056"/>
    </row>
    <row r="242" spans="1:7">
      <c r="E242" s="825"/>
      <c r="F242" s="825"/>
    </row>
    <row r="243" spans="1:7" ht="14.25">
      <c r="A243" s="822"/>
      <c r="B243" s="823" t="s">
        <v>329</v>
      </c>
      <c r="D243" s="1001" t="s">
        <v>1340</v>
      </c>
      <c r="E243" s="1001"/>
      <c r="F243" s="1001"/>
    </row>
    <row r="244" spans="1:7" ht="14.25">
      <c r="A244" s="822"/>
      <c r="B244" s="822"/>
      <c r="D244" s="1001"/>
      <c r="E244" s="1001"/>
      <c r="F244" s="1001"/>
    </row>
    <row r="245" spans="1:7">
      <c r="D245" s="825"/>
      <c r="E245" s="825"/>
      <c r="F245" s="825"/>
    </row>
    <row r="246" spans="1:7" ht="14.25">
      <c r="A246" s="822"/>
      <c r="B246" s="823" t="s">
        <v>329</v>
      </c>
      <c r="D246" s="1073" t="s">
        <v>1341</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1342</v>
      </c>
      <c r="E250" s="1001"/>
      <c r="F250" s="1001"/>
    </row>
    <row r="251" spans="1:7" ht="14.25">
      <c r="A251" s="822"/>
      <c r="B251" s="822"/>
      <c r="D251" s="1001"/>
      <c r="E251" s="1001"/>
      <c r="F251" s="1001"/>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1000" t="s">
        <v>735</v>
      </c>
      <c r="E255" s="1000"/>
      <c r="F255" s="1000"/>
    </row>
    <row r="256" spans="1:7">
      <c r="C256" s="841"/>
      <c r="D256" s="1003" t="s">
        <v>1343</v>
      </c>
      <c r="E256" s="1003"/>
      <c r="F256" s="1003"/>
    </row>
    <row r="257" spans="1:7">
      <c r="C257" s="841"/>
      <c r="D257" s="848"/>
    </row>
    <row r="258" spans="1:7">
      <c r="A258" s="826"/>
      <c r="B258" s="823" t="s">
        <v>329</v>
      </c>
      <c r="D258" s="1003" t="s">
        <v>1344</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1479</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1346</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1347</v>
      </c>
      <c r="E269" s="1003"/>
      <c r="F269" s="1003"/>
    </row>
    <row r="270" spans="1:7">
      <c r="E270" s="825"/>
      <c r="F270" s="825"/>
    </row>
    <row r="271" spans="1:7" ht="14.25">
      <c r="A271" s="822"/>
      <c r="B271" s="823" t="s">
        <v>329</v>
      </c>
      <c r="D271" s="1073" t="s">
        <v>1509</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1349</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1580</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1092</v>
      </c>
      <c r="E304" s="1074"/>
      <c r="F304" s="1074"/>
      <c r="G304" s="815"/>
    </row>
    <row r="305" spans="1:7" ht="13.5" thickTop="1">
      <c r="D305" s="1083" t="s">
        <v>1351</v>
      </c>
      <c r="E305" s="1083"/>
      <c r="F305" s="1083"/>
      <c r="G305" s="815"/>
    </row>
    <row r="306" spans="1:7">
      <c r="A306" s="839"/>
      <c r="B306" s="839"/>
      <c r="C306" s="839"/>
      <c r="D306" s="811"/>
      <c r="E306" s="811"/>
      <c r="F306" s="825"/>
      <c r="G306" s="815"/>
    </row>
    <row r="307" spans="1:7" ht="14.25">
      <c r="A307" s="822"/>
      <c r="B307" s="823" t="s">
        <v>329</v>
      </c>
      <c r="C307" s="839"/>
      <c r="D307" s="997" t="s">
        <v>1352</v>
      </c>
      <c r="E307" s="997"/>
      <c r="F307" s="997"/>
      <c r="G307" s="815"/>
    </row>
    <row r="308" spans="1:7">
      <c r="A308" s="839"/>
      <c r="B308" s="839"/>
      <c r="C308" s="839"/>
      <c r="D308" s="811"/>
      <c r="E308" s="811"/>
      <c r="F308" s="825"/>
      <c r="G308" s="815"/>
    </row>
    <row r="309" spans="1:7">
      <c r="A309" s="839"/>
      <c r="B309" s="823" t="s">
        <v>329</v>
      </c>
      <c r="C309" s="839"/>
      <c r="D309" s="992" t="s">
        <v>1483</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329</v>
      </c>
      <c r="C321" s="839"/>
      <c r="D321" s="1084" t="s">
        <v>1484</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1354</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1355</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1356</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1357</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65" customHeight="1">
      <c r="A362" s="822"/>
      <c r="B362" s="914" t="s">
        <v>329</v>
      </c>
      <c r="D362" s="991" t="s">
        <v>1603</v>
      </c>
      <c r="E362" s="991"/>
      <c r="F362" s="991"/>
    </row>
    <row r="363" spans="1:7" ht="14.65" customHeight="1">
      <c r="A363" s="822"/>
      <c r="D363" s="991"/>
      <c r="E363" s="991"/>
      <c r="F363" s="991"/>
    </row>
    <row r="364" spans="1:7" ht="14.65" customHeight="1">
      <c r="A364" s="822"/>
      <c r="D364" s="991"/>
      <c r="E364" s="991"/>
      <c r="F364" s="991"/>
    </row>
    <row r="365" spans="1:7" ht="14.65" customHeight="1">
      <c r="A365" s="822"/>
      <c r="D365" s="991"/>
      <c r="E365" s="991"/>
      <c r="F365" s="991"/>
    </row>
    <row r="366" spans="1:7" ht="14.65" customHeight="1">
      <c r="A366" s="822"/>
      <c r="D366" s="991"/>
      <c r="E366" s="991"/>
      <c r="F366" s="991"/>
    </row>
    <row r="367" spans="1:7" ht="14.65" customHeight="1">
      <c r="A367" s="822"/>
      <c r="D367" s="913"/>
      <c r="E367" s="913"/>
      <c r="F367" s="913"/>
    </row>
    <row r="368" spans="1:7" ht="13.7" customHeight="1">
      <c r="A368" s="822"/>
      <c r="B368" s="823" t="s">
        <v>329</v>
      </c>
      <c r="C368" s="839"/>
      <c r="D368" s="992" t="s">
        <v>1510</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1581</v>
      </c>
      <c r="E372" s="992"/>
      <c r="F372" s="992"/>
      <c r="G372" s="815"/>
    </row>
    <row r="373" spans="1:7">
      <c r="D373" s="825"/>
      <c r="E373" s="825"/>
      <c r="F373" s="825"/>
      <c r="G373" s="815"/>
    </row>
    <row r="374" spans="1:7" ht="14.25">
      <c r="A374" s="822"/>
      <c r="B374" s="823" t="s">
        <v>329</v>
      </c>
      <c r="C374" s="854"/>
      <c r="D374" s="1001" t="s">
        <v>1359</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1360</v>
      </c>
      <c r="E406" s="1003"/>
      <c r="F406" s="1003"/>
    </row>
    <row r="407" spans="1:7">
      <c r="D407" s="993" t="s">
        <v>1507</v>
      </c>
      <c r="E407" s="993"/>
      <c r="F407" s="993"/>
    </row>
    <row r="408" spans="1:7">
      <c r="D408" s="1073" t="s">
        <v>1506</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1362</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1448</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1364</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1365</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1366</v>
      </c>
      <c r="E440" s="1078"/>
      <c r="F440" s="1078"/>
    </row>
    <row r="441" spans="1:7">
      <c r="A441" s="825"/>
      <c r="B441" s="825"/>
    </row>
    <row r="442" spans="1:7">
      <c r="A442" s="983" t="s">
        <v>1207</v>
      </c>
      <c r="B442" s="983"/>
      <c r="C442" s="983"/>
      <c r="D442" s="983"/>
      <c r="E442" s="983"/>
      <c r="F442" s="983"/>
      <c r="G442" s="983"/>
    </row>
    <row r="443" spans="1:7">
      <c r="A443" s="825"/>
      <c r="B443" s="825"/>
    </row>
    <row r="444" spans="1:7">
      <c r="D444" s="979" t="s">
        <v>977</v>
      </c>
      <c r="E444" s="979"/>
      <c r="F444" s="979"/>
    </row>
    <row r="445" spans="1:7" s="816" customFormat="1" ht="14.25">
      <c r="A445" s="830"/>
      <c r="B445" s="830"/>
      <c r="C445" s="826"/>
      <c r="D445" s="980" t="s">
        <v>1367</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1368</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1582</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1371</v>
      </c>
      <c r="E455" s="1003"/>
      <c r="F455" s="1003"/>
      <c r="G455" s="815"/>
    </row>
    <row r="456" spans="1:7" ht="14.25">
      <c r="A456" s="822"/>
      <c r="B456" s="822"/>
      <c r="D456" s="810"/>
      <c r="E456" s="696"/>
      <c r="F456" s="696"/>
      <c r="G456" s="815"/>
    </row>
    <row r="457" spans="1:7" ht="14.25">
      <c r="A457" s="822"/>
      <c r="B457" s="823" t="s">
        <v>329</v>
      </c>
      <c r="D457" s="1001" t="s">
        <v>1372</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1373</v>
      </c>
      <c r="E460" s="1003"/>
      <c r="F460" s="100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1450</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65" customHeight="1">
      <c r="A471" s="822"/>
      <c r="B471" s="823" t="s">
        <v>329</v>
      </c>
      <c r="C471" s="824"/>
      <c r="D471" s="975" t="s">
        <v>1627</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65" customHeight="1">
      <c r="A477" s="822"/>
      <c r="B477" s="823" t="s">
        <v>329</v>
      </c>
      <c r="C477" s="824"/>
      <c r="D477" s="975" t="s">
        <v>1245</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65" customHeight="1">
      <c r="A482" s="822"/>
      <c r="B482" s="823" t="s">
        <v>329</v>
      </c>
      <c r="C482" s="824"/>
      <c r="D482" s="975" t="s">
        <v>1243</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65" customHeight="1">
      <c r="A486" s="822"/>
      <c r="B486" s="823" t="s">
        <v>329</v>
      </c>
      <c r="C486" s="824"/>
      <c r="D486" s="975" t="s">
        <v>1244</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1388</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65" customHeight="1">
      <c r="A505" s="822"/>
      <c r="B505" s="823" t="s">
        <v>329</v>
      </c>
      <c r="C505" s="829"/>
      <c r="D505" s="975" t="s">
        <v>1246</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1210</v>
      </c>
      <c r="B513" s="1033"/>
      <c r="C513" s="1033"/>
      <c r="D513" s="1033"/>
      <c r="E513" s="1033"/>
      <c r="F513" s="1033"/>
      <c r="G513" s="1033"/>
    </row>
    <row r="514" spans="1:7">
      <c r="A514" s="825"/>
      <c r="B514" s="825"/>
      <c r="C514" s="854"/>
      <c r="D514" s="825"/>
      <c r="F514" s="825"/>
    </row>
    <row r="515" spans="1:7">
      <c r="C515" s="854"/>
      <c r="D515" s="1000" t="s">
        <v>736</v>
      </c>
      <c r="E515" s="1000"/>
      <c r="F515" s="1000"/>
    </row>
    <row r="516" spans="1:7">
      <c r="C516" s="854"/>
      <c r="D516" s="1003" t="s">
        <v>1267</v>
      </c>
      <c r="E516" s="1003"/>
      <c r="F516" s="1003"/>
    </row>
    <row r="517" spans="1:7">
      <c r="C517" s="854"/>
      <c r="D517" s="810"/>
      <c r="E517" s="810"/>
      <c r="F517" s="810"/>
    </row>
    <row r="518" spans="1:7" ht="13.7" customHeight="1">
      <c r="A518" s="822"/>
      <c r="B518" s="823" t="s">
        <v>329</v>
      </c>
      <c r="C518" s="854"/>
      <c r="D518" s="1003" t="s">
        <v>978</v>
      </c>
      <c r="E518" s="1003"/>
      <c r="F518" s="1003"/>
      <c r="G518" s="815"/>
    </row>
    <row r="519" spans="1:7" ht="13.7" customHeight="1">
      <c r="A519" s="854"/>
      <c r="B519" s="854"/>
      <c r="C519" s="854"/>
      <c r="D519" s="810"/>
      <c r="E519" s="642"/>
      <c r="F519" s="642"/>
      <c r="G519" s="815"/>
    </row>
    <row r="520" spans="1:7" ht="14.25">
      <c r="A520" s="822"/>
      <c r="B520" s="823" t="s">
        <v>329</v>
      </c>
      <c r="C520" s="854"/>
      <c r="D520" s="1001" t="s">
        <v>1268</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1269</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1270</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1271</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1273</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1274</v>
      </c>
      <c r="E539" s="1003"/>
      <c r="F539" s="1003"/>
      <c r="G539" s="844"/>
    </row>
    <row r="540" spans="1:7">
      <c r="A540" s="841"/>
      <c r="B540" s="841"/>
      <c r="C540" s="854"/>
      <c r="D540" s="1003" t="s">
        <v>904</v>
      </c>
      <c r="E540" s="1003"/>
      <c r="F540" s="1003"/>
      <c r="G540" s="844"/>
    </row>
    <row r="541" spans="1:7">
      <c r="A541" s="841"/>
      <c r="B541" s="841"/>
      <c r="C541" s="854"/>
      <c r="D541" s="696"/>
      <c r="E541" s="1056" t="s">
        <v>1275</v>
      </c>
      <c r="F541" s="1056"/>
      <c r="G541" s="844"/>
    </row>
    <row r="542" spans="1:7" ht="14.25">
      <c r="A542" s="822"/>
      <c r="B542" s="822"/>
      <c r="C542" s="854"/>
      <c r="E542" s="825"/>
      <c r="F542" s="825"/>
      <c r="G542" s="844"/>
    </row>
    <row r="543" spans="1:7" ht="14.25">
      <c r="A543" s="822"/>
      <c r="B543" s="823" t="s">
        <v>329</v>
      </c>
      <c r="C543" s="854"/>
      <c r="D543" s="1087" t="s">
        <v>1276</v>
      </c>
      <c r="E543" s="1087"/>
      <c r="F543" s="1087"/>
      <c r="G543" s="844"/>
    </row>
    <row r="544" spans="1:7">
      <c r="C544" s="854"/>
      <c r="D544" s="1001" t="s">
        <v>1277</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1278</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982" t="s">
        <v>1228</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1229</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1230</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3" t="s">
        <v>1212</v>
      </c>
      <c r="B577" s="983"/>
      <c r="C577" s="983"/>
      <c r="D577" s="983"/>
      <c r="E577" s="983"/>
      <c r="F577" s="983"/>
      <c r="G577" s="983"/>
    </row>
    <row r="578" spans="1:7"/>
    <row r="579" spans="1:7">
      <c r="D579" s="1000" t="s">
        <v>1312</v>
      </c>
      <c r="E579" s="1000"/>
      <c r="F579" s="1000"/>
    </row>
    <row r="580" spans="1:7">
      <c r="D580" s="1039" t="s">
        <v>1313</v>
      </c>
      <c r="E580" s="1039"/>
      <c r="F580" s="1039"/>
    </row>
    <row r="581" spans="1:7">
      <c r="D581" s="804"/>
      <c r="E581" s="746"/>
      <c r="F581" s="746"/>
    </row>
    <row r="582" spans="1:7" s="816" customFormat="1" ht="14.25">
      <c r="A582" s="830"/>
      <c r="B582" s="823" t="s">
        <v>329</v>
      </c>
      <c r="C582" s="826"/>
      <c r="D582" s="1002" t="s">
        <v>1314</v>
      </c>
      <c r="E582" s="1002"/>
      <c r="F582" s="1002"/>
      <c r="G582" s="827"/>
    </row>
    <row r="583" spans="1:7">
      <c r="D583" s="1002"/>
      <c r="E583" s="1002"/>
      <c r="F583" s="1002"/>
    </row>
    <row r="584" spans="1:7">
      <c r="D584" s="1002"/>
      <c r="E584" s="1002"/>
      <c r="F584" s="1002"/>
    </row>
    <row r="585" spans="1:7"/>
    <row r="586" spans="1:7">
      <c r="A586" s="983" t="s">
        <v>1213</v>
      </c>
      <c r="B586" s="983"/>
      <c r="C586" s="983"/>
      <c r="D586" s="983"/>
      <c r="E586" s="983"/>
      <c r="F586" s="983"/>
      <c r="G586" s="983"/>
    </row>
    <row r="587" spans="1:7">
      <c r="A587" s="825"/>
      <c r="B587" s="825"/>
      <c r="G587" s="844"/>
    </row>
    <row r="588" spans="1:7">
      <c r="A588" s="865"/>
      <c r="B588" s="865"/>
      <c r="C588" s="818"/>
      <c r="D588" s="1040" t="s">
        <v>1315</v>
      </c>
      <c r="E588" s="1040"/>
      <c r="F588" s="1040"/>
      <c r="G588" s="844"/>
    </row>
    <row r="589" spans="1:7">
      <c r="A589" s="865"/>
      <c r="B589" s="865"/>
      <c r="C589" s="818"/>
      <c r="D589" s="1040"/>
      <c r="E589" s="1040"/>
      <c r="F589" s="1040"/>
      <c r="G589" s="844"/>
    </row>
    <row r="590" spans="1:7">
      <c r="C590" s="820"/>
      <c r="D590" s="1039" t="s">
        <v>1316</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1317</v>
      </c>
      <c r="E594" s="999"/>
      <c r="F594" s="999"/>
      <c r="G594" s="844"/>
    </row>
    <row r="595" spans="1:7">
      <c r="D595" s="999"/>
      <c r="E595" s="999"/>
      <c r="F595" s="999"/>
      <c r="G595" s="844"/>
    </row>
    <row r="596" spans="1:7">
      <c r="D596" s="815"/>
      <c r="G596" s="844"/>
    </row>
    <row r="597" spans="1:7">
      <c r="B597" s="823" t="s">
        <v>329</v>
      </c>
      <c r="D597" s="999" t="s">
        <v>1318</v>
      </c>
      <c r="E597" s="999"/>
      <c r="F597" s="999"/>
      <c r="G597" s="844"/>
    </row>
    <row r="598" spans="1:7">
      <c r="C598" s="866"/>
      <c r="D598" s="999"/>
      <c r="E598" s="999"/>
      <c r="F598" s="999"/>
      <c r="G598" s="844"/>
    </row>
    <row r="599" spans="1:7">
      <c r="C599" s="866"/>
      <c r="G599" s="844"/>
    </row>
    <row r="600" spans="1:7">
      <c r="B600" s="823" t="s">
        <v>329</v>
      </c>
      <c r="C600" s="866"/>
      <c r="D600" s="999" t="s">
        <v>1319</v>
      </c>
      <c r="E600" s="999"/>
      <c r="F600" s="999"/>
      <c r="G600" s="844"/>
    </row>
    <row r="601" spans="1:7">
      <c r="C601" s="866"/>
      <c r="D601" s="999"/>
      <c r="E601" s="999"/>
      <c r="F601" s="999"/>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1000" t="s">
        <v>1320</v>
      </c>
      <c r="E605" s="1000"/>
      <c r="F605" s="1000"/>
      <c r="G605" s="844"/>
    </row>
    <row r="606" spans="1:7">
      <c r="A606" s="841"/>
      <c r="B606" s="841"/>
      <c r="C606" s="843"/>
      <c r="D606" s="819"/>
      <c r="G606" s="844"/>
    </row>
    <row r="607" spans="1:7" ht="14.25">
      <c r="A607" s="822"/>
      <c r="B607" s="823" t="s">
        <v>329</v>
      </c>
      <c r="C607" s="843"/>
      <c r="D607" s="1001" t="s">
        <v>1565</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1322</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1491</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1324</v>
      </c>
      <c r="E620" s="1003"/>
      <c r="F620" s="100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79" t="s">
        <v>1374</v>
      </c>
      <c r="E624" s="1079"/>
      <c r="F624" s="1079"/>
      <c r="G624" s="844"/>
    </row>
    <row r="625" spans="1:7">
      <c r="A625" s="820"/>
      <c r="B625" s="820"/>
      <c r="C625" s="820"/>
      <c r="D625" s="1080" t="s">
        <v>1375</v>
      </c>
      <c r="E625" s="1080"/>
      <c r="F625" s="1080"/>
      <c r="G625" s="844"/>
    </row>
    <row r="626" spans="1:7">
      <c r="A626" s="820"/>
      <c r="B626" s="820"/>
      <c r="C626" s="820"/>
      <c r="D626" s="751"/>
      <c r="E626" s="751"/>
      <c r="F626" s="751"/>
      <c r="G626" s="844"/>
    </row>
    <row r="627" spans="1:7" ht="12.75" customHeight="1">
      <c r="B627" s="823" t="s">
        <v>329</v>
      </c>
      <c r="C627" s="854"/>
      <c r="D627" s="1070" t="s">
        <v>1599</v>
      </c>
      <c r="E627" s="1070"/>
      <c r="F627" s="1070"/>
    </row>
    <row r="628" spans="1:7">
      <c r="D628" s="1070"/>
      <c r="E628" s="1070"/>
      <c r="F628" s="1070"/>
    </row>
    <row r="629" spans="1:7">
      <c r="D629" s="1070"/>
      <c r="E629" s="1070"/>
      <c r="F629" s="1070"/>
    </row>
    <row r="630" spans="1:7">
      <c r="D630" s="1070"/>
      <c r="E630" s="1070"/>
      <c r="F630" s="1070"/>
    </row>
    <row r="631" spans="1:7" ht="14.65" customHeight="1">
      <c r="A631" s="822"/>
      <c r="B631" s="822"/>
      <c r="C631" s="854"/>
      <c r="D631" s="943"/>
      <c r="E631" s="943"/>
      <c r="F631" s="943"/>
      <c r="G631" s="844"/>
    </row>
    <row r="632" spans="1:7" ht="12.75" customHeight="1">
      <c r="A632" s="820"/>
      <c r="B632" s="823" t="s">
        <v>329</v>
      </c>
      <c r="C632" s="854"/>
      <c r="D632" s="1070" t="s">
        <v>1602</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1600</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1601</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1226</v>
      </c>
      <c r="E653" s="1076"/>
      <c r="F653" s="1076"/>
      <c r="G653" s="844"/>
    </row>
    <row r="654" spans="1:7" ht="14.25">
      <c r="A654" s="822"/>
      <c r="B654" s="822"/>
      <c r="C654" s="854"/>
      <c r="D654" s="999" t="s">
        <v>1377</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1564</v>
      </c>
      <c r="E659" s="1024"/>
      <c r="F659" s="1024"/>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1252</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980</v>
      </c>
      <c r="E667" s="1003"/>
      <c r="F667" s="1003"/>
      <c r="G667" s="844"/>
      <c r="H667" s="869"/>
      <c r="I667" s="869"/>
      <c r="J667" s="869"/>
      <c r="K667" s="869"/>
    </row>
    <row r="668" spans="1:11">
      <c r="A668" s="820"/>
      <c r="B668" s="820"/>
      <c r="C668" s="820"/>
      <c r="D668" s="1003" t="s">
        <v>991</v>
      </c>
      <c r="E668" s="1003"/>
      <c r="F668" s="1003"/>
      <c r="G668" s="844"/>
      <c r="H668" s="869"/>
      <c r="I668" s="869"/>
      <c r="J668" s="869"/>
      <c r="K668" s="869"/>
    </row>
    <row r="669" spans="1:11">
      <c r="A669" s="820"/>
      <c r="B669" s="820"/>
      <c r="C669" s="820"/>
      <c r="D669" s="696"/>
      <c r="E669" s="1057" t="s">
        <v>1253</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1453</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1021</v>
      </c>
      <c r="E676" s="1003"/>
      <c r="F676" s="1003"/>
      <c r="G676" s="844"/>
      <c r="H676" s="869"/>
      <c r="I676" s="869"/>
      <c r="J676" s="869"/>
      <c r="K676" s="869"/>
    </row>
    <row r="677" spans="1:11" ht="14.25">
      <c r="A677" s="822"/>
      <c r="B677" s="822"/>
      <c r="C677" s="820"/>
      <c r="D677" s="1003" t="s">
        <v>991</v>
      </c>
      <c r="E677" s="1003"/>
      <c r="F677" s="1003"/>
      <c r="G677" s="844"/>
      <c r="H677" s="869"/>
      <c r="I677" s="869"/>
      <c r="J677" s="869"/>
      <c r="K677" s="869"/>
    </row>
    <row r="678" spans="1:11">
      <c r="A678" s="820"/>
      <c r="B678" s="820"/>
      <c r="C678" s="820"/>
      <c r="D678" s="696"/>
      <c r="E678" s="1056" t="s">
        <v>1255</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1259</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1260</v>
      </c>
      <c r="E730" s="1031"/>
      <c r="F730" s="1031"/>
      <c r="G730" s="844"/>
      <c r="H730" s="869"/>
      <c r="I730" s="869"/>
      <c r="J730" s="869"/>
      <c r="K730" s="869"/>
    </row>
    <row r="731" spans="1:11">
      <c r="A731" s="820"/>
      <c r="B731" s="820"/>
      <c r="C731" s="820"/>
      <c r="D731" s="806"/>
      <c r="G731" s="844"/>
      <c r="H731" s="869"/>
      <c r="I731" s="869"/>
      <c r="J731" s="869"/>
      <c r="K731" s="869"/>
    </row>
    <row r="732" spans="1:11">
      <c r="A732" s="1033" t="s">
        <v>1217</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1233</v>
      </c>
      <c r="E734" s="1072"/>
      <c r="F734" s="1072"/>
      <c r="G734" s="874"/>
      <c r="H734" s="869"/>
      <c r="I734" s="869"/>
      <c r="J734" s="869"/>
      <c r="K734" s="869"/>
    </row>
    <row r="735" spans="1:11">
      <c r="A735" s="820"/>
      <c r="B735" s="820"/>
      <c r="C735" s="820"/>
      <c r="D735" s="1027" t="s">
        <v>1234</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1235</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1511</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1512</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1449</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1473</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1570</v>
      </c>
      <c r="B760" s="1035"/>
      <c r="C760" s="1035"/>
      <c r="D760" s="1035"/>
      <c r="E760" s="1035"/>
      <c r="F760" s="1035"/>
      <c r="G760" s="1035"/>
    </row>
    <row r="761" spans="1:11">
      <c r="A761" s="820"/>
      <c r="B761" s="820"/>
      <c r="C761" s="820"/>
      <c r="D761" s="881"/>
      <c r="F761" s="868"/>
      <c r="G761" s="874"/>
    </row>
    <row r="762" spans="1:11">
      <c r="A762" s="826"/>
      <c r="B762" s="826"/>
      <c r="C762" s="831"/>
      <c r="D762" s="1036" t="s">
        <v>1578</v>
      </c>
      <c r="E762" s="1036"/>
      <c r="F762" s="1036"/>
      <c r="G762" s="874"/>
    </row>
    <row r="763" spans="1:11">
      <c r="A763" s="882"/>
      <c r="B763" s="882"/>
      <c r="C763" s="883"/>
      <c r="D763" s="1026" t="s">
        <v>1566</v>
      </c>
      <c r="E763" s="1026"/>
      <c r="F763" s="1026"/>
      <c r="G763" s="874"/>
    </row>
    <row r="764" spans="1:11">
      <c r="A764" s="882"/>
      <c r="B764" s="882"/>
      <c r="C764" s="883"/>
      <c r="D764" s="920"/>
      <c r="E764" s="920"/>
      <c r="F764" s="920"/>
      <c r="G764" s="874"/>
    </row>
    <row r="765" spans="1:11">
      <c r="A765" s="826"/>
      <c r="C765" s="831"/>
      <c r="D765" s="1036" t="s">
        <v>1563</v>
      </c>
      <c r="E765" s="1036"/>
      <c r="F765" s="1036"/>
      <c r="G765" s="874"/>
    </row>
    <row r="766" spans="1:11" ht="14.25">
      <c r="A766" s="822"/>
      <c r="B766" s="823" t="s">
        <v>329</v>
      </c>
      <c r="C766" s="831"/>
      <c r="D766" s="1027" t="s">
        <v>1102</v>
      </c>
      <c r="E766" s="1027"/>
      <c r="F766" s="1027"/>
      <c r="G766" s="874"/>
    </row>
    <row r="767" spans="1:11" ht="14.25">
      <c r="A767" s="822"/>
      <c r="B767" s="815"/>
      <c r="C767" s="831"/>
      <c r="D767" s="921"/>
      <c r="E767" s="1028" t="s">
        <v>1225</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1579</v>
      </c>
      <c r="E770" s="1036"/>
      <c r="F770" s="1036"/>
      <c r="G770" s="874"/>
    </row>
    <row r="771" spans="1:7" ht="14.25">
      <c r="A771" s="822"/>
      <c r="B771" s="823" t="s">
        <v>329</v>
      </c>
      <c r="C771" s="831"/>
      <c r="D771" s="1054" t="s">
        <v>1575</v>
      </c>
      <c r="E771" s="1054"/>
      <c r="F771" s="1054"/>
      <c r="G771" s="815"/>
    </row>
    <row r="772" spans="1:7" ht="14.25">
      <c r="A772" s="822"/>
      <c r="B772" s="815"/>
      <c r="C772" s="831"/>
      <c r="D772" s="1054" t="s">
        <v>1576</v>
      </c>
      <c r="E772" s="1054"/>
      <c r="F772" s="1054"/>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967</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84" zoomScaleNormal="100" zoomScaleSheetLayoutView="100" workbookViewId="0">
      <selection activeCell="AH205" sqref="AH204:AI20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6" t="s">
        <v>1568</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8" t="s">
        <v>1569</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1567</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09" t="s">
        <v>1642</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59" t="s">
        <v>1426</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1" t="s">
        <v>1643</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6" t="s">
        <v>1644</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88" t="s">
        <v>965</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2" t="s">
        <v>1153</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1116554</v>
      </c>
      <c r="N26" s="1511"/>
      <c r="O26" s="1511"/>
      <c r="P26" s="1511"/>
      <c r="Q26" s="151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3950000</v>
      </c>
      <c r="N27" s="1117"/>
      <c r="O27" s="1117"/>
      <c r="P27" s="1117"/>
      <c r="Q27" s="111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9" t="s">
        <v>722</v>
      </c>
      <c r="P33" s="1099"/>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t="s">
        <v>1659</v>
      </c>
      <c r="D124" s="1508"/>
      <c r="E124" s="1508"/>
      <c r="F124" s="1508"/>
      <c r="G124" s="1508"/>
      <c r="H124" s="1508"/>
      <c r="I124" s="1508"/>
      <c r="J124" s="1508"/>
      <c r="K124" s="1508"/>
      <c r="L124" s="333" t="s">
        <v>1806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t="s">
        <v>1645</v>
      </c>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t="s">
        <v>1646</v>
      </c>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6" t="s">
        <v>1647</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227" t="s">
        <v>1648</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478</v>
      </c>
      <c r="F155" s="13"/>
      <c r="G155" s="13"/>
      <c r="H155" s="13"/>
      <c r="I155" s="13"/>
      <c r="J155" s="13"/>
      <c r="K155" s="13"/>
      <c r="L155" s="13"/>
      <c r="M155" s="13"/>
      <c r="N155" s="13"/>
      <c r="O155" s="1499" t="s">
        <v>477</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8" t="s">
        <v>1649</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1650</v>
      </c>
      <c r="P157" s="1220"/>
      <c r="Q157" s="1220"/>
      <c r="R157" s="1220"/>
      <c r="S157" s="1220"/>
      <c r="T157" s="1220"/>
      <c r="U157" s="1220"/>
      <c r="V157" s="1220"/>
      <c r="W157" s="1220"/>
      <c r="X157" s="1220"/>
      <c r="Y157" s="14"/>
      <c r="Z157" s="14"/>
      <c r="AA157" s="14"/>
      <c r="AB157" s="14"/>
      <c r="AC157" s="14"/>
      <c r="AD157" s="14"/>
      <c r="AE157" s="14"/>
      <c r="AF157" s="14"/>
      <c r="BA157" s="36" t="s">
        <v>686</v>
      </c>
      <c r="BG157" s="12" t="s">
        <v>523</v>
      </c>
    </row>
    <row r="158" spans="1:59" ht="12.75">
      <c r="D158" s="32" t="s">
        <v>337</v>
      </c>
      <c r="F158" s="32"/>
      <c r="G158" s="32"/>
      <c r="H158" s="32"/>
      <c r="I158" s="32"/>
      <c r="J158" s="32"/>
      <c r="K158" s="32"/>
      <c r="L158" s="32"/>
      <c r="M158" s="32"/>
      <c r="N158" s="32"/>
      <c r="O158" s="1314">
        <v>95630</v>
      </c>
      <c r="P158" s="1314"/>
      <c r="Q158" s="1314"/>
      <c r="R158" s="1314"/>
      <c r="S158" s="15"/>
      <c r="T158" s="15"/>
      <c r="U158" s="15"/>
      <c r="V158" s="15"/>
      <c r="W158" s="15"/>
      <c r="X158" s="15"/>
      <c r="Y158" s="15"/>
      <c r="Z158" s="15"/>
      <c r="AA158" s="15"/>
      <c r="AB158" s="15"/>
      <c r="AC158" s="15"/>
      <c r="AD158" s="15"/>
      <c r="AE158" s="15"/>
      <c r="AF158" s="15"/>
      <c r="BA158" s="36" t="s">
        <v>687</v>
      </c>
      <c r="BG158" s="12" t="s">
        <v>524</v>
      </c>
    </row>
    <row r="159" spans="1:59" ht="12.75">
      <c r="D159" s="32" t="s">
        <v>338</v>
      </c>
      <c r="F159" s="32"/>
      <c r="G159" s="32"/>
      <c r="H159" s="32"/>
      <c r="I159" s="32"/>
      <c r="J159" s="32"/>
      <c r="K159" s="32"/>
      <c r="L159" s="32"/>
      <c r="M159" s="32"/>
      <c r="N159" s="32"/>
      <c r="O159" s="1313" t="s">
        <v>1651</v>
      </c>
      <c r="P159" s="1313"/>
      <c r="Q159" s="1313"/>
      <c r="R159" s="1313"/>
      <c r="S159" s="1313"/>
      <c r="T159" s="1313"/>
      <c r="V159" s="149" t="s">
        <v>287</v>
      </c>
      <c r="W159" s="1315"/>
      <c r="X159" s="131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3" t="s">
        <v>1652</v>
      </c>
      <c r="P160" s="1313"/>
      <c r="Q160" s="1313"/>
      <c r="R160" s="1313"/>
      <c r="S160" s="1313"/>
      <c r="T160" s="1313"/>
      <c r="U160" s="16"/>
      <c r="V160" s="16"/>
      <c r="W160" s="16"/>
      <c r="X160" s="16"/>
      <c r="Y160" s="16"/>
      <c r="Z160" s="16"/>
      <c r="AA160" s="16"/>
      <c r="AB160" s="16"/>
      <c r="AC160" s="16"/>
      <c r="AD160" s="16"/>
      <c r="AE160" s="16"/>
      <c r="AF160" s="16"/>
      <c r="BA160" s="36" t="s">
        <v>713</v>
      </c>
      <c r="BG160" s="12" t="s">
        <v>526</v>
      </c>
    </row>
    <row r="161" spans="1:59" ht="12.75">
      <c r="D161" s="32" t="s">
        <v>340</v>
      </c>
      <c r="F161" s="32"/>
      <c r="G161" s="32"/>
      <c r="H161" s="32"/>
      <c r="I161" s="32"/>
      <c r="J161" s="32"/>
      <c r="K161" s="32"/>
      <c r="L161" s="32"/>
      <c r="M161" s="32"/>
      <c r="N161" s="32"/>
      <c r="O161" s="1494" t="s">
        <v>1653</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722</v>
      </c>
      <c r="BA161" s="36" t="s">
        <v>714</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715</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529</v>
      </c>
    </row>
    <row r="164" spans="1:59" ht="12.75">
      <c r="C164" s="144"/>
      <c r="D164" s="1495" t="s">
        <v>1508</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717</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534</v>
      </c>
    </row>
    <row r="169" spans="1:59" ht="12.75">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726</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727</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2.75">
      <c r="A174" s="25"/>
      <c r="C174" s="38"/>
      <c r="D174" s="58" t="s">
        <v>1456</v>
      </c>
      <c r="E174" s="25"/>
      <c r="F174" s="25"/>
      <c r="G174" s="25"/>
      <c r="H174" s="25"/>
      <c r="I174" s="25"/>
      <c r="J174" s="1098" t="s">
        <v>1654</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9" t="s">
        <v>592</v>
      </c>
      <c r="V175" s="109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v>20</v>
      </c>
      <c r="V176" s="1489"/>
      <c r="W176" s="4" t="s">
        <v>328</v>
      </c>
      <c r="X176" s="1498">
        <v>407</v>
      </c>
      <c r="Y176" s="149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722</v>
      </c>
      <c r="S177" s="109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9" t="s">
        <v>722</v>
      </c>
      <c r="Y180" s="1099"/>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0" t="str">
        <f>H18</f>
        <v>The Parkway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630</v>
      </c>
      <c r="E187" s="25"/>
      <c r="F187" s="25"/>
      <c r="G187" s="25"/>
      <c r="H187" s="25"/>
      <c r="I187" s="1120" t="s">
        <v>1655</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t="s">
        <v>1655</v>
      </c>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1192</v>
      </c>
      <c r="BA190" s="36" t="s">
        <v>685</v>
      </c>
      <c r="BG190" s="12" t="s">
        <v>73</v>
      </c>
    </row>
    <row r="191" spans="1:59" ht="12.75">
      <c r="A191" s="25"/>
      <c r="C191" s="45"/>
      <c r="D191" s="25" t="s">
        <v>631</v>
      </c>
      <c r="E191" s="25"/>
      <c r="I191" s="1098" t="s">
        <v>1650</v>
      </c>
      <c r="J191" s="1098"/>
      <c r="K191" s="1098"/>
      <c r="L191" s="1098"/>
      <c r="M191" s="1098"/>
      <c r="N191" s="1098"/>
      <c r="O191" s="1098"/>
      <c r="P191" s="1098"/>
      <c r="Q191" s="25" t="s">
        <v>633</v>
      </c>
      <c r="T191" s="1098" t="s">
        <v>73</v>
      </c>
      <c r="U191" s="1098"/>
      <c r="V191" s="1098"/>
      <c r="W191" s="1098"/>
      <c r="X191" s="1098"/>
      <c r="Y191" s="1098"/>
      <c r="Z191" s="1098"/>
      <c r="AA191" s="1098"/>
      <c r="AB191" s="1098"/>
      <c r="AC191" s="1098"/>
      <c r="AD191" s="1098"/>
      <c r="AE191" s="1098"/>
      <c r="AH191" s="25"/>
      <c r="AJ191" s="3"/>
      <c r="AK191" s="3"/>
      <c r="AL191" s="3"/>
      <c r="AP191" s="12" t="s">
        <v>1193</v>
      </c>
      <c r="BA191" s="36" t="s">
        <v>742</v>
      </c>
      <c r="BG191" s="12" t="s">
        <v>788</v>
      </c>
    </row>
    <row r="192" spans="1:59" ht="12.75">
      <c r="A192" s="25"/>
      <c r="C192" s="46"/>
      <c r="D192" s="25" t="s">
        <v>634</v>
      </c>
      <c r="E192" s="25"/>
      <c r="F192" s="25"/>
      <c r="G192" s="25"/>
      <c r="I192" s="1120">
        <v>95630</v>
      </c>
      <c r="J192" s="1120"/>
      <c r="K192" s="1120"/>
      <c r="L192" s="1120"/>
      <c r="M192" s="1120"/>
      <c r="N192" s="1120"/>
      <c r="O192" s="25" t="s">
        <v>636</v>
      </c>
      <c r="P192" s="25"/>
      <c r="Q192" s="25"/>
      <c r="R192" s="25"/>
      <c r="S192" s="25"/>
      <c r="T192" s="1492">
        <v>85.06</v>
      </c>
      <c r="U192" s="1492"/>
      <c r="V192" s="1492"/>
      <c r="W192" s="1492"/>
      <c r="X192" s="1492"/>
      <c r="Y192" s="1492"/>
      <c r="Z192" s="1492"/>
      <c r="AA192" s="1492"/>
      <c r="AB192" s="1492"/>
      <c r="AC192" s="1492"/>
      <c r="AD192" s="1492"/>
      <c r="AE192" s="1492"/>
      <c r="AF192" s="25"/>
      <c r="AH192" s="25"/>
      <c r="AJ192" s="3"/>
      <c r="AK192" s="3"/>
      <c r="AL192" s="3"/>
      <c r="AP192" s="12" t="s">
        <v>1194</v>
      </c>
      <c r="BA192" s="36" t="s">
        <v>743</v>
      </c>
      <c r="BG192" s="12" t="s">
        <v>789</v>
      </c>
    </row>
    <row r="193" spans="1:66" ht="12.75">
      <c r="A193" s="25"/>
      <c r="C193" s="46"/>
      <c r="D193" s="25" t="s">
        <v>509</v>
      </c>
      <c r="E193" s="25"/>
      <c r="F193" s="25"/>
      <c r="G193" s="25"/>
      <c r="H193" s="25"/>
      <c r="I193" s="25"/>
      <c r="J193" s="25"/>
      <c r="K193" s="25"/>
      <c r="L193" s="25"/>
      <c r="M193" s="25"/>
      <c r="N193" s="1318" t="s">
        <v>1656</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9" t="s">
        <v>592</v>
      </c>
      <c r="U195" s="1099"/>
      <c r="W195" s="25" t="s">
        <v>738</v>
      </c>
      <c r="X195" s="25"/>
      <c r="Y195" s="25"/>
      <c r="Z195" s="25"/>
      <c r="AA195" s="25"/>
      <c r="AB195" s="25"/>
      <c r="AC195" s="25"/>
      <c r="AD195" s="25"/>
      <c r="AE195" s="25"/>
      <c r="AF195" s="25"/>
      <c r="AG195" s="25"/>
      <c r="AH195" s="1099">
        <v>7</v>
      </c>
      <c r="AI195" s="1099"/>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722</v>
      </c>
      <c r="U196" s="1225"/>
      <c r="W196" s="25" t="s">
        <v>739</v>
      </c>
      <c r="X196" s="25"/>
      <c r="Y196" s="25"/>
      <c r="Z196" s="25"/>
      <c r="AA196" s="25"/>
      <c r="AB196" s="25"/>
      <c r="AC196" s="25"/>
      <c r="AD196" s="25"/>
      <c r="AE196" s="25"/>
      <c r="AF196" s="25"/>
      <c r="AG196" s="25"/>
      <c r="AH196" s="1099">
        <v>6</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722</v>
      </c>
      <c r="U197" s="1225"/>
      <c r="V197" s="12"/>
      <c r="W197" s="25" t="s">
        <v>740</v>
      </c>
      <c r="X197" s="25"/>
      <c r="Y197" s="25"/>
      <c r="Z197" s="25"/>
      <c r="AA197" s="25"/>
      <c r="AB197" s="25"/>
      <c r="AC197" s="25"/>
      <c r="AD197" s="25"/>
      <c r="AE197" s="25"/>
      <c r="AF197" s="25"/>
      <c r="AG197" s="25"/>
      <c r="AH197" s="1099">
        <v>1</v>
      </c>
      <c r="AI197" s="1099"/>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5" t="s">
        <v>722</v>
      </c>
      <c r="Z198" s="1225"/>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00" t="s">
        <v>417</v>
      </c>
      <c r="E203" s="1100"/>
      <c r="F203" s="1100"/>
      <c r="G203" s="1100"/>
      <c r="H203" s="1100"/>
      <c r="I203" s="1100"/>
      <c r="J203" s="1100"/>
      <c r="K203" s="1100"/>
      <c r="L203" s="1100"/>
      <c r="M203" s="1100"/>
      <c r="P203" s="1487">
        <f>M26</f>
        <v>1116554</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661</v>
      </c>
      <c r="AQ203" s="704"/>
      <c r="BA203" s="36" t="s">
        <v>761</v>
      </c>
      <c r="BG203" s="55" t="s">
        <v>210</v>
      </c>
      <c r="BH203" s="51"/>
    </row>
    <row r="204" spans="1:66" ht="12.75">
      <c r="A204" s="25"/>
      <c r="C204" s="45"/>
      <c r="D204" s="1317" t="s">
        <v>1531</v>
      </c>
      <c r="E204" s="1100"/>
      <c r="F204" s="1100"/>
      <c r="G204" s="1100"/>
      <c r="H204" s="1100"/>
      <c r="I204" s="1100"/>
      <c r="J204" s="1100"/>
      <c r="K204" s="1100"/>
      <c r="L204" s="1100"/>
      <c r="M204" s="1100"/>
      <c r="P204" s="1316">
        <f>M27</f>
        <v>3950000</v>
      </c>
      <c r="Q204" s="1316"/>
      <c r="R204" s="1316"/>
      <c r="S204" s="1316"/>
      <c r="T204" s="1316"/>
      <c r="U204" s="1316"/>
      <c r="V204" s="47"/>
      <c r="W204" s="25" t="s">
        <v>1532</v>
      </c>
      <c r="X204" s="25"/>
      <c r="Y204" s="25"/>
      <c r="Z204" s="25"/>
      <c r="AA204" s="25"/>
      <c r="AB204" s="25"/>
      <c r="AC204" s="25"/>
      <c r="AD204" s="25"/>
      <c r="AE204" s="25"/>
      <c r="AF204" s="1099" t="s">
        <v>722</v>
      </c>
      <c r="AG204" s="1099"/>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20" t="s">
        <v>1657</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0" t="s">
        <v>1193</v>
      </c>
      <c r="E210" s="1220"/>
      <c r="F210" s="1220"/>
      <c r="G210" s="1220"/>
      <c r="H210" s="1220"/>
      <c r="I210" s="1220"/>
      <c r="J210" s="1220"/>
      <c r="K210" s="1220"/>
      <c r="L210" s="1220"/>
      <c r="M210" s="1220"/>
      <c r="N210" s="12" t="s">
        <v>1516</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1008</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220" t="s">
        <v>1222</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2</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592</v>
      </c>
      <c r="AJ221" s="109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0" t="str">
        <f>H16</f>
        <v>Folsom Pacific Associates, a California Limited Partnership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585</v>
      </c>
      <c r="AT227" s="406">
        <f>IF(AND(AND($M$244="nonprofit",$M$252="for profit",$M$260="nonprofit")),2,0)</f>
        <v>0</v>
      </c>
    </row>
    <row r="228" spans="1:59" ht="12.75">
      <c r="D228" s="57" t="s">
        <v>92</v>
      </c>
      <c r="E228" s="57"/>
      <c r="F228" s="57"/>
      <c r="G228" s="57"/>
      <c r="H228" s="57"/>
      <c r="I228" s="57"/>
      <c r="J228" s="57"/>
      <c r="K228" s="7"/>
      <c r="M228" s="1096" t="s">
        <v>1658</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2.75">
      <c r="D229" s="57" t="s">
        <v>631</v>
      </c>
      <c r="E229" s="57"/>
      <c r="M229" s="1096" t="s">
        <v>1659</v>
      </c>
      <c r="N229" s="1220"/>
      <c r="O229" s="1220"/>
      <c r="P229" s="1220"/>
      <c r="Q229" s="1220"/>
      <c r="R229" s="1220"/>
      <c r="S229" s="1220"/>
      <c r="T229" s="1220"/>
      <c r="V229" s="59" t="s">
        <v>93</v>
      </c>
      <c r="W229" s="1227" t="s">
        <v>1660</v>
      </c>
      <c r="X229" s="1103"/>
      <c r="Y229" s="57" t="s">
        <v>634</v>
      </c>
      <c r="AC229" s="1220">
        <v>83616</v>
      </c>
      <c r="AD229" s="1220"/>
      <c r="AE229" s="1220"/>
      <c r="AO229" s="402"/>
      <c r="AT229" s="403"/>
    </row>
    <row r="230" spans="1:59" ht="12.75">
      <c r="D230" s="60" t="s">
        <v>94</v>
      </c>
      <c r="E230" s="7"/>
      <c r="F230" s="7"/>
      <c r="G230" s="7"/>
      <c r="H230" s="7"/>
      <c r="I230" s="7"/>
      <c r="J230" s="7"/>
      <c r="K230" s="29"/>
      <c r="M230" s="1096" t="s">
        <v>1645</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2.75">
      <c r="D231" s="60" t="s">
        <v>95</v>
      </c>
      <c r="E231" s="7"/>
      <c r="F231" s="7"/>
      <c r="M231" s="1101" t="s">
        <v>1661</v>
      </c>
      <c r="N231" s="1102"/>
      <c r="O231" s="1102"/>
      <c r="P231" s="1102"/>
      <c r="Q231" s="1102"/>
      <c r="R231" s="1102"/>
      <c r="S231" s="7" t="s">
        <v>220</v>
      </c>
      <c r="T231" s="7"/>
      <c r="U231" s="1103">
        <v>3015</v>
      </c>
      <c r="V231" s="1103"/>
      <c r="W231" s="1103"/>
      <c r="X231" s="7" t="s">
        <v>96</v>
      </c>
      <c r="Z231" s="1101" t="s">
        <v>1662</v>
      </c>
      <c r="AA231" s="1102"/>
      <c r="AB231" s="1102"/>
      <c r="AC231" s="1102"/>
      <c r="AD231" s="1102"/>
      <c r="AE231" s="1102"/>
      <c r="AO231" s="400" t="s">
        <v>584</v>
      </c>
      <c r="AT231" s="406">
        <f>IF(AND(AND($M$244="nonprofit",$M$252="nonprofit",$M$260="nonprofit")),1,0)</f>
        <v>0</v>
      </c>
    </row>
    <row r="232" spans="1:59" ht="12.75">
      <c r="D232" s="60" t="s">
        <v>97</v>
      </c>
      <c r="E232" s="7"/>
      <c r="F232" s="7"/>
      <c r="M232" s="1494" t="s">
        <v>1663</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0" t="s">
        <v>575</v>
      </c>
      <c r="N233" s="1120"/>
      <c r="O233" s="1120"/>
      <c r="P233" s="1120"/>
      <c r="Q233" s="1120"/>
      <c r="R233" s="1120"/>
      <c r="S233" s="1120"/>
      <c r="T233" s="1120"/>
      <c r="U233" s="404" t="s">
        <v>1004</v>
      </c>
      <c r="V233" s="335"/>
      <c r="W233" s="335"/>
      <c r="X233" s="335"/>
      <c r="Y233" s="335"/>
      <c r="Z233" s="335"/>
      <c r="AA233" s="1263" t="s">
        <v>642</v>
      </c>
      <c r="AB233" s="1264"/>
      <c r="AC233" s="1264"/>
      <c r="AD233" s="1264"/>
      <c r="AE233" s="1264"/>
      <c r="AF233" s="1264"/>
      <c r="AG233" s="1264"/>
      <c r="AH233" s="1264"/>
      <c r="AI233" s="1264"/>
      <c r="AJ233" s="1264"/>
      <c r="AK233" s="1264"/>
      <c r="AL233" s="58"/>
      <c r="AO233" s="400" t="s">
        <v>971</v>
      </c>
      <c r="AT233" s="406">
        <f>IF(AND(AND($M$244="for profit",$M$252="for profit",$M$260="(select one)")),3,0)</f>
        <v>0</v>
      </c>
    </row>
    <row r="234" spans="1:59" ht="12.75">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1" t="s">
        <v>1664</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1665</v>
      </c>
      <c r="AG238" s="1256"/>
      <c r="AH238" s="1256"/>
      <c r="AI238" s="1256"/>
      <c r="AJ238" s="1256"/>
      <c r="AK238" s="1256"/>
      <c r="AT238" s="12">
        <v>1</v>
      </c>
      <c r="AU238" s="12" t="s">
        <v>581</v>
      </c>
      <c r="AZ238" s="25"/>
      <c r="BA238" s="3"/>
      <c r="BB238" s="3"/>
    </row>
    <row r="239" spans="1:59" ht="12.75">
      <c r="A239" s="29"/>
      <c r="B239" s="7"/>
      <c r="C239" s="7"/>
      <c r="D239" s="57" t="s">
        <v>92</v>
      </c>
      <c r="E239" s="57"/>
      <c r="F239" s="57"/>
      <c r="G239" s="57"/>
      <c r="H239" s="57"/>
      <c r="I239" s="57"/>
      <c r="J239" s="57"/>
      <c r="K239" s="57"/>
      <c r="L239" s="7"/>
      <c r="M239" s="1096" t="s">
        <v>1658</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1418</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6" t="s">
        <v>1659</v>
      </c>
      <c r="N240" s="1220"/>
      <c r="O240" s="1220"/>
      <c r="P240" s="1220"/>
      <c r="Q240" s="1220"/>
      <c r="R240" s="1220"/>
      <c r="S240" s="1220"/>
      <c r="T240" s="1220"/>
      <c r="V240" s="59" t="s">
        <v>93</v>
      </c>
      <c r="W240" s="1227" t="s">
        <v>1660</v>
      </c>
      <c r="X240" s="1103"/>
      <c r="Y240" s="57" t="s">
        <v>634</v>
      </c>
      <c r="AC240" s="1220">
        <v>83616</v>
      </c>
      <c r="AD240" s="1220"/>
      <c r="AE240" s="1220"/>
      <c r="AF240" s="58" t="s">
        <v>1419</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6" t="s">
        <v>1645</v>
      </c>
      <c r="N241" s="1220"/>
      <c r="O241" s="1220"/>
      <c r="P241" s="1220"/>
      <c r="Q241" s="1220"/>
      <c r="R241" s="1220"/>
      <c r="S241" s="1220"/>
      <c r="T241" s="1220"/>
      <c r="U241" s="1220"/>
      <c r="V241" s="1220"/>
      <c r="W241" s="1220"/>
      <c r="X241" s="1220"/>
      <c r="Y241" s="1220"/>
      <c r="Z241" s="1220"/>
      <c r="AA241" s="1220"/>
      <c r="AB241" s="1220"/>
      <c r="AC241" s="1220"/>
      <c r="AD241" s="1220"/>
      <c r="AE241" s="1220"/>
      <c r="AH241" s="1579">
        <v>3.3E-3</v>
      </c>
      <c r="AI241" s="1579"/>
      <c r="AJ241" s="1579"/>
      <c r="AK241" s="1579"/>
      <c r="AL241" s="7"/>
      <c r="AN241" s="7" t="s">
        <v>296</v>
      </c>
      <c r="BA241" s="61"/>
    </row>
    <row r="242" spans="1:53" ht="12.75">
      <c r="A242" s="29"/>
      <c r="B242" s="7"/>
      <c r="C242" s="7"/>
      <c r="D242" s="60" t="s">
        <v>95</v>
      </c>
      <c r="E242" s="7"/>
      <c r="F242" s="7"/>
      <c r="M242" s="1101" t="s">
        <v>1661</v>
      </c>
      <c r="N242" s="1102"/>
      <c r="O242" s="1102"/>
      <c r="P242" s="1102"/>
      <c r="Q242" s="1102"/>
      <c r="R242" s="1102"/>
      <c r="S242" s="7" t="s">
        <v>220</v>
      </c>
      <c r="T242" s="7"/>
      <c r="U242" s="1103">
        <v>3015</v>
      </c>
      <c r="V242" s="1103"/>
      <c r="W242" s="1103"/>
      <c r="X242" s="7" t="s">
        <v>96</v>
      </c>
      <c r="Z242" s="1101" t="s">
        <v>1662</v>
      </c>
      <c r="AA242" s="1102"/>
      <c r="AB242" s="1102"/>
      <c r="AC242" s="1102"/>
      <c r="AD242" s="1102"/>
      <c r="AE242" s="1102"/>
      <c r="AN242" s="7" t="s">
        <v>186</v>
      </c>
      <c r="BA242" s="61"/>
    </row>
    <row r="243" spans="1:53" ht="12.75">
      <c r="A243" s="29"/>
      <c r="B243" s="7"/>
      <c r="C243" s="7"/>
      <c r="D243" s="60" t="s">
        <v>97</v>
      </c>
      <c r="E243" s="7"/>
      <c r="F243" s="7"/>
      <c r="M243" s="1494" t="s">
        <v>1663</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582</v>
      </c>
      <c r="E244" s="7"/>
      <c r="F244" s="7"/>
      <c r="G244" s="7"/>
      <c r="H244" s="7"/>
      <c r="I244" s="7"/>
      <c r="J244" s="7"/>
      <c r="K244" s="7"/>
      <c r="L244" s="7"/>
      <c r="M244" s="1120" t="s">
        <v>583</v>
      </c>
      <c r="N244" s="1120"/>
      <c r="O244" s="1120"/>
      <c r="P244" s="1120"/>
      <c r="Q244" s="1120"/>
      <c r="R244" s="1120"/>
      <c r="S244" s="1120"/>
      <c r="T244" s="1120"/>
      <c r="U244" s="404" t="s">
        <v>1004</v>
      </c>
      <c r="V244" s="335"/>
      <c r="W244" s="335"/>
      <c r="X244" s="335"/>
      <c r="Y244" s="335"/>
      <c r="Z244" s="335"/>
      <c r="AA244" s="1263" t="s">
        <v>1666</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1" t="s">
        <v>1667</v>
      </c>
      <c r="N246" s="1256"/>
      <c r="O246" s="1256"/>
      <c r="P246" s="1256"/>
      <c r="Q246" s="1256"/>
      <c r="R246" s="1256"/>
      <c r="S246" s="1256"/>
      <c r="T246" s="1256"/>
      <c r="U246" s="1256"/>
      <c r="V246" s="1256"/>
      <c r="W246" s="1256"/>
      <c r="X246" s="1256"/>
      <c r="Y246" s="1256"/>
      <c r="Z246" s="1256"/>
      <c r="AA246" s="1256"/>
      <c r="AB246" s="1256"/>
      <c r="AC246" s="1256"/>
      <c r="AD246" s="1256"/>
      <c r="AE246" s="1256"/>
      <c r="AF246" s="1256" t="s">
        <v>1665</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6" t="s">
        <v>1668</v>
      </c>
      <c r="N247" s="1220"/>
      <c r="O247" s="1220"/>
      <c r="P247" s="1220"/>
      <c r="Q247" s="1220"/>
      <c r="R247" s="1220"/>
      <c r="S247" s="1220"/>
      <c r="T247" s="1220"/>
      <c r="U247" s="1220"/>
      <c r="V247" s="1220"/>
      <c r="W247" s="1220"/>
      <c r="X247" s="1220"/>
      <c r="Y247" s="1220"/>
      <c r="Z247" s="1220"/>
      <c r="AA247" s="1220"/>
      <c r="AB247" s="1220"/>
      <c r="AC247" s="1220"/>
      <c r="AD247" s="1220"/>
      <c r="AE247" s="1220"/>
      <c r="AF247" s="58" t="s">
        <v>1418</v>
      </c>
      <c r="AG247" s="743"/>
      <c r="AH247" s="743"/>
      <c r="AI247" s="743"/>
      <c r="AJ247" s="743"/>
      <c r="AK247" s="743"/>
      <c r="AL247" s="7"/>
      <c r="BA247" s="61"/>
    </row>
    <row r="248" spans="1:53" ht="12.75">
      <c r="A248" s="29"/>
      <c r="B248" s="7"/>
      <c r="C248" s="7"/>
      <c r="D248" s="57" t="s">
        <v>631</v>
      </c>
      <c r="E248" s="57"/>
      <c r="M248" s="1096" t="s">
        <v>73</v>
      </c>
      <c r="N248" s="1220"/>
      <c r="O248" s="1220"/>
      <c r="P248" s="1220"/>
      <c r="Q248" s="1220"/>
      <c r="R248" s="1220"/>
      <c r="S248" s="1220"/>
      <c r="T248" s="1220"/>
      <c r="V248" s="59" t="s">
        <v>93</v>
      </c>
      <c r="W248" s="1227" t="s">
        <v>1669</v>
      </c>
      <c r="X248" s="1103"/>
      <c r="Y248" s="57" t="s">
        <v>634</v>
      </c>
      <c r="AC248" s="1220">
        <v>95814</v>
      </c>
      <c r="AD248" s="1220"/>
      <c r="AE248" s="122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6" t="s">
        <v>1670</v>
      </c>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79">
        <v>3.3E-3</v>
      </c>
      <c r="AI249" s="1579"/>
      <c r="AJ249" s="1579"/>
      <c r="AK249" s="1579"/>
      <c r="AL249" s="7"/>
      <c r="BA249" s="61"/>
    </row>
    <row r="250" spans="1:53" ht="12.75">
      <c r="A250" s="29"/>
      <c r="B250" s="7"/>
      <c r="C250" s="7"/>
      <c r="D250" s="60" t="s">
        <v>95</v>
      </c>
      <c r="E250" s="7"/>
      <c r="F250" s="7"/>
      <c r="M250" s="1101" t="s">
        <v>1671</v>
      </c>
      <c r="N250" s="1102"/>
      <c r="O250" s="1102"/>
      <c r="P250" s="1102"/>
      <c r="Q250" s="1102"/>
      <c r="R250" s="1102"/>
      <c r="S250" s="7" t="s">
        <v>220</v>
      </c>
      <c r="T250" s="7"/>
      <c r="U250" s="1103"/>
      <c r="V250" s="1103"/>
      <c r="W250" s="1103"/>
      <c r="X250" s="7" t="s">
        <v>96</v>
      </c>
      <c r="Z250" s="1101" t="s">
        <v>1672</v>
      </c>
      <c r="AA250" s="1102"/>
      <c r="AB250" s="1102"/>
      <c r="AC250" s="1102"/>
      <c r="AD250" s="1102"/>
      <c r="AE250" s="1102"/>
      <c r="BA250" s="61"/>
    </row>
    <row r="251" spans="1:53" ht="12.75" customHeight="1">
      <c r="A251" s="29"/>
      <c r="B251" s="7"/>
      <c r="C251" s="7"/>
      <c r="D251" s="60" t="s">
        <v>97</v>
      </c>
      <c r="E251" s="7"/>
      <c r="F251" s="7"/>
      <c r="M251" s="1494" t="s">
        <v>1673</v>
      </c>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583</v>
      </c>
      <c r="N252" s="1120"/>
      <c r="O252" s="1120"/>
      <c r="P252" s="1120"/>
      <c r="Q252" s="1120"/>
      <c r="R252" s="1120"/>
      <c r="S252" s="1120"/>
      <c r="T252" s="1120"/>
      <c r="U252" s="404" t="s">
        <v>1004</v>
      </c>
      <c r="V252" s="335"/>
      <c r="W252" s="335"/>
      <c r="X252" s="335"/>
      <c r="Y252" s="335"/>
      <c r="Z252" s="335"/>
      <c r="AA252" s="1263" t="s">
        <v>642</v>
      </c>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491" t="s">
        <v>1674</v>
      </c>
      <c r="N254" s="1256"/>
      <c r="O254" s="1256"/>
      <c r="P254" s="1256"/>
      <c r="Q254" s="1256"/>
      <c r="R254" s="1256"/>
      <c r="S254" s="1256"/>
      <c r="T254" s="1256"/>
      <c r="U254" s="1256"/>
      <c r="V254" s="1256"/>
      <c r="W254" s="1256"/>
      <c r="X254" s="1256"/>
      <c r="Y254" s="1256"/>
      <c r="Z254" s="1256"/>
      <c r="AA254" s="1256"/>
      <c r="AB254" s="1256"/>
      <c r="AC254" s="1256"/>
      <c r="AD254" s="1256"/>
      <c r="AE254" s="1256"/>
      <c r="AF254" s="1256" t="s">
        <v>1675</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096" t="s">
        <v>1676</v>
      </c>
      <c r="N255" s="1220"/>
      <c r="O255" s="1220"/>
      <c r="P255" s="1220"/>
      <c r="Q255" s="1220"/>
      <c r="R255" s="1220"/>
      <c r="S255" s="1220"/>
      <c r="T255" s="1220"/>
      <c r="U255" s="1220"/>
      <c r="V255" s="1220"/>
      <c r="W255" s="1220"/>
      <c r="X255" s="1220"/>
      <c r="Y255" s="1220"/>
      <c r="Z255" s="1220"/>
      <c r="AA255" s="1220"/>
      <c r="AB255" s="1220"/>
      <c r="AC255" s="1220"/>
      <c r="AD255" s="1220"/>
      <c r="AE255" s="1220"/>
      <c r="AF255" s="58" t="s">
        <v>1418</v>
      </c>
      <c r="AG255" s="743"/>
      <c r="AH255" s="743"/>
      <c r="AI255" s="743"/>
      <c r="AJ255" s="743"/>
      <c r="AK255" s="743"/>
      <c r="AL255" s="58"/>
      <c r="BA255" s="61"/>
    </row>
    <row r="256" spans="1:53" ht="12.75">
      <c r="A256" s="23"/>
      <c r="B256" s="7"/>
      <c r="C256" s="7"/>
      <c r="D256" s="57" t="s">
        <v>631</v>
      </c>
      <c r="E256" s="57"/>
      <c r="M256" s="1096" t="s">
        <v>73</v>
      </c>
      <c r="N256" s="1220"/>
      <c r="O256" s="1220"/>
      <c r="P256" s="1220"/>
      <c r="Q256" s="1220"/>
      <c r="R256" s="1220"/>
      <c r="S256" s="1220"/>
      <c r="T256" s="1220"/>
      <c r="V256" s="59" t="s">
        <v>93</v>
      </c>
      <c r="W256" s="1227" t="s">
        <v>1669</v>
      </c>
      <c r="X256" s="1103"/>
      <c r="Y256" s="57" t="s">
        <v>634</v>
      </c>
      <c r="AC256" s="1220">
        <v>95816</v>
      </c>
      <c r="AD256" s="1220"/>
      <c r="AE256" s="122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6" t="s">
        <v>1677</v>
      </c>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79">
        <v>3.3999999999999998E-3</v>
      </c>
      <c r="AI257" s="1579"/>
      <c r="AJ257" s="1579"/>
      <c r="AK257" s="1579"/>
      <c r="AL257" s="58"/>
      <c r="BA257" s="61"/>
    </row>
    <row r="258" spans="1:53" ht="12.75">
      <c r="A258" s="23"/>
      <c r="B258" s="7"/>
      <c r="C258" s="7"/>
      <c r="D258" s="60" t="s">
        <v>95</v>
      </c>
      <c r="E258" s="7"/>
      <c r="F258" s="7"/>
      <c r="M258" s="1101" t="s">
        <v>1678</v>
      </c>
      <c r="N258" s="1102"/>
      <c r="O258" s="1102"/>
      <c r="P258" s="1102"/>
      <c r="Q258" s="1102"/>
      <c r="R258" s="1102"/>
      <c r="S258" s="7" t="s">
        <v>220</v>
      </c>
      <c r="T258" s="7"/>
      <c r="U258" s="1103"/>
      <c r="V258" s="1103"/>
      <c r="W258" s="1103"/>
      <c r="X258" s="7" t="s">
        <v>96</v>
      </c>
      <c r="Z258" s="1101" t="s">
        <v>1679</v>
      </c>
      <c r="AA258" s="1102"/>
      <c r="AB258" s="1102"/>
      <c r="AC258" s="1102"/>
      <c r="AD258" s="1102"/>
      <c r="AE258" s="1102"/>
      <c r="AL258" s="58"/>
      <c r="BA258" s="61"/>
    </row>
    <row r="259" spans="1:53" ht="12.75">
      <c r="A259" s="23"/>
      <c r="B259" s="7"/>
      <c r="C259" s="7"/>
      <c r="D259" s="60" t="s">
        <v>97</v>
      </c>
      <c r="E259" s="7"/>
      <c r="F259" s="7"/>
      <c r="M259" s="1494" t="s">
        <v>1680</v>
      </c>
      <c r="N259" s="1494"/>
      <c r="O259" s="1494"/>
      <c r="P259" s="1494"/>
      <c r="Q259" s="1494"/>
      <c r="R259" s="1494"/>
      <c r="S259" s="1494"/>
      <c r="T259" s="1494"/>
      <c r="U259" s="1494"/>
      <c r="V259" s="1494"/>
      <c r="W259" s="1494"/>
      <c r="X259" s="1494"/>
      <c r="Y259" s="1494"/>
      <c r="Z259" s="1494"/>
      <c r="AA259" s="1501"/>
      <c r="AB259" s="1501"/>
      <c r="AC259" s="1501"/>
      <c r="AD259" s="1501"/>
      <c r="AE259" s="1501"/>
      <c r="AG259" s="7"/>
      <c r="AH259" s="7"/>
      <c r="AI259" s="7"/>
      <c r="AJ259" s="7"/>
      <c r="AK259" s="7"/>
      <c r="AL259" s="58"/>
      <c r="BA259" s="61"/>
    </row>
    <row r="260" spans="1:53" ht="12.75">
      <c r="A260" s="23"/>
      <c r="B260" s="7"/>
      <c r="C260" s="139"/>
      <c r="D260" s="60" t="s">
        <v>582</v>
      </c>
      <c r="E260" s="7"/>
      <c r="F260" s="7"/>
      <c r="G260" s="7"/>
      <c r="H260" s="7"/>
      <c r="I260" s="7"/>
      <c r="J260" s="7"/>
      <c r="K260" s="7"/>
      <c r="L260" s="7"/>
      <c r="M260" s="1120" t="s">
        <v>581</v>
      </c>
      <c r="N260" s="1120"/>
      <c r="O260" s="1120"/>
      <c r="P260" s="1120"/>
      <c r="Q260" s="1120"/>
      <c r="R260" s="1120"/>
      <c r="S260" s="1120"/>
      <c r="T260" s="1120"/>
      <c r="U260" s="404" t="s">
        <v>1004</v>
      </c>
      <c r="V260" s="335"/>
      <c r="W260" s="335"/>
      <c r="X260" s="335"/>
      <c r="Y260" s="335"/>
      <c r="Z260" s="335"/>
      <c r="AA260" s="1502" t="s">
        <v>642</v>
      </c>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7" t="str">
        <f>BB239</f>
        <v>Joint Venture</v>
      </c>
      <c r="U262" s="1497"/>
      <c r="V262" s="1497"/>
      <c r="W262" s="1497"/>
      <c r="X262" s="149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1" t="s">
        <v>1681</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6" t="s">
        <v>1658</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631</v>
      </c>
      <c r="E271" s="57"/>
      <c r="L271" s="1096" t="s">
        <v>1659</v>
      </c>
      <c r="M271" s="1220"/>
      <c r="N271" s="1220"/>
      <c r="O271" s="1220"/>
      <c r="P271" s="1220"/>
      <c r="Q271" s="1220"/>
      <c r="R271" s="1220"/>
      <c r="S271" s="1220"/>
      <c r="U271" s="59" t="s">
        <v>93</v>
      </c>
      <c r="V271" s="1227" t="s">
        <v>1660</v>
      </c>
      <c r="W271" s="1103"/>
      <c r="X271" s="57" t="s">
        <v>634</v>
      </c>
      <c r="AB271" s="1220">
        <v>83616</v>
      </c>
      <c r="AC271" s="1220"/>
      <c r="AD271" s="1220"/>
      <c r="AK271" s="58"/>
      <c r="AL271" s="58"/>
      <c r="BA271" s="61"/>
    </row>
    <row r="272" spans="1:53" ht="12.75">
      <c r="D272" s="60" t="s">
        <v>94</v>
      </c>
      <c r="E272" s="7"/>
      <c r="F272" s="7"/>
      <c r="G272" s="7"/>
      <c r="H272" s="7"/>
      <c r="I272" s="7"/>
      <c r="J272" s="7"/>
      <c r="K272" s="29"/>
      <c r="L272" s="1096" t="s">
        <v>1682</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1" t="s">
        <v>1683</v>
      </c>
      <c r="M273" s="1102"/>
      <c r="N273" s="1102"/>
      <c r="O273" s="1102"/>
      <c r="P273" s="1102"/>
      <c r="Q273" s="1102"/>
      <c r="R273" s="7" t="s">
        <v>220</v>
      </c>
      <c r="S273" s="7"/>
      <c r="T273" s="1103"/>
      <c r="U273" s="1103"/>
      <c r="V273" s="1103"/>
      <c r="W273" s="7" t="s">
        <v>96</v>
      </c>
      <c r="Y273" s="1101" t="s">
        <v>1662</v>
      </c>
      <c r="Z273" s="1102"/>
      <c r="AA273" s="1102"/>
      <c r="AB273" s="1102"/>
      <c r="AC273" s="1102"/>
      <c r="AD273" s="1102"/>
      <c r="BA273" s="61"/>
    </row>
    <row r="274" spans="1:53" ht="12.75">
      <c r="D274" s="60" t="s">
        <v>97</v>
      </c>
      <c r="E274" s="7"/>
      <c r="F274" s="7"/>
      <c r="L274" s="1494" t="s">
        <v>1684</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674</v>
      </c>
      <c r="E275" s="58"/>
      <c r="F275" s="58"/>
      <c r="G275" s="58"/>
      <c r="H275" s="58"/>
      <c r="I275" s="58"/>
      <c r="L275" s="1227" t="s">
        <v>1685</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2.75">
      <c r="L276" s="35" t="s">
        <v>675</v>
      </c>
      <c r="BA276" s="61"/>
    </row>
    <row r="277" spans="1:53" ht="12.7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1681</v>
      </c>
      <c r="I282" s="1098"/>
      <c r="J282" s="1098"/>
      <c r="K282" s="1098"/>
      <c r="L282" s="1098"/>
      <c r="M282" s="1098"/>
      <c r="N282" s="1098"/>
      <c r="O282" s="1098"/>
      <c r="P282" s="1098"/>
      <c r="Q282" s="1098"/>
      <c r="R282" s="1098"/>
      <c r="T282" s="58" t="s">
        <v>616</v>
      </c>
      <c r="V282" s="58"/>
      <c r="W282" s="58"/>
      <c r="X282" s="58"/>
      <c r="Y282" s="58"/>
      <c r="AA282" s="1098" t="s">
        <v>1686</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20" t="s">
        <v>1658</v>
      </c>
      <c r="I283" s="1120"/>
      <c r="J283" s="1120"/>
      <c r="K283" s="1120"/>
      <c r="L283" s="1120"/>
      <c r="M283" s="1120"/>
      <c r="N283" s="1120"/>
      <c r="O283" s="1120"/>
      <c r="P283" s="1120"/>
      <c r="Q283" s="1120"/>
      <c r="R283" s="1120"/>
      <c r="T283" s="58" t="s">
        <v>518</v>
      </c>
      <c r="V283" s="58"/>
      <c r="W283" s="58"/>
      <c r="X283" s="58"/>
      <c r="Y283" s="58"/>
      <c r="AA283" s="1120" t="s">
        <v>1658</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0" t="s">
        <v>1687</v>
      </c>
      <c r="I284" s="1120"/>
      <c r="J284" s="1120"/>
      <c r="K284" s="1120"/>
      <c r="L284" s="1120"/>
      <c r="M284" s="1120"/>
      <c r="N284" s="1120"/>
      <c r="O284" s="1120"/>
      <c r="P284" s="1120"/>
      <c r="Q284" s="1120"/>
      <c r="R284" s="1120"/>
      <c r="T284" s="58" t="s">
        <v>81</v>
      </c>
      <c r="V284" s="58"/>
      <c r="W284" s="58"/>
      <c r="X284" s="58"/>
      <c r="Y284" s="58"/>
      <c r="AA284" s="1120" t="s">
        <v>1687</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1645</v>
      </c>
      <c r="I285" s="1120"/>
      <c r="J285" s="1120"/>
      <c r="K285" s="1120"/>
      <c r="L285" s="1120"/>
      <c r="M285" s="1120"/>
      <c r="N285" s="1120"/>
      <c r="O285" s="1120"/>
      <c r="P285" s="1120"/>
      <c r="Q285" s="1120"/>
      <c r="R285" s="1120"/>
      <c r="T285" s="58" t="s">
        <v>94</v>
      </c>
      <c r="V285" s="58"/>
      <c r="W285" s="58"/>
      <c r="X285" s="58"/>
      <c r="Y285" s="58"/>
      <c r="AA285" s="1120" t="s">
        <v>1688</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1661</v>
      </c>
      <c r="I286" s="1122"/>
      <c r="J286" s="1122"/>
      <c r="K286" s="1122"/>
      <c r="L286" s="1122"/>
      <c r="M286" s="1122"/>
      <c r="N286" s="7" t="s">
        <v>220</v>
      </c>
      <c r="O286" s="7"/>
      <c r="P286" s="1220">
        <v>3015</v>
      </c>
      <c r="Q286" s="1220"/>
      <c r="R286" s="1220"/>
      <c r="S286" s="58"/>
      <c r="T286" s="58" t="s">
        <v>95</v>
      </c>
      <c r="V286" s="58"/>
      <c r="W286" s="58"/>
      <c r="X286" s="58"/>
      <c r="Y286" s="58"/>
      <c r="AA286" s="1121" t="s">
        <v>1661</v>
      </c>
      <c r="AB286" s="1122"/>
      <c r="AC286" s="1122"/>
      <c r="AD286" s="1122"/>
      <c r="AE286" s="1122"/>
      <c r="AF286" s="1122"/>
      <c r="AG286" s="7" t="s">
        <v>220</v>
      </c>
      <c r="AH286" s="7"/>
      <c r="AI286" s="1220">
        <v>3021</v>
      </c>
      <c r="AJ286" s="1220"/>
      <c r="AK286" s="1220"/>
      <c r="BA286" s="61"/>
    </row>
    <row r="287" spans="1:53" ht="12.75">
      <c r="B287" s="58" t="s">
        <v>96</v>
      </c>
      <c r="C287" s="58"/>
      <c r="D287" s="58"/>
      <c r="E287" s="58"/>
      <c r="F287" s="58"/>
      <c r="G287" s="58"/>
      <c r="H287" s="1101" t="s">
        <v>1662</v>
      </c>
      <c r="I287" s="1102"/>
      <c r="J287" s="1102"/>
      <c r="K287" s="1102"/>
      <c r="L287" s="1102"/>
      <c r="M287" s="1102"/>
      <c r="N287" s="60"/>
      <c r="O287" s="60"/>
      <c r="P287" s="62"/>
      <c r="Q287" s="62"/>
      <c r="R287" s="62"/>
      <c r="S287" s="58"/>
      <c r="T287" s="58" t="s">
        <v>96</v>
      </c>
      <c r="V287" s="58"/>
      <c r="W287" s="58"/>
      <c r="X287" s="58"/>
      <c r="Y287" s="58"/>
      <c r="AA287" s="1101" t="s">
        <v>1689</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0" t="s">
        <v>1663</v>
      </c>
      <c r="I288" s="1120"/>
      <c r="J288" s="1120"/>
      <c r="K288" s="1120"/>
      <c r="L288" s="1120"/>
      <c r="M288" s="1120"/>
      <c r="N288" s="1098"/>
      <c r="O288" s="1098"/>
      <c r="P288" s="1098"/>
      <c r="Q288" s="1098"/>
      <c r="R288" s="1098"/>
      <c r="S288" s="58"/>
      <c r="T288" s="58" t="s">
        <v>82</v>
      </c>
      <c r="V288" s="58"/>
      <c r="W288" s="58"/>
      <c r="X288" s="58"/>
      <c r="Y288" s="58"/>
      <c r="AA288" s="1120" t="s">
        <v>1690</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1691</v>
      </c>
      <c r="I290" s="1098"/>
      <c r="J290" s="1098"/>
      <c r="K290" s="1098"/>
      <c r="L290" s="1098"/>
      <c r="M290" s="1098"/>
      <c r="N290" s="1098"/>
      <c r="O290" s="1098"/>
      <c r="P290" s="1098"/>
      <c r="Q290" s="1098"/>
      <c r="R290" s="1098"/>
      <c r="T290" s="58" t="s">
        <v>388</v>
      </c>
      <c r="V290" s="58"/>
      <c r="W290" s="58"/>
      <c r="X290" s="58"/>
      <c r="Y290" s="58"/>
      <c r="AA290" s="1098" t="s">
        <v>1692</v>
      </c>
      <c r="AB290" s="1098"/>
      <c r="AC290" s="1098"/>
      <c r="AD290" s="1098"/>
      <c r="AE290" s="1098"/>
      <c r="AF290" s="1098"/>
      <c r="AG290" s="1098"/>
      <c r="AH290" s="1098"/>
      <c r="AI290" s="1098"/>
      <c r="AJ290" s="1098"/>
      <c r="AK290" s="1098"/>
      <c r="BA290" s="61"/>
    </row>
    <row r="291" spans="2:53" ht="12.75">
      <c r="B291" s="58" t="s">
        <v>518</v>
      </c>
      <c r="C291" s="58"/>
      <c r="D291" s="58"/>
      <c r="E291" s="58"/>
      <c r="F291" s="58"/>
      <c r="H291" s="1120" t="s">
        <v>1693</v>
      </c>
      <c r="I291" s="1120"/>
      <c r="J291" s="1120"/>
      <c r="K291" s="1120"/>
      <c r="L291" s="1120"/>
      <c r="M291" s="1120"/>
      <c r="N291" s="1120"/>
      <c r="O291" s="1120"/>
      <c r="P291" s="1120"/>
      <c r="Q291" s="1120"/>
      <c r="R291" s="1120"/>
      <c r="T291" s="58" t="s">
        <v>518</v>
      </c>
      <c r="V291" s="58"/>
      <c r="W291" s="58"/>
      <c r="X291" s="58"/>
      <c r="Y291" s="58"/>
      <c r="AA291" s="1120" t="s">
        <v>1658</v>
      </c>
      <c r="AB291" s="1120"/>
      <c r="AC291" s="1120"/>
      <c r="AD291" s="1120"/>
      <c r="AE291" s="1120"/>
      <c r="AF291" s="1120"/>
      <c r="AG291" s="1120"/>
      <c r="AH291" s="1120"/>
      <c r="AI291" s="1120"/>
      <c r="AJ291" s="1120"/>
      <c r="AK291" s="1120"/>
      <c r="BA291" s="61"/>
    </row>
    <row r="292" spans="2:53" ht="12.75">
      <c r="B292" s="58" t="s">
        <v>519</v>
      </c>
      <c r="C292" s="58"/>
      <c r="D292" s="58"/>
      <c r="E292" s="58"/>
      <c r="F292" s="58"/>
      <c r="H292" s="1120" t="s">
        <v>1687</v>
      </c>
      <c r="I292" s="1120"/>
      <c r="J292" s="1120"/>
      <c r="K292" s="1120"/>
      <c r="L292" s="1120"/>
      <c r="M292" s="1120"/>
      <c r="N292" s="1120"/>
      <c r="O292" s="1120"/>
      <c r="P292" s="1120"/>
      <c r="Q292" s="1120"/>
      <c r="R292" s="1120"/>
      <c r="T292" s="58" t="s">
        <v>81</v>
      </c>
      <c r="V292" s="58"/>
      <c r="W292" s="58"/>
      <c r="X292" s="58"/>
      <c r="Y292" s="58"/>
      <c r="AA292" s="1120" t="s">
        <v>1687</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1694</v>
      </c>
      <c r="I293" s="1120"/>
      <c r="J293" s="1120"/>
      <c r="K293" s="1120"/>
      <c r="L293" s="1120"/>
      <c r="M293" s="1120"/>
      <c r="N293" s="1120"/>
      <c r="O293" s="1120"/>
      <c r="P293" s="1120"/>
      <c r="Q293" s="1120"/>
      <c r="R293" s="1120"/>
      <c r="T293" s="58" t="s">
        <v>94</v>
      </c>
      <c r="V293" s="58"/>
      <c r="W293" s="58"/>
      <c r="X293" s="58"/>
      <c r="Y293" s="58"/>
      <c r="AA293" s="1120" t="s">
        <v>1645</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1695</v>
      </c>
      <c r="I294" s="1122"/>
      <c r="J294" s="1122"/>
      <c r="K294" s="1122"/>
      <c r="L294" s="1122"/>
      <c r="M294" s="1122"/>
      <c r="N294" s="7" t="s">
        <v>220</v>
      </c>
      <c r="O294" s="7"/>
      <c r="P294" s="1220"/>
      <c r="Q294" s="1220"/>
      <c r="R294" s="1220"/>
      <c r="S294" s="58"/>
      <c r="T294" s="58" t="s">
        <v>95</v>
      </c>
      <c r="V294" s="58"/>
      <c r="W294" s="58"/>
      <c r="X294" s="58"/>
      <c r="Y294" s="58"/>
      <c r="AA294" s="1121" t="s">
        <v>1661</v>
      </c>
      <c r="AB294" s="1122"/>
      <c r="AC294" s="1122"/>
      <c r="AD294" s="1122"/>
      <c r="AE294" s="1122"/>
      <c r="AF294" s="1122"/>
      <c r="AG294" s="7" t="s">
        <v>220</v>
      </c>
      <c r="AH294" s="7"/>
      <c r="AI294" s="1220">
        <v>3015</v>
      </c>
      <c r="AJ294" s="1220"/>
      <c r="AK294" s="1220"/>
      <c r="BA294" s="61"/>
    </row>
    <row r="295" spans="2:53" ht="12.75" customHeight="1">
      <c r="B295" s="58" t="s">
        <v>96</v>
      </c>
      <c r="C295" s="58"/>
      <c r="D295" s="58"/>
      <c r="E295" s="58"/>
      <c r="F295" s="58"/>
      <c r="G295" s="58"/>
      <c r="H295" s="1101" t="s">
        <v>1662</v>
      </c>
      <c r="I295" s="1102"/>
      <c r="J295" s="1102"/>
      <c r="K295" s="1102"/>
      <c r="L295" s="1102"/>
      <c r="M295" s="1102"/>
      <c r="N295" s="60"/>
      <c r="O295" s="60"/>
      <c r="P295" s="62"/>
      <c r="Q295" s="62"/>
      <c r="R295" s="62"/>
      <c r="S295" s="58"/>
      <c r="T295" s="58" t="s">
        <v>96</v>
      </c>
      <c r="V295" s="58"/>
      <c r="W295" s="58"/>
      <c r="X295" s="58"/>
      <c r="Y295" s="58"/>
      <c r="AA295" s="1101" t="s">
        <v>1689</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1696</v>
      </c>
      <c r="I296" s="1120"/>
      <c r="J296" s="1120"/>
      <c r="K296" s="1120"/>
      <c r="L296" s="1120"/>
      <c r="M296" s="1120"/>
      <c r="N296" s="1098"/>
      <c r="O296" s="1098"/>
      <c r="P296" s="1098"/>
      <c r="Q296" s="1098"/>
      <c r="R296" s="1098"/>
      <c r="S296" s="58"/>
      <c r="T296" s="58" t="s">
        <v>82</v>
      </c>
      <c r="V296" s="58"/>
      <c r="W296" s="58"/>
      <c r="X296" s="58"/>
      <c r="Y296" s="58"/>
      <c r="AA296" s="1120" t="s">
        <v>1663</v>
      </c>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098" t="s">
        <v>1697</v>
      </c>
      <c r="I298" s="1098"/>
      <c r="J298" s="1098"/>
      <c r="K298" s="1098"/>
      <c r="L298" s="1098"/>
      <c r="M298" s="1098"/>
      <c r="N298" s="1098"/>
      <c r="O298" s="1098"/>
      <c r="P298" s="1098"/>
      <c r="Q298" s="1098"/>
      <c r="R298" s="1098"/>
      <c r="T298" s="7" t="s">
        <v>972</v>
      </c>
      <c r="V298" s="58"/>
      <c r="W298" s="58"/>
      <c r="X298" s="58"/>
      <c r="Y298" s="58"/>
      <c r="AA298" s="1098" t="s">
        <v>1698</v>
      </c>
      <c r="AB298" s="1098"/>
      <c r="AC298" s="1098"/>
      <c r="AD298" s="1098"/>
      <c r="AE298" s="1098"/>
      <c r="AF298" s="1098"/>
      <c r="AG298" s="1098"/>
      <c r="AH298" s="1098"/>
      <c r="AI298" s="1098"/>
      <c r="AJ298" s="1098"/>
      <c r="AK298" s="1098"/>
      <c r="BA298" s="61"/>
    </row>
    <row r="299" spans="2:53" ht="12.75">
      <c r="B299" s="58" t="s">
        <v>518</v>
      </c>
      <c r="C299" s="58"/>
      <c r="D299" s="58"/>
      <c r="E299" s="58"/>
      <c r="F299" s="58"/>
      <c r="H299" s="1120" t="s">
        <v>1699</v>
      </c>
      <c r="I299" s="1120"/>
      <c r="J299" s="1120"/>
      <c r="K299" s="1120"/>
      <c r="L299" s="1120"/>
      <c r="M299" s="1120"/>
      <c r="N299" s="1120"/>
      <c r="O299" s="1120"/>
      <c r="P299" s="1120"/>
      <c r="Q299" s="1120"/>
      <c r="R299" s="1120"/>
      <c r="T299" s="58" t="s">
        <v>518</v>
      </c>
      <c r="V299" s="58"/>
      <c r="W299" s="58"/>
      <c r="X299" s="58"/>
      <c r="Y299" s="58"/>
      <c r="AA299" s="1120" t="s">
        <v>1700</v>
      </c>
      <c r="AB299" s="1120"/>
      <c r="AC299" s="1120"/>
      <c r="AD299" s="1120"/>
      <c r="AE299" s="1120"/>
      <c r="AF299" s="1120"/>
      <c r="AG299" s="1120"/>
      <c r="AH299" s="1120"/>
      <c r="AI299" s="1120"/>
      <c r="AJ299" s="1120"/>
      <c r="AK299" s="1120"/>
      <c r="BA299" s="61"/>
    </row>
    <row r="300" spans="2:53" ht="12.75">
      <c r="B300" s="58" t="s">
        <v>519</v>
      </c>
      <c r="C300" s="58"/>
      <c r="D300" s="58"/>
      <c r="E300" s="58"/>
      <c r="F300" s="58"/>
      <c r="H300" s="1120" t="s">
        <v>1701</v>
      </c>
      <c r="I300" s="1120"/>
      <c r="J300" s="1120"/>
      <c r="K300" s="1120"/>
      <c r="L300" s="1120"/>
      <c r="M300" s="1120"/>
      <c r="N300" s="1120"/>
      <c r="O300" s="1120"/>
      <c r="P300" s="1120"/>
      <c r="Q300" s="1120"/>
      <c r="R300" s="1120"/>
      <c r="T300" s="58" t="s">
        <v>81</v>
      </c>
      <c r="V300" s="58"/>
      <c r="W300" s="58"/>
      <c r="X300" s="58"/>
      <c r="Y300" s="58"/>
      <c r="AA300" s="1120" t="s">
        <v>1702</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t="s">
        <v>1703</v>
      </c>
      <c r="I301" s="1120"/>
      <c r="J301" s="1120"/>
      <c r="K301" s="1120"/>
      <c r="L301" s="1120"/>
      <c r="M301" s="1120"/>
      <c r="N301" s="1120"/>
      <c r="O301" s="1120"/>
      <c r="P301" s="1120"/>
      <c r="Q301" s="1120"/>
      <c r="R301" s="1120"/>
      <c r="T301" s="58" t="s">
        <v>94</v>
      </c>
      <c r="V301" s="58"/>
      <c r="W301" s="58"/>
      <c r="X301" s="58"/>
      <c r="Y301" s="58"/>
      <c r="AA301" s="1120" t="s">
        <v>1704</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1" t="s">
        <v>1705</v>
      </c>
      <c r="I302" s="1122"/>
      <c r="J302" s="1122"/>
      <c r="K302" s="1122"/>
      <c r="L302" s="1122"/>
      <c r="M302" s="1122"/>
      <c r="N302" s="7" t="s">
        <v>220</v>
      </c>
      <c r="O302" s="7"/>
      <c r="P302" s="1220"/>
      <c r="Q302" s="1220"/>
      <c r="R302" s="1220"/>
      <c r="S302" s="58"/>
      <c r="T302" s="58" t="s">
        <v>95</v>
      </c>
      <c r="V302" s="58"/>
      <c r="W302" s="58"/>
      <c r="X302" s="58"/>
      <c r="Y302" s="58"/>
      <c r="AA302" s="1121" t="s">
        <v>1706</v>
      </c>
      <c r="AB302" s="1122"/>
      <c r="AC302" s="1122"/>
      <c r="AD302" s="1122"/>
      <c r="AE302" s="1122"/>
      <c r="AF302" s="1122"/>
      <c r="AG302" s="7" t="s">
        <v>220</v>
      </c>
      <c r="AH302" s="7"/>
      <c r="AI302" s="1220"/>
      <c r="AJ302" s="1220"/>
      <c r="AK302" s="1220"/>
      <c r="BA302" s="61"/>
    </row>
    <row r="303" spans="2:53" ht="12.75">
      <c r="B303" s="58" t="s">
        <v>96</v>
      </c>
      <c r="C303" s="58"/>
      <c r="D303" s="58"/>
      <c r="E303" s="58"/>
      <c r="F303" s="58"/>
      <c r="G303" s="58"/>
      <c r="H303" s="1101" t="s">
        <v>1707</v>
      </c>
      <c r="I303" s="1102"/>
      <c r="J303" s="1102"/>
      <c r="K303" s="1102"/>
      <c r="L303" s="1102"/>
      <c r="M303" s="1102"/>
      <c r="N303" s="60"/>
      <c r="O303" s="60"/>
      <c r="P303" s="62"/>
      <c r="Q303" s="62"/>
      <c r="R303" s="62"/>
      <c r="S303" s="58"/>
      <c r="T303" s="58" t="s">
        <v>96</v>
      </c>
      <c r="V303" s="58"/>
      <c r="W303" s="58"/>
      <c r="X303" s="58"/>
      <c r="Y303" s="58"/>
      <c r="AA303" s="1101" t="s">
        <v>1708</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0" t="s">
        <v>1709</v>
      </c>
      <c r="I304" s="1120"/>
      <c r="J304" s="1120"/>
      <c r="K304" s="1120"/>
      <c r="L304" s="1120"/>
      <c r="M304" s="1120"/>
      <c r="N304" s="1098"/>
      <c r="O304" s="1098"/>
      <c r="P304" s="1098"/>
      <c r="Q304" s="1098"/>
      <c r="R304" s="1098"/>
      <c r="S304" s="58"/>
      <c r="T304" s="58" t="s">
        <v>82</v>
      </c>
      <c r="V304" s="58"/>
      <c r="W304" s="58"/>
      <c r="X304" s="58"/>
      <c r="Y304" s="58"/>
      <c r="AA304" s="1120" t="s">
        <v>1710</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8" t="s">
        <v>1711</v>
      </c>
      <c r="I306" s="1098"/>
      <c r="J306" s="1098"/>
      <c r="K306" s="1098"/>
      <c r="L306" s="1098"/>
      <c r="M306" s="1098"/>
      <c r="N306" s="1098"/>
      <c r="O306" s="1098"/>
      <c r="P306" s="1098"/>
      <c r="Q306" s="1098"/>
      <c r="R306" s="1098"/>
      <c r="S306" s="58"/>
      <c r="T306" s="58" t="s">
        <v>389</v>
      </c>
      <c r="V306" s="58"/>
      <c r="W306" s="58"/>
      <c r="X306" s="58"/>
      <c r="Y306" s="58"/>
      <c r="AA306" s="1098" t="s">
        <v>1712</v>
      </c>
      <c r="AB306" s="1098"/>
      <c r="AC306" s="1098"/>
      <c r="AD306" s="1098"/>
      <c r="AE306" s="1098"/>
      <c r="AF306" s="1098"/>
      <c r="AG306" s="1098"/>
      <c r="AH306" s="1098"/>
      <c r="AI306" s="1098"/>
      <c r="AJ306" s="1098"/>
      <c r="AK306" s="1098"/>
      <c r="BA306" s="61"/>
    </row>
    <row r="307" spans="1:53" ht="12.75">
      <c r="B307" s="58" t="s">
        <v>518</v>
      </c>
      <c r="C307" s="58"/>
      <c r="D307" s="58"/>
      <c r="E307" s="58"/>
      <c r="F307" s="58"/>
      <c r="H307" s="1120" t="s">
        <v>1713</v>
      </c>
      <c r="I307" s="1120"/>
      <c r="J307" s="1120"/>
      <c r="K307" s="1120"/>
      <c r="L307" s="1120"/>
      <c r="M307" s="1120"/>
      <c r="N307" s="1120"/>
      <c r="O307" s="1120"/>
      <c r="P307" s="1120"/>
      <c r="Q307" s="1120"/>
      <c r="R307" s="1120"/>
      <c r="S307" s="58"/>
      <c r="T307" s="58" t="s">
        <v>518</v>
      </c>
      <c r="V307" s="58"/>
      <c r="W307" s="58"/>
      <c r="X307" s="58"/>
      <c r="Y307" s="58"/>
      <c r="AA307" s="1120" t="s">
        <v>1714</v>
      </c>
      <c r="AB307" s="1120"/>
      <c r="AC307" s="1120"/>
      <c r="AD307" s="1120"/>
      <c r="AE307" s="1120"/>
      <c r="AF307" s="1120"/>
      <c r="AG307" s="1120"/>
      <c r="AH307" s="1120"/>
      <c r="AI307" s="1120"/>
      <c r="AJ307" s="1120"/>
      <c r="AK307" s="1120"/>
      <c r="BA307" s="61"/>
    </row>
    <row r="308" spans="1:53" ht="12.75">
      <c r="B308" s="58" t="s">
        <v>519</v>
      </c>
      <c r="C308" s="58"/>
      <c r="D308" s="58"/>
      <c r="E308" s="58"/>
      <c r="F308" s="58"/>
      <c r="H308" s="1120" t="s">
        <v>1715</v>
      </c>
      <c r="I308" s="1120"/>
      <c r="J308" s="1120"/>
      <c r="K308" s="1120"/>
      <c r="L308" s="1120"/>
      <c r="M308" s="1120"/>
      <c r="N308" s="1120"/>
      <c r="O308" s="1120"/>
      <c r="P308" s="1120"/>
      <c r="Q308" s="1120"/>
      <c r="R308" s="1120"/>
      <c r="S308" s="58"/>
      <c r="T308" s="58" t="s">
        <v>81</v>
      </c>
      <c r="V308" s="58"/>
      <c r="W308" s="58"/>
      <c r="X308" s="58"/>
      <c r="Y308" s="58"/>
      <c r="AA308" s="1120" t="s">
        <v>1716</v>
      </c>
      <c r="AB308" s="1120"/>
      <c r="AC308" s="1120"/>
      <c r="AD308" s="1120"/>
      <c r="AE308" s="1120"/>
      <c r="AF308" s="1120"/>
      <c r="AG308" s="1120"/>
      <c r="AH308" s="1120"/>
      <c r="AI308" s="1120"/>
      <c r="AJ308" s="1120"/>
      <c r="AK308" s="1120"/>
      <c r="BA308" s="61"/>
    </row>
    <row r="309" spans="1:53" ht="12.75">
      <c r="B309" s="58" t="s">
        <v>94</v>
      </c>
      <c r="C309" s="58"/>
      <c r="D309" s="58"/>
      <c r="E309" s="58"/>
      <c r="F309" s="58"/>
      <c r="H309" s="1120" t="s">
        <v>1717</v>
      </c>
      <c r="I309" s="1120"/>
      <c r="J309" s="1120"/>
      <c r="K309" s="1120"/>
      <c r="L309" s="1120"/>
      <c r="M309" s="1120"/>
      <c r="N309" s="1120"/>
      <c r="O309" s="1120"/>
      <c r="P309" s="1120"/>
      <c r="Q309" s="1120"/>
      <c r="R309" s="1120"/>
      <c r="S309" s="58"/>
      <c r="T309" s="58" t="s">
        <v>94</v>
      </c>
      <c r="V309" s="58"/>
      <c r="W309" s="58"/>
      <c r="X309" s="58"/>
      <c r="Y309" s="58"/>
      <c r="AA309" s="1120" t="s">
        <v>1718</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121" t="s">
        <v>1719</v>
      </c>
      <c r="I310" s="1122"/>
      <c r="J310" s="1122"/>
      <c r="K310" s="1122"/>
      <c r="L310" s="1122"/>
      <c r="M310" s="1122"/>
      <c r="N310" s="7" t="s">
        <v>220</v>
      </c>
      <c r="O310" s="7"/>
      <c r="P310" s="1220"/>
      <c r="Q310" s="1220"/>
      <c r="R310" s="1220"/>
      <c r="S310" s="58"/>
      <c r="T310" s="58" t="s">
        <v>95</v>
      </c>
      <c r="V310" s="58"/>
      <c r="W310" s="58"/>
      <c r="X310" s="58"/>
      <c r="Y310" s="58"/>
      <c r="AA310" s="1121" t="s">
        <v>1720</v>
      </c>
      <c r="AB310" s="1122"/>
      <c r="AC310" s="1122"/>
      <c r="AD310" s="1122"/>
      <c r="AE310" s="1122"/>
      <c r="AF310" s="1122"/>
      <c r="AG310" s="7" t="s">
        <v>220</v>
      </c>
      <c r="AH310" s="7"/>
      <c r="AI310" s="1220"/>
      <c r="AJ310" s="1220"/>
      <c r="AK310" s="1220"/>
      <c r="BA310" s="61"/>
    </row>
    <row r="311" spans="1:53" ht="12.75">
      <c r="B311" s="58" t="s">
        <v>96</v>
      </c>
      <c r="C311" s="58"/>
      <c r="D311" s="58"/>
      <c r="E311" s="58"/>
      <c r="F311" s="58"/>
      <c r="G311" s="58"/>
      <c r="H311" s="1101" t="s">
        <v>1721</v>
      </c>
      <c r="I311" s="1102"/>
      <c r="J311" s="1102"/>
      <c r="K311" s="1102"/>
      <c r="L311" s="1102"/>
      <c r="M311" s="1102"/>
      <c r="N311" s="60"/>
      <c r="O311" s="60"/>
      <c r="P311" s="62"/>
      <c r="Q311" s="62"/>
      <c r="R311" s="62"/>
      <c r="S311" s="58"/>
      <c r="T311" s="58" t="s">
        <v>96</v>
      </c>
      <c r="V311" s="58"/>
      <c r="W311" s="58"/>
      <c r="X311" s="58"/>
      <c r="Y311" s="58"/>
      <c r="AA311" s="1101" t="s">
        <v>1722</v>
      </c>
      <c r="AB311" s="1102"/>
      <c r="AC311" s="1102"/>
      <c r="AD311" s="1102"/>
      <c r="AE311" s="1102"/>
      <c r="AF311" s="1102"/>
      <c r="AG311" s="60"/>
      <c r="AH311" s="60"/>
      <c r="AI311" s="62"/>
      <c r="AJ311" s="62"/>
      <c r="AK311" s="62"/>
      <c r="BA311" s="61"/>
    </row>
    <row r="312" spans="1:53" ht="12.75">
      <c r="B312" s="58" t="s">
        <v>82</v>
      </c>
      <c r="C312" s="58"/>
      <c r="D312" s="58"/>
      <c r="E312" s="58"/>
      <c r="F312" s="58"/>
      <c r="G312" s="58"/>
      <c r="H312" s="1120" t="s">
        <v>1723</v>
      </c>
      <c r="I312" s="1120"/>
      <c r="J312" s="1120"/>
      <c r="K312" s="1120"/>
      <c r="L312" s="1120"/>
      <c r="M312" s="1120"/>
      <c r="N312" s="1098"/>
      <c r="O312" s="1098"/>
      <c r="P312" s="1098"/>
      <c r="Q312" s="1098"/>
      <c r="R312" s="1098"/>
      <c r="S312" s="58"/>
      <c r="T312" s="58" t="s">
        <v>82</v>
      </c>
      <c r="V312" s="58"/>
      <c r="W312" s="58"/>
      <c r="X312" s="58"/>
      <c r="Y312" s="58"/>
      <c r="AA312" s="1120" t="s">
        <v>1724</v>
      </c>
      <c r="AB312" s="1120"/>
      <c r="AC312" s="1120"/>
      <c r="AD312" s="1120"/>
      <c r="AE312" s="1120"/>
      <c r="AF312" s="1120"/>
      <c r="AG312" s="1098"/>
      <c r="AH312" s="1098"/>
      <c r="AI312" s="1098"/>
      <c r="AJ312" s="1098"/>
      <c r="AK312" s="1098"/>
      <c r="BA312" s="61"/>
    </row>
    <row r="313" spans="1:53" ht="12.75">
      <c r="BA313" s="61"/>
    </row>
    <row r="314" spans="1:53" ht="12.75">
      <c r="B314" s="7" t="s">
        <v>1006</v>
      </c>
      <c r="C314" s="58"/>
      <c r="D314" s="58"/>
      <c r="E314" s="58"/>
      <c r="F314" s="58"/>
      <c r="H314" s="1098" t="s">
        <v>1725</v>
      </c>
      <c r="I314" s="1098"/>
      <c r="J314" s="1098"/>
      <c r="K314" s="1098"/>
      <c r="L314" s="1098"/>
      <c r="M314" s="1098"/>
      <c r="N314" s="1098"/>
      <c r="O314" s="1098"/>
      <c r="P314" s="1098"/>
      <c r="Q314" s="1098"/>
      <c r="R314" s="1098"/>
      <c r="T314" s="58" t="s">
        <v>390</v>
      </c>
      <c r="V314" s="58"/>
      <c r="W314" s="58"/>
      <c r="X314" s="58"/>
      <c r="Y314" s="58"/>
      <c r="AA314" s="1098" t="s">
        <v>1726</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20"/>
      <c r="I315" s="1120"/>
      <c r="J315" s="1120"/>
      <c r="K315" s="1120"/>
      <c r="L315" s="1120"/>
      <c r="M315" s="1120"/>
      <c r="N315" s="1120"/>
      <c r="O315" s="1120"/>
      <c r="P315" s="1120"/>
      <c r="Q315" s="1120"/>
      <c r="R315" s="1120"/>
      <c r="T315" s="58" t="s">
        <v>518</v>
      </c>
      <c r="V315" s="58"/>
      <c r="W315" s="58"/>
      <c r="X315" s="58"/>
      <c r="Y315" s="58"/>
      <c r="AA315" s="1120" t="s">
        <v>1727</v>
      </c>
      <c r="AB315" s="1120"/>
      <c r="AC315" s="1120"/>
      <c r="AD315" s="1120"/>
      <c r="AE315" s="1120"/>
      <c r="AF315" s="1120"/>
      <c r="AG315" s="1120"/>
      <c r="AH315" s="1120"/>
      <c r="AI315" s="1120"/>
      <c r="AJ315" s="1120"/>
      <c r="AK315" s="1120"/>
      <c r="BA315" s="61"/>
    </row>
    <row r="316" spans="1:53" ht="12.75">
      <c r="B316" s="58" t="s">
        <v>519</v>
      </c>
      <c r="C316" s="58"/>
      <c r="D316" s="58"/>
      <c r="E316" s="58"/>
      <c r="F316" s="58"/>
      <c r="H316" s="1120"/>
      <c r="I316" s="1120"/>
      <c r="J316" s="1120"/>
      <c r="K316" s="1120"/>
      <c r="L316" s="1120"/>
      <c r="M316" s="1120"/>
      <c r="N316" s="1120"/>
      <c r="O316" s="1120"/>
      <c r="P316" s="1120"/>
      <c r="Q316" s="1120"/>
      <c r="R316" s="1120"/>
      <c r="T316" s="58" t="s">
        <v>81</v>
      </c>
      <c r="V316" s="58"/>
      <c r="W316" s="58"/>
      <c r="X316" s="58"/>
      <c r="Y316" s="58"/>
      <c r="AA316" s="1120" t="s">
        <v>1728</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c r="I317" s="1120"/>
      <c r="J317" s="1120"/>
      <c r="K317" s="1120"/>
      <c r="L317" s="1120"/>
      <c r="M317" s="1120"/>
      <c r="N317" s="1120"/>
      <c r="O317" s="1120"/>
      <c r="P317" s="1120"/>
      <c r="Q317" s="1120"/>
      <c r="R317" s="1120"/>
      <c r="T317" s="58" t="s">
        <v>94</v>
      </c>
      <c r="V317" s="58"/>
      <c r="W317" s="58"/>
      <c r="X317" s="58"/>
      <c r="Y317" s="58"/>
      <c r="AA317" s="1120" t="s">
        <v>1729</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2"/>
      <c r="I318" s="1122"/>
      <c r="J318" s="1122"/>
      <c r="K318" s="1122"/>
      <c r="L318" s="1122"/>
      <c r="M318" s="1122"/>
      <c r="N318" s="7" t="s">
        <v>220</v>
      </c>
      <c r="O318" s="7"/>
      <c r="P318" s="1220"/>
      <c r="Q318" s="1220"/>
      <c r="R318" s="1220"/>
      <c r="S318" s="58"/>
      <c r="T318" s="58" t="s">
        <v>95</v>
      </c>
      <c r="V318" s="58"/>
      <c r="W318" s="58"/>
      <c r="X318" s="58"/>
      <c r="Y318" s="58"/>
      <c r="AA318" s="1121" t="s">
        <v>1730</v>
      </c>
      <c r="AB318" s="1122"/>
      <c r="AC318" s="1122"/>
      <c r="AD318" s="1122"/>
      <c r="AE318" s="1122"/>
      <c r="AF318" s="1122"/>
      <c r="AG318" s="7" t="s">
        <v>220</v>
      </c>
      <c r="AH318" s="7"/>
      <c r="AI318" s="1220"/>
      <c r="AJ318" s="1220"/>
      <c r="AK318" s="1220"/>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1" t="s">
        <v>1731</v>
      </c>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0"/>
      <c r="I320" s="1120"/>
      <c r="J320" s="1120"/>
      <c r="K320" s="1120"/>
      <c r="L320" s="1120"/>
      <c r="M320" s="1120"/>
      <c r="N320" s="1098"/>
      <c r="O320" s="1098"/>
      <c r="P320" s="1098"/>
      <c r="Q320" s="1098"/>
      <c r="R320" s="1098"/>
      <c r="S320" s="58"/>
      <c r="T320" s="58" t="s">
        <v>82</v>
      </c>
      <c r="V320" s="58"/>
      <c r="W320" s="58"/>
      <c r="X320" s="58"/>
      <c r="Y320" s="58"/>
      <c r="AA320" s="1120" t="s">
        <v>1732</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1711</v>
      </c>
      <c r="I322" s="1098"/>
      <c r="J322" s="1098"/>
      <c r="K322" s="1098"/>
      <c r="L322" s="1098"/>
      <c r="M322" s="1098"/>
      <c r="N322" s="1098"/>
      <c r="O322" s="1098"/>
      <c r="P322" s="1098"/>
      <c r="Q322" s="1098"/>
      <c r="R322" s="1098"/>
      <c r="T322" s="58" t="s">
        <v>392</v>
      </c>
      <c r="V322" s="58"/>
      <c r="W322" s="58"/>
      <c r="X322" s="58"/>
      <c r="Y322" s="58"/>
      <c r="AA322" s="1098" t="s">
        <v>1725</v>
      </c>
      <c r="AB322" s="1098"/>
      <c r="AC322" s="1098"/>
      <c r="AD322" s="1098"/>
      <c r="AE322" s="1098"/>
      <c r="AF322" s="1098"/>
      <c r="AG322" s="1098"/>
      <c r="AH322" s="1098"/>
      <c r="AI322" s="1098"/>
      <c r="AJ322" s="1098"/>
      <c r="AK322" s="1098"/>
      <c r="AL322" s="39"/>
    </row>
    <row r="323" spans="1:53" ht="12.75">
      <c r="A323" s="39"/>
      <c r="B323" s="58" t="s">
        <v>518</v>
      </c>
      <c r="C323" s="58"/>
      <c r="D323" s="58"/>
      <c r="E323" s="58"/>
      <c r="F323" s="58"/>
      <c r="H323" s="1120" t="s">
        <v>1733</v>
      </c>
      <c r="I323" s="1120"/>
      <c r="J323" s="1120"/>
      <c r="K323" s="1120"/>
      <c r="L323" s="1120"/>
      <c r="M323" s="1120"/>
      <c r="N323" s="1120"/>
      <c r="O323" s="1120"/>
      <c r="P323" s="1120"/>
      <c r="Q323" s="1120"/>
      <c r="R323" s="1120"/>
      <c r="T323" s="58" t="s">
        <v>518</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0" t="s">
        <v>1734</v>
      </c>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1735</v>
      </c>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1736</v>
      </c>
      <c r="I326" s="1122"/>
      <c r="J326" s="1122"/>
      <c r="K326" s="1122"/>
      <c r="L326" s="1122"/>
      <c r="M326" s="1122"/>
      <c r="N326" s="7" t="s">
        <v>220</v>
      </c>
      <c r="O326" s="7"/>
      <c r="P326" s="1220"/>
      <c r="Q326" s="1220"/>
      <c r="R326" s="1220"/>
      <c r="S326" s="58"/>
      <c r="T326" s="58" t="s">
        <v>95</v>
      </c>
      <c r="V326" s="58"/>
      <c r="W326" s="58"/>
      <c r="X326" s="58"/>
      <c r="Y326" s="58"/>
      <c r="AA326" s="1122"/>
      <c r="AB326" s="1122"/>
      <c r="AC326" s="1122"/>
      <c r="AD326" s="1122"/>
      <c r="AE326" s="1122"/>
      <c r="AF326" s="1122"/>
      <c r="AG326" s="7" t="s">
        <v>220</v>
      </c>
      <c r="AH326" s="7"/>
      <c r="AI326" s="1220"/>
      <c r="AJ326" s="1220"/>
      <c r="AK326" s="1220"/>
      <c r="AL326" s="39"/>
    </row>
    <row r="327" spans="1:53" ht="12.75" customHeight="1">
      <c r="A327" s="39"/>
      <c r="B327" s="58" t="s">
        <v>96</v>
      </c>
      <c r="C327" s="58"/>
      <c r="D327" s="58"/>
      <c r="E327" s="58"/>
      <c r="F327" s="58"/>
      <c r="G327" s="58"/>
      <c r="H327" s="1102"/>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0" t="s">
        <v>1737</v>
      </c>
      <c r="I328" s="1120"/>
      <c r="J328" s="1120"/>
      <c r="K328" s="1120"/>
      <c r="L328" s="1120"/>
      <c r="M328" s="1120"/>
      <c r="N328" s="1098"/>
      <c r="O328" s="1098"/>
      <c r="P328" s="1098"/>
      <c r="Q328" s="1098"/>
      <c r="R328" s="1098"/>
      <c r="S328" s="58"/>
      <c r="T328" s="58" t="s">
        <v>82</v>
      </c>
      <c r="V328" s="58"/>
      <c r="W328" s="58"/>
      <c r="X328" s="58"/>
      <c r="Y328" s="58"/>
      <c r="AA328" s="1120"/>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1738</v>
      </c>
      <c r="I330" s="1098"/>
      <c r="J330" s="1098"/>
      <c r="K330" s="1098"/>
      <c r="L330" s="1098"/>
      <c r="M330" s="1098"/>
      <c r="N330" s="1098"/>
      <c r="O330" s="1098"/>
      <c r="P330" s="1098"/>
      <c r="Q330" s="1098"/>
      <c r="R330" s="1098"/>
      <c r="T330" s="422" t="s">
        <v>981</v>
      </c>
      <c r="V330" s="58"/>
      <c r="W330" s="58"/>
      <c r="X330" s="58"/>
      <c r="Y330" s="58"/>
      <c r="AA330" s="1098" t="s">
        <v>1739</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20" t="s">
        <v>1740</v>
      </c>
      <c r="I331" s="1120"/>
      <c r="J331" s="1120"/>
      <c r="K331" s="1120"/>
      <c r="L331" s="1120"/>
      <c r="M331" s="1120"/>
      <c r="N331" s="1120"/>
      <c r="O331" s="1120"/>
      <c r="P331" s="1120"/>
      <c r="Q331" s="1120"/>
      <c r="R331" s="1120"/>
      <c r="T331" s="58" t="s">
        <v>518</v>
      </c>
      <c r="V331" s="58"/>
      <c r="W331" s="58"/>
      <c r="X331" s="58"/>
      <c r="Y331" s="58"/>
      <c r="AA331" s="1120" t="s">
        <v>1741</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1742</v>
      </c>
      <c r="I332" s="1120"/>
      <c r="J332" s="1120"/>
      <c r="K332" s="1120"/>
      <c r="L332" s="1120"/>
      <c r="M332" s="1120"/>
      <c r="N332" s="1120"/>
      <c r="O332" s="1120"/>
      <c r="P332" s="1120"/>
      <c r="Q332" s="1120"/>
      <c r="R332" s="1120"/>
      <c r="T332" s="58" t="s">
        <v>81</v>
      </c>
      <c r="V332" s="58"/>
      <c r="W332" s="58"/>
      <c r="X332" s="58"/>
      <c r="Y332" s="58"/>
      <c r="AA332" s="1120" t="s">
        <v>1743</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0" t="s">
        <v>1744</v>
      </c>
      <c r="I333" s="1120"/>
      <c r="J333" s="1120"/>
      <c r="K333" s="1120"/>
      <c r="L333" s="1120"/>
      <c r="M333" s="1120"/>
      <c r="N333" s="1120"/>
      <c r="O333" s="1120"/>
      <c r="P333" s="1120"/>
      <c r="Q333" s="1120"/>
      <c r="R333" s="1120"/>
      <c r="T333" s="58" t="s">
        <v>94</v>
      </c>
      <c r="V333" s="58"/>
      <c r="W333" s="58"/>
      <c r="X333" s="58"/>
      <c r="Y333" s="58"/>
      <c r="AA333" s="1120" t="s">
        <v>1745</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1746</v>
      </c>
      <c r="I334" s="1122"/>
      <c r="J334" s="1122"/>
      <c r="K334" s="1122"/>
      <c r="L334" s="1122"/>
      <c r="M334" s="1122"/>
      <c r="N334" s="7" t="s">
        <v>220</v>
      </c>
      <c r="O334" s="7"/>
      <c r="P334" s="1220"/>
      <c r="Q334" s="1220"/>
      <c r="R334" s="1220"/>
      <c r="S334" s="58"/>
      <c r="T334" s="58" t="s">
        <v>95</v>
      </c>
      <c r="V334" s="58"/>
      <c r="W334" s="58"/>
      <c r="X334" s="58"/>
      <c r="Y334" s="58"/>
      <c r="AA334" s="1121" t="s">
        <v>1747</v>
      </c>
      <c r="AB334" s="1122"/>
      <c r="AC334" s="1122"/>
      <c r="AD334" s="1122"/>
      <c r="AE334" s="1122"/>
      <c r="AF334" s="1122"/>
      <c r="AG334" s="7" t="s">
        <v>220</v>
      </c>
      <c r="AH334" s="7"/>
      <c r="AI334" s="1220"/>
      <c r="AJ334" s="1220"/>
      <c r="AK334" s="1220"/>
      <c r="AL334" s="39"/>
    </row>
    <row r="335" spans="1:53" ht="12.75" customHeight="1">
      <c r="A335" s="39"/>
      <c r="B335" s="58" t="s">
        <v>96</v>
      </c>
      <c r="C335" s="248"/>
      <c r="D335" s="248"/>
      <c r="E335" s="248"/>
      <c r="F335" s="248"/>
      <c r="G335" s="248"/>
      <c r="H335" s="1101" t="s">
        <v>1748</v>
      </c>
      <c r="I335" s="1102"/>
      <c r="J335" s="1102"/>
      <c r="K335" s="1102"/>
      <c r="L335" s="1102"/>
      <c r="M335" s="1102"/>
      <c r="N335" s="60"/>
      <c r="O335" s="60"/>
      <c r="P335" s="62"/>
      <c r="Q335" s="62"/>
      <c r="R335" s="62"/>
      <c r="S335" s="58"/>
      <c r="T335" s="58" t="s">
        <v>96</v>
      </c>
      <c r="V335" s="58"/>
      <c r="W335" s="58"/>
      <c r="X335" s="58"/>
      <c r="Y335" s="58"/>
      <c r="AA335" s="1101" t="s">
        <v>1749</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0" t="s">
        <v>1750</v>
      </c>
      <c r="I336" s="1120"/>
      <c r="J336" s="1120"/>
      <c r="K336" s="1120"/>
      <c r="L336" s="1120"/>
      <c r="M336" s="1120"/>
      <c r="N336" s="1098"/>
      <c r="O336" s="1098"/>
      <c r="P336" s="1098"/>
      <c r="Q336" s="1098"/>
      <c r="R336" s="1098"/>
      <c r="S336" s="58"/>
      <c r="T336" s="58" t="s">
        <v>82</v>
      </c>
      <c r="V336" s="58"/>
      <c r="W336" s="58"/>
      <c r="X336" s="58"/>
      <c r="Y336" s="58"/>
      <c r="AA336" s="1120" t="s">
        <v>1751</v>
      </c>
      <c r="AB336" s="1120"/>
      <c r="AC336" s="1120"/>
      <c r="AD336" s="1120"/>
      <c r="AE336" s="1120"/>
      <c r="AF336" s="1120"/>
      <c r="AG336" s="1098"/>
      <c r="AH336" s="1098"/>
      <c r="AI336" s="1098"/>
      <c r="AJ336" s="1098"/>
      <c r="AK336" s="109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8" t="s">
        <v>1725</v>
      </c>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2.75">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9" t="s">
        <v>592</v>
      </c>
      <c r="N350" s="1099"/>
      <c r="P350" s="12" t="s">
        <v>599</v>
      </c>
      <c r="AJ350" s="1099" t="s">
        <v>722</v>
      </c>
      <c r="AK350" s="1099"/>
    </row>
    <row r="351" spans="1:53" ht="12.75" customHeight="1">
      <c r="D351" s="7" t="s">
        <v>955</v>
      </c>
      <c r="R351" s="12" t="s">
        <v>600</v>
      </c>
      <c r="AJ351" s="1099" t="s">
        <v>642</v>
      </c>
      <c r="AK351" s="1099"/>
    </row>
    <row r="352" spans="1:53" ht="12.75" customHeight="1">
      <c r="D352" s="12" t="s">
        <v>765</v>
      </c>
      <c r="M352" s="1099" t="s">
        <v>642</v>
      </c>
      <c r="N352" s="1099"/>
      <c r="P352" s="7" t="s">
        <v>952</v>
      </c>
      <c r="AJ352" s="1099" t="s">
        <v>722</v>
      </c>
      <c r="AK352" s="1099"/>
    </row>
    <row r="353" spans="1:34" ht="12.75" customHeight="1">
      <c r="D353" s="12" t="s">
        <v>766</v>
      </c>
      <c r="M353" s="1099" t="s">
        <v>642</v>
      </c>
      <c r="N353" s="1099"/>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642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1091</v>
      </c>
      <c r="Q360" s="1098" t="s">
        <v>642</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642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493</v>
      </c>
      <c r="F365" s="7"/>
      <c r="G365" s="7"/>
      <c r="H365" s="7"/>
      <c r="I365" s="7"/>
      <c r="J365" s="7"/>
      <c r="K365" s="7"/>
      <c r="L365" s="7"/>
      <c r="N365" s="1417"/>
      <c r="O365" s="1417"/>
      <c r="P365" s="1417"/>
      <c r="Q365" s="1417"/>
      <c r="R365" s="7"/>
      <c r="U365" s="7" t="s">
        <v>494</v>
      </c>
      <c r="V365" s="7"/>
      <c r="W365" s="7"/>
      <c r="X365" s="7"/>
      <c r="Y365" s="7"/>
      <c r="Z365" s="7"/>
      <c r="AA365" s="7"/>
      <c r="AB365" s="7"/>
      <c r="AC365" s="1417"/>
      <c r="AD365" s="1417"/>
      <c r="AE365" s="1417"/>
      <c r="AF365" s="1417"/>
    </row>
    <row r="366" spans="1:34" ht="12.75" customHeight="1">
      <c r="E366" s="7" t="s">
        <v>495</v>
      </c>
      <c r="F366" s="7"/>
      <c r="G366" s="7"/>
      <c r="H366" s="7"/>
      <c r="I366" s="7"/>
      <c r="J366" s="7"/>
      <c r="K366" s="7"/>
      <c r="L366" s="7"/>
      <c r="N366" s="1417"/>
      <c r="O366" s="1417"/>
      <c r="P366" s="1417"/>
      <c r="Q366" s="1417"/>
      <c r="R366" s="7"/>
      <c r="U366" s="7" t="s">
        <v>0</v>
      </c>
      <c r="V366" s="7"/>
      <c r="W366" s="7"/>
      <c r="X366" s="7"/>
      <c r="Y366" s="7"/>
      <c r="Z366" s="7"/>
      <c r="AA366" s="7"/>
      <c r="AB366" s="7"/>
      <c r="AC366" s="1417"/>
      <c r="AD366" s="1417"/>
      <c r="AE366" s="1417"/>
      <c r="AF366" s="1417"/>
    </row>
    <row r="367" spans="1:34" ht="12.75" customHeight="1">
      <c r="E367" s="7" t="s">
        <v>1</v>
      </c>
      <c r="F367" s="7"/>
      <c r="G367" s="7"/>
      <c r="H367" s="7"/>
      <c r="I367" s="7"/>
      <c r="J367" s="7"/>
      <c r="K367" s="7"/>
      <c r="L367" s="7"/>
      <c r="N367" s="1417"/>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73"/>
      <c r="O368" s="1573"/>
      <c r="P368" s="1573"/>
      <c r="Q368" s="1573"/>
      <c r="R368" s="1573"/>
      <c r="S368" s="1573"/>
      <c r="T368" s="1573"/>
      <c r="U368" s="1573"/>
      <c r="V368" s="1573"/>
      <c r="W368" s="1573"/>
      <c r="X368" s="1573"/>
      <c r="Y368" s="1573"/>
      <c r="Z368" s="1573"/>
      <c r="AA368" s="1573"/>
      <c r="AB368" s="1573"/>
      <c r="AC368" s="1573"/>
      <c r="AD368" s="1573"/>
      <c r="AE368" s="1573"/>
      <c r="AF368" s="1573"/>
    </row>
    <row r="369" spans="1:38" ht="12.75" customHeight="1">
      <c r="E369" s="7"/>
      <c r="F369" s="7"/>
      <c r="G369" s="7"/>
      <c r="H369" s="7"/>
      <c r="I369" s="7"/>
      <c r="J369" s="7"/>
      <c r="K369" s="7"/>
      <c r="L369" s="7"/>
      <c r="N369" s="1574"/>
      <c r="O369" s="1574"/>
      <c r="P369" s="1574"/>
      <c r="Q369" s="1574"/>
      <c r="R369" s="1574"/>
      <c r="S369" s="1574"/>
      <c r="T369" s="1574"/>
      <c r="U369" s="1574"/>
      <c r="V369" s="1574"/>
      <c r="W369" s="1574"/>
      <c r="X369" s="1574"/>
      <c r="Y369" s="1574"/>
      <c r="Z369" s="1574"/>
      <c r="AA369" s="1574"/>
      <c r="AB369" s="1574"/>
      <c r="AC369" s="1574"/>
      <c r="AD369" s="1574"/>
      <c r="AE369" s="1574"/>
      <c r="AF369" s="157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1126</v>
      </c>
      <c r="F373" s="7"/>
      <c r="G373" s="7"/>
      <c r="H373" s="7"/>
      <c r="I373" s="7"/>
      <c r="J373" s="7"/>
      <c r="K373" s="7"/>
      <c r="L373" s="7"/>
      <c r="N373" s="1123"/>
      <c r="O373" s="1123"/>
      <c r="P373" s="1123"/>
    </row>
    <row r="374" spans="1:38" ht="12.75" customHeight="1">
      <c r="E374" s="399" t="s">
        <v>1128</v>
      </c>
      <c r="F374" s="7"/>
      <c r="G374" s="7"/>
      <c r="H374" s="7"/>
      <c r="I374" s="7"/>
      <c r="J374" s="7"/>
      <c r="K374" s="7"/>
      <c r="L374" s="7"/>
      <c r="AG374" s="1118" t="s">
        <v>642</v>
      </c>
      <c r="AH374" s="1118"/>
    </row>
    <row r="375" spans="1:38" ht="12.75" customHeight="1">
      <c r="E375" s="7"/>
      <c r="F375" s="7"/>
      <c r="G375" s="7" t="s">
        <v>1149</v>
      </c>
      <c r="H375" s="7"/>
      <c r="I375" s="7"/>
      <c r="J375" s="7"/>
      <c r="K375" s="7"/>
      <c r="L375" s="7"/>
      <c r="AG375" s="1118" t="s">
        <v>642</v>
      </c>
      <c r="AH375" s="1118"/>
    </row>
    <row r="376" spans="1:38" ht="12.75" customHeight="1">
      <c r="E376" s="7"/>
      <c r="F376" s="7"/>
      <c r="G376" s="530" t="s">
        <v>1129</v>
      </c>
      <c r="H376" s="7"/>
      <c r="I376" s="7"/>
      <c r="J376" s="7"/>
      <c r="K376" s="7"/>
      <c r="L376" s="7"/>
      <c r="V376" s="1099" t="s">
        <v>642</v>
      </c>
      <c r="W376" s="1099"/>
      <c r="Y376" s="35" t="s">
        <v>1093</v>
      </c>
    </row>
    <row r="377" spans="1:38" ht="12.75" customHeight="1">
      <c r="E377" s="7" t="s">
        <v>1094</v>
      </c>
      <c r="F377" s="7"/>
      <c r="G377" s="7"/>
      <c r="H377" s="7"/>
      <c r="I377" s="7"/>
      <c r="J377" s="7"/>
      <c r="K377" s="7"/>
      <c r="L377" s="7"/>
      <c r="V377" s="1099" t="s">
        <v>642</v>
      </c>
      <c r="W377" s="1099"/>
      <c r="Y377" s="7" t="s">
        <v>1095</v>
      </c>
    </row>
    <row r="378" spans="1:38" ht="12.75" customHeight="1"/>
    <row r="379" spans="1:38" ht="12.75" customHeight="1">
      <c r="A379" s="50" t="s">
        <v>84</v>
      </c>
      <c r="B379" s="50"/>
    </row>
    <row r="380" spans="1:38" ht="12.75" customHeight="1">
      <c r="D380" s="12" t="s">
        <v>463</v>
      </c>
      <c r="J380" s="1098" t="s">
        <v>1681</v>
      </c>
      <c r="K380" s="1098"/>
      <c r="L380" s="1098"/>
      <c r="M380" s="1098"/>
      <c r="N380" s="1098"/>
      <c r="O380" s="1098"/>
      <c r="P380" s="1098"/>
      <c r="Q380" s="1098"/>
      <c r="R380" s="1098"/>
      <c r="S380" s="1098"/>
      <c r="T380" s="1098"/>
      <c r="U380" s="1098"/>
      <c r="V380" s="14" t="s">
        <v>90</v>
      </c>
      <c r="W380" s="14"/>
      <c r="X380" s="14"/>
      <c r="Y380" s="14"/>
      <c r="Z380" s="14"/>
      <c r="AA380" s="14"/>
      <c r="AB380" s="14"/>
      <c r="AC380" s="1098" t="s">
        <v>1645</v>
      </c>
      <c r="AD380" s="1098"/>
      <c r="AE380" s="1098"/>
      <c r="AF380" s="1098"/>
      <c r="AG380" s="1098"/>
      <c r="AH380" s="1098"/>
      <c r="AI380" s="1098"/>
      <c r="AJ380" s="1098"/>
    </row>
    <row r="381" spans="1:38" ht="12.75" customHeight="1">
      <c r="A381" s="743"/>
      <c r="B381" s="743"/>
      <c r="C381" s="743"/>
      <c r="D381" s="58" t="s">
        <v>1421</v>
      </c>
      <c r="E381" s="743"/>
      <c r="F381" s="743"/>
      <c r="G381" s="743"/>
      <c r="H381" s="743"/>
      <c r="I381" s="743"/>
      <c r="J381" s="1120" t="s">
        <v>1645</v>
      </c>
      <c r="K381" s="1120"/>
      <c r="L381" s="1120"/>
      <c r="M381" s="1120"/>
      <c r="N381" s="1120"/>
      <c r="O381" s="1120"/>
      <c r="P381" s="1120"/>
      <c r="Q381" s="1120"/>
      <c r="R381" s="1120"/>
      <c r="S381" s="1120"/>
      <c r="T381" s="1120"/>
      <c r="U381" s="1120"/>
      <c r="V381" s="58" t="s">
        <v>1421</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20" t="s">
        <v>1752</v>
      </c>
      <c r="K382" s="1120"/>
      <c r="L382" s="1120"/>
      <c r="M382" s="1120"/>
      <c r="N382" s="1120"/>
      <c r="O382" s="1120"/>
      <c r="P382" s="1120"/>
      <c r="Q382" s="1120"/>
      <c r="R382" s="1120"/>
      <c r="S382" s="1120"/>
      <c r="T382" s="1120"/>
      <c r="U382" s="1120"/>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1417</v>
      </c>
      <c r="E383" s="743"/>
      <c r="F383" s="743"/>
      <c r="G383" s="743"/>
      <c r="H383" s="743"/>
      <c r="I383" s="88"/>
      <c r="J383" s="1225" t="s">
        <v>1658</v>
      </c>
      <c r="K383" s="1225"/>
      <c r="L383" s="1225"/>
      <c r="M383" s="1225"/>
      <c r="N383" s="1225"/>
      <c r="O383" s="1225"/>
      <c r="P383" s="1225"/>
      <c r="Q383" s="1225"/>
      <c r="R383" s="1225"/>
      <c r="S383" s="1225"/>
      <c r="T383" s="1225"/>
      <c r="U383" s="1225"/>
      <c r="V383" s="1098" t="s">
        <v>1687</v>
      </c>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3">
        <v>43832</v>
      </c>
      <c r="R384" s="1543"/>
      <c r="S384" s="1543"/>
      <c r="T384" s="1543"/>
      <c r="U384" s="1543"/>
      <c r="V384" s="12" t="s">
        <v>331</v>
      </c>
      <c r="AI384" s="1099" t="s">
        <v>592</v>
      </c>
      <c r="AJ384" s="1099"/>
    </row>
    <row r="385" spans="1:38" ht="12.75" customHeight="1">
      <c r="D385" s="12" t="s">
        <v>5</v>
      </c>
      <c r="Q385" s="1214">
        <v>44196</v>
      </c>
      <c r="R385" s="1215"/>
      <c r="S385" s="1215"/>
      <c r="T385" s="1215"/>
      <c r="U385" s="1215"/>
      <c r="W385" s="33" t="s">
        <v>80</v>
      </c>
      <c r="AG385" s="1541">
        <v>9.9999999999999995E-7</v>
      </c>
      <c r="AH385" s="1541"/>
      <c r="AI385" s="1541"/>
      <c r="AJ385" s="1541"/>
    </row>
    <row r="386" spans="1:38" ht="12.75" customHeight="1">
      <c r="D386" s="12" t="s">
        <v>462</v>
      </c>
      <c r="Q386" s="1571">
        <v>1250000</v>
      </c>
      <c r="R386" s="1571"/>
      <c r="S386" s="1571"/>
      <c r="T386" s="1571"/>
      <c r="U386" s="1571"/>
      <c r="V386" s="58" t="s">
        <v>1420</v>
      </c>
      <c r="AG386" s="1542">
        <v>44075</v>
      </c>
      <c r="AH386" s="1542"/>
      <c r="AI386" s="1542"/>
      <c r="AJ386" s="1542"/>
    </row>
    <row r="387" spans="1:38" ht="12.75" customHeight="1">
      <c r="D387" s="12" t="s">
        <v>95</v>
      </c>
      <c r="I387" s="1121" t="s">
        <v>1661</v>
      </c>
      <c r="J387" s="1122"/>
      <c r="K387" s="1122"/>
      <c r="L387" s="1122"/>
      <c r="M387" s="1122"/>
      <c r="N387" s="1122"/>
      <c r="Q387" s="57" t="s">
        <v>220</v>
      </c>
      <c r="S387" s="1568">
        <v>3015</v>
      </c>
      <c r="T387" s="1568"/>
      <c r="U387" s="1568"/>
      <c r="V387" s="12" t="s">
        <v>79</v>
      </c>
      <c r="AI387" s="1099" t="s">
        <v>722</v>
      </c>
      <c r="AJ387" s="1099"/>
    </row>
    <row r="388" spans="1:38" ht="12.75">
      <c r="D388" s="12" t="s">
        <v>332</v>
      </c>
      <c r="Q388" s="1572">
        <f>AG388/47</f>
        <v>8123.0638297872338</v>
      </c>
      <c r="R388" s="1189"/>
      <c r="S388" s="1189"/>
      <c r="T388" s="1189"/>
      <c r="U388" s="1189"/>
      <c r="V388" s="12" t="s">
        <v>333</v>
      </c>
      <c r="AG388" s="1541">
        <v>381784</v>
      </c>
      <c r="AH388" s="1541"/>
      <c r="AI388" s="1541"/>
      <c r="AJ388" s="1541"/>
    </row>
    <row r="389" spans="1:38" ht="12.75">
      <c r="D389" s="12" t="s">
        <v>334</v>
      </c>
      <c r="Q389" s="1540">
        <v>1.0000000000000001E-9</v>
      </c>
      <c r="R389" s="1540"/>
      <c r="S389" s="1540"/>
      <c r="T389" s="1540"/>
      <c r="U389" s="1540"/>
      <c r="V389" s="743" t="s">
        <v>1397</v>
      </c>
      <c r="AG389" s="1541"/>
      <c r="AH389" s="1541"/>
      <c r="AI389" s="1541"/>
      <c r="AJ389" s="1541"/>
    </row>
    <row r="390" spans="1:38" ht="12.75">
      <c r="D390" s="743" t="s">
        <v>1396</v>
      </c>
      <c r="V390" s="743"/>
      <c r="AG390" s="1541"/>
      <c r="AH390" s="1541"/>
      <c r="AI390" s="1541"/>
      <c r="AJ390" s="15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1458</v>
      </c>
      <c r="I393" s="1096" t="s">
        <v>1753</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642</v>
      </c>
      <c r="S394" s="1099"/>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099" t="s">
        <v>592</v>
      </c>
      <c r="S395" s="1099"/>
      <c r="T395" s="12" t="s">
        <v>620</v>
      </c>
      <c r="U395" s="743"/>
      <c r="V395" s="743"/>
      <c r="W395" s="743"/>
      <c r="X395" s="743"/>
      <c r="Y395" s="743"/>
      <c r="Z395" s="743"/>
      <c r="AA395" s="743"/>
      <c r="AB395" s="743"/>
      <c r="AC395" s="743"/>
      <c r="AD395" s="1417">
        <v>3</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6" t="s">
        <v>1754</v>
      </c>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743"/>
    </row>
    <row r="398" spans="1:38" ht="12.75" customHeight="1">
      <c r="E398" s="25"/>
      <c r="F398" s="743"/>
      <c r="G398" s="743"/>
      <c r="H398" s="1567"/>
      <c r="I398" s="1567"/>
      <c r="J398" s="1567"/>
      <c r="K398" s="1567"/>
      <c r="L398" s="1567"/>
      <c r="M398" s="1567"/>
      <c r="N398" s="1567"/>
      <c r="O398" s="1567"/>
      <c r="P398" s="1567"/>
      <c r="Q398" s="1567"/>
      <c r="R398" s="1567"/>
      <c r="S398" s="1567"/>
      <c r="T398" s="1567"/>
      <c r="U398" s="1567"/>
      <c r="V398" s="1567"/>
      <c r="W398" s="1567"/>
      <c r="X398" s="1567"/>
      <c r="Y398" s="1567"/>
      <c r="Z398" s="1567"/>
      <c r="AA398" s="1567"/>
      <c r="AB398" s="1567"/>
      <c r="AC398" s="1567"/>
      <c r="AD398" s="1567"/>
      <c r="AE398" s="156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3"/>
      <c r="F406" s="1123"/>
      <c r="G406" s="1123"/>
      <c r="H406" s="23" t="s">
        <v>122</v>
      </c>
      <c r="I406" s="1123"/>
      <c r="J406" s="1123"/>
      <c r="K406" s="1123"/>
      <c r="L406" s="12" t="s">
        <v>123</v>
      </c>
      <c r="N406" s="144" t="s">
        <v>626</v>
      </c>
      <c r="P406" s="1119">
        <v>10.14</v>
      </c>
      <c r="Q406" s="1119"/>
      <c r="R406" s="1119"/>
      <c r="S406" s="12" t="s">
        <v>124</v>
      </c>
      <c r="W406" s="1570">
        <f>IF(E406&gt;0,(E406*I406),(P406*43560))</f>
        <v>441698.4</v>
      </c>
      <c r="X406" s="1570"/>
      <c r="Y406" s="1570"/>
      <c r="Z406" s="12" t="s">
        <v>125</v>
      </c>
      <c r="AF406" s="1119">
        <f>AG424/P406</f>
        <v>7.1005917159763312</v>
      </c>
      <c r="AG406" s="1119"/>
      <c r="AH406" s="1119"/>
    </row>
    <row r="407" spans="1:36" ht="12.75">
      <c r="E407" s="12" t="s">
        <v>56</v>
      </c>
    </row>
    <row r="408" spans="1:36" ht="12.75">
      <c r="E408" s="1575"/>
      <c r="F408" s="1575"/>
      <c r="G408" s="1575"/>
      <c r="H408" s="1575"/>
      <c r="I408" s="1575"/>
      <c r="J408" s="1575"/>
      <c r="K408" s="1575"/>
      <c r="L408" s="1575"/>
      <c r="M408" s="1575"/>
      <c r="N408" s="1575"/>
      <c r="O408" s="1575"/>
      <c r="P408" s="1575"/>
      <c r="Q408" s="1575"/>
      <c r="R408" s="1575"/>
      <c r="S408" s="1575"/>
      <c r="T408" s="1575"/>
      <c r="U408" s="1575"/>
      <c r="V408" s="1575"/>
      <c r="W408" s="1575"/>
      <c r="X408" s="1575"/>
      <c r="Y408" s="1575"/>
      <c r="Z408" s="1575"/>
      <c r="AA408" s="1575"/>
      <c r="AB408" s="1575"/>
      <c r="AC408" s="1575"/>
      <c r="AD408" s="1575"/>
      <c r="AE408" s="1575"/>
      <c r="AF408" s="1575"/>
      <c r="AG408" s="1575"/>
      <c r="AH408" s="1575"/>
      <c r="AI408" s="1575"/>
      <c r="AJ408" s="1575"/>
    </row>
    <row r="409" spans="1:36" ht="12.75"/>
    <row r="410" spans="1:36" ht="12.75">
      <c r="A410" s="50" t="s">
        <v>643</v>
      </c>
      <c r="B410" s="50"/>
      <c r="C410" s="50"/>
      <c r="D410" s="50" t="s">
        <v>127</v>
      </c>
    </row>
    <row r="411" spans="1:36" ht="12.75">
      <c r="E411" s="12" t="s">
        <v>128</v>
      </c>
      <c r="P411" s="1099">
        <v>6</v>
      </c>
      <c r="Q411" s="1099"/>
      <c r="S411" s="12" t="s">
        <v>203</v>
      </c>
      <c r="AE411" s="1099">
        <v>5</v>
      </c>
      <c r="AF411" s="1099"/>
    </row>
    <row r="412" spans="1:36" ht="12.75">
      <c r="E412" s="12" t="s">
        <v>204</v>
      </c>
      <c r="P412" s="1099">
        <v>1</v>
      </c>
      <c r="Q412" s="1099"/>
      <c r="S412" s="12" t="s">
        <v>138</v>
      </c>
      <c r="AE412" s="1099" t="s">
        <v>642</v>
      </c>
      <c r="AF412" s="1099"/>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80"/>
    </row>
    <row r="418" spans="1:96" ht="12.75" customHeight="1">
      <c r="S418" s="25"/>
      <c r="T418" s="25"/>
    </row>
    <row r="419" spans="1:96" ht="12.75" customHeight="1">
      <c r="A419" s="50"/>
      <c r="B419" s="50"/>
      <c r="C419" s="50"/>
      <c r="E419" s="7" t="s">
        <v>330</v>
      </c>
      <c r="Z419" s="1099" t="s">
        <v>722</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6"/>
      <c r="AG424" s="1523">
        <v>72</v>
      </c>
      <c r="AH424" s="1523"/>
      <c r="AI424" s="1523"/>
      <c r="AJ424" s="1523"/>
    </row>
    <row r="425" spans="1:96" ht="12.75" customHeight="1">
      <c r="D425" s="1505" t="s">
        <v>1488</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0"/>
      <c r="AH425" s="1172"/>
      <c r="AI425" s="1172"/>
      <c r="AJ425" s="1172"/>
    </row>
    <row r="426" spans="1:96" ht="12.75" customHeight="1">
      <c r="D426" s="1505" t="s">
        <v>1183</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3">
        <v>71</v>
      </c>
      <c r="AH426" s="1523"/>
      <c r="AI426" s="1523"/>
      <c r="AJ426" s="1523"/>
    </row>
    <row r="427" spans="1:96" ht="12.75" customHeight="1">
      <c r="D427" s="1505" t="s">
        <v>1184</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3">
        <v>71</v>
      </c>
      <c r="AH427" s="1523"/>
      <c r="AI427" s="1523"/>
      <c r="AJ427" s="1523"/>
    </row>
    <row r="428" spans="1:96" ht="12.75" customHeight="1">
      <c r="D428" s="1505" t="s">
        <v>1186</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69">
        <f>IF(ISERROR(AG427/AG426),"",AG427/AG426)</f>
        <v>1</v>
      </c>
      <c r="AH428" s="1569"/>
      <c r="AI428" s="1569"/>
      <c r="AJ428" s="1569"/>
    </row>
    <row r="429" spans="1:96" ht="12.75" customHeight="1">
      <c r="D429" s="1505" t="s">
        <v>1185</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50">
        <v>64342</v>
      </c>
      <c r="AH429" s="1450"/>
      <c r="AI429" s="1450"/>
      <c r="AJ429" s="1450"/>
    </row>
    <row r="430" spans="1:96" ht="12.75" customHeight="1">
      <c r="D430" s="1505" t="s">
        <v>1187</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50">
        <v>64342</v>
      </c>
      <c r="AH430" s="1450"/>
      <c r="AI430" s="1450"/>
      <c r="AJ430" s="1450"/>
    </row>
    <row r="431" spans="1:96" ht="12.75" customHeight="1">
      <c r="D431" s="1505" t="s">
        <v>1188</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69">
        <f>IF(ISERROR(AG430/AG429),"",AG430/AG429)</f>
        <v>1</v>
      </c>
      <c r="AH431" s="1569"/>
      <c r="AI431" s="1569"/>
      <c r="AJ431" s="1569"/>
    </row>
    <row r="432" spans="1:96" ht="12.75" customHeight="1">
      <c r="D432" s="1505" t="s">
        <v>1189</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5" t="s">
        <v>1459</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6"/>
      <c r="AG433" s="1450">
        <v>2469</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6"/>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1460</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6"/>
      <c r="AG435" s="1450">
        <v>890</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1190</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6"/>
      <c r="AG436" s="1450">
        <v>0</v>
      </c>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6" t="s">
        <v>1191</v>
      </c>
      <c r="E437" s="1557"/>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8"/>
      <c r="AG437" s="1524">
        <f>AG429+AG433+AG435+AG436</f>
        <v>67701</v>
      </c>
      <c r="AH437" s="1524"/>
      <c r="AI437" s="1524"/>
      <c r="AJ437" s="152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9" t="s">
        <v>1461</v>
      </c>
      <c r="E438" s="1559"/>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1559"/>
      <c r="AG438" s="1559"/>
      <c r="AH438" s="1559"/>
      <c r="AI438" s="1559"/>
      <c r="AJ438" s="15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1560"/>
      <c r="AG439" s="1560"/>
      <c r="AH439" s="1560"/>
      <c r="AI439" s="1560"/>
      <c r="AJ439" s="15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401711.69444444444</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401711.69444444444</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369867.02777777775</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1" t="s">
        <v>749</v>
      </c>
      <c r="E452" s="1452"/>
      <c r="F452" s="1452"/>
      <c r="G452" s="1452"/>
      <c r="H452" s="1452"/>
      <c r="I452" s="1452"/>
      <c r="J452" s="1452"/>
      <c r="K452" s="1452"/>
      <c r="L452" s="1452"/>
      <c r="M452" s="1452"/>
      <c r="N452" s="1452"/>
      <c r="O452" s="1452"/>
      <c r="P452" s="1452"/>
      <c r="Q452" s="1452"/>
      <c r="R452" s="1452"/>
      <c r="S452" s="1452"/>
      <c r="T452" s="1452"/>
      <c r="U452" s="1452"/>
      <c r="V452" s="1453"/>
      <c r="W452" s="1257" t="s">
        <v>642</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750</v>
      </c>
      <c r="E453" s="1452"/>
      <c r="F453" s="1452"/>
      <c r="G453" s="1452"/>
      <c r="H453" s="1452"/>
      <c r="I453" s="1452"/>
      <c r="J453" s="1452"/>
      <c r="K453" s="1452"/>
      <c r="L453" s="1452"/>
      <c r="M453" s="1452"/>
      <c r="N453" s="1452"/>
      <c r="O453" s="1452"/>
      <c r="P453" s="1452"/>
      <c r="Q453" s="1452"/>
      <c r="R453" s="1452"/>
      <c r="S453" s="1452"/>
      <c r="T453" s="1452"/>
      <c r="U453" s="1452"/>
      <c r="V453" s="1453"/>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751</v>
      </c>
      <c r="E454" s="1452"/>
      <c r="F454" s="1452"/>
      <c r="G454" s="1452"/>
      <c r="H454" s="1452"/>
      <c r="I454" s="1452"/>
      <c r="J454" s="1452"/>
      <c r="K454" s="1452"/>
      <c r="L454" s="1452"/>
      <c r="M454" s="1452"/>
      <c r="N454" s="1452"/>
      <c r="O454" s="1452"/>
      <c r="P454" s="1452"/>
      <c r="Q454" s="1452"/>
      <c r="R454" s="1452"/>
      <c r="S454" s="1452"/>
      <c r="T454" s="1452"/>
      <c r="U454" s="1452"/>
      <c r="V454" s="1453"/>
      <c r="W454" s="1257" t="s">
        <v>642</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1" t="s">
        <v>752</v>
      </c>
      <c r="E455" s="1452"/>
      <c r="F455" s="1452"/>
      <c r="G455" s="1452"/>
      <c r="H455" s="1452"/>
      <c r="I455" s="1452"/>
      <c r="J455" s="1452"/>
      <c r="K455" s="1452"/>
      <c r="L455" s="1452"/>
      <c r="M455" s="1452"/>
      <c r="N455" s="1452"/>
      <c r="O455" s="1452"/>
      <c r="P455" s="1452"/>
      <c r="Q455" s="1452"/>
      <c r="R455" s="1452"/>
      <c r="S455" s="1452"/>
      <c r="T455" s="1452"/>
      <c r="U455" s="1452"/>
      <c r="V455" s="1453"/>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1" t="s">
        <v>975</v>
      </c>
      <c r="E456" s="1452"/>
      <c r="F456" s="1452"/>
      <c r="G456" s="1452"/>
      <c r="H456" s="1452"/>
      <c r="I456" s="1452"/>
      <c r="J456" s="1452"/>
      <c r="K456" s="1452"/>
      <c r="L456" s="1452"/>
      <c r="M456" s="1452"/>
      <c r="N456" s="1452"/>
      <c r="O456" s="1452"/>
      <c r="P456" s="1452"/>
      <c r="Q456" s="1452"/>
      <c r="R456" s="1452"/>
      <c r="S456" s="1452"/>
      <c r="T456" s="1452"/>
      <c r="U456" s="1452"/>
      <c r="V456" s="1453"/>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1" t="s">
        <v>753</v>
      </c>
      <c r="E457" s="1452"/>
      <c r="F457" s="1452"/>
      <c r="G457" s="1452"/>
      <c r="H457" s="1452"/>
      <c r="I457" s="1452"/>
      <c r="J457" s="1452"/>
      <c r="K457" s="1452"/>
      <c r="L457" s="1452"/>
      <c r="M457" s="1452"/>
      <c r="N457" s="1452"/>
      <c r="O457" s="1452"/>
      <c r="P457" s="1452"/>
      <c r="Q457" s="1452"/>
      <c r="R457" s="1452"/>
      <c r="S457" s="1452"/>
      <c r="T457" s="1452"/>
      <c r="U457" s="1452"/>
      <c r="V457" s="1453"/>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1" t="s">
        <v>1156</v>
      </c>
      <c r="E458" s="1452"/>
      <c r="F458" s="1452"/>
      <c r="G458" s="1452"/>
      <c r="H458" s="1452"/>
      <c r="I458" s="1452"/>
      <c r="J458" s="1452"/>
      <c r="K458" s="1452"/>
      <c r="L458" s="1452"/>
      <c r="M458" s="1452"/>
      <c r="N458" s="1452"/>
      <c r="O458" s="1452"/>
      <c r="P458" s="1452"/>
      <c r="Q458" s="1452"/>
      <c r="R458" s="1452"/>
      <c r="S458" s="1452"/>
      <c r="T458" s="1452"/>
      <c r="U458" s="1452"/>
      <c r="V458" s="1453"/>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0"/>
      <c r="H459" s="1521"/>
      <c r="I459" s="1521"/>
      <c r="J459" s="1521"/>
      <c r="K459" s="1521"/>
      <c r="L459" s="1521"/>
      <c r="M459" s="1521"/>
      <c r="N459" s="1521"/>
      <c r="O459" s="1521"/>
      <c r="P459" s="1521"/>
      <c r="Q459" s="1521"/>
      <c r="R459" s="1521"/>
      <c r="S459" s="1521"/>
      <c r="T459" s="1521"/>
      <c r="U459" s="1521"/>
      <c r="V459" s="1522"/>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754</v>
      </c>
      <c r="E463" s="1456"/>
      <c r="F463" s="1456"/>
      <c r="G463" s="1456"/>
      <c r="H463" s="1456"/>
      <c r="I463" s="1456"/>
      <c r="J463" s="1456"/>
      <c r="K463" s="1456"/>
      <c r="L463" s="1456"/>
      <c r="M463" s="1456"/>
      <c r="N463" s="1456"/>
      <c r="O463" s="1456"/>
      <c r="P463" s="1456"/>
      <c r="Q463" s="1456"/>
      <c r="R463" s="1456"/>
      <c r="S463" s="1456"/>
      <c r="T463" s="1456"/>
      <c r="U463" s="1456"/>
      <c r="V463" s="1456"/>
      <c r="W463" s="1561"/>
      <c r="X463" s="1561"/>
      <c r="Y463" s="15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1" t="s">
        <v>755</v>
      </c>
      <c r="E464" s="1452"/>
      <c r="F464" s="1452"/>
      <c r="G464" s="1452"/>
      <c r="H464" s="1452"/>
      <c r="I464" s="1452"/>
      <c r="J464" s="1452"/>
      <c r="K464" s="1452"/>
      <c r="L464" s="1452"/>
      <c r="M464" s="1452"/>
      <c r="N464" s="1452"/>
      <c r="O464" s="1452"/>
      <c r="P464" s="1452"/>
      <c r="Q464" s="1452"/>
      <c r="R464" s="1452"/>
      <c r="S464" s="1452"/>
      <c r="T464" s="1452"/>
      <c r="U464" s="1452"/>
      <c r="V464" s="1453"/>
      <c r="W464" s="1257" t="s">
        <v>642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892</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893</v>
      </c>
      <c r="U471" s="1463"/>
      <c r="V471" s="1463"/>
      <c r="W471" s="1463"/>
      <c r="X471" s="1463"/>
      <c r="Y471" s="1463"/>
      <c r="Z471" s="1463"/>
      <c r="AA471" s="1463"/>
      <c r="AB471" s="1463"/>
      <c r="AC471" s="1463"/>
      <c r="AD471" s="1463"/>
      <c r="AE471" s="1463"/>
      <c r="AF471" s="1463"/>
      <c r="AG471" s="1463"/>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4">
        <v>42809</v>
      </c>
      <c r="U474" s="1454"/>
      <c r="V474" s="1454"/>
      <c r="W474" s="1454"/>
      <c r="X474" s="1454"/>
      <c r="Y474" s="1454">
        <v>0</v>
      </c>
      <c r="Z474" s="1454"/>
      <c r="AA474" s="1454"/>
      <c r="AB474" s="1454"/>
      <c r="AC474" s="1454"/>
      <c r="AD474" s="1454">
        <v>42870</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4" t="s">
        <v>642</v>
      </c>
      <c r="U475" s="1454"/>
      <c r="V475" s="1454"/>
      <c r="W475" s="1454"/>
      <c r="X475" s="1454"/>
      <c r="Y475" s="1454" t="s">
        <v>642</v>
      </c>
      <c r="Z475" s="1454"/>
      <c r="AA475" s="1454"/>
      <c r="AB475" s="1454"/>
      <c r="AC475" s="1454"/>
      <c r="AD475" s="1454"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4" t="s">
        <v>642</v>
      </c>
      <c r="U476" s="1454"/>
      <c r="V476" s="1454"/>
      <c r="W476" s="1454"/>
      <c r="X476" s="1454"/>
      <c r="Y476" s="1454" t="s">
        <v>642</v>
      </c>
      <c r="Z476" s="1454"/>
      <c r="AA476" s="1454"/>
      <c r="AB476" s="1454"/>
      <c r="AC476" s="1454"/>
      <c r="AD476" s="1454" t="s">
        <v>642</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4" t="s">
        <v>642</v>
      </c>
      <c r="U477" s="1454"/>
      <c r="V477" s="1454"/>
      <c r="W477" s="1454"/>
      <c r="X477" s="1454"/>
      <c r="Y477" s="1454" t="s">
        <v>642</v>
      </c>
      <c r="Z477" s="1454"/>
      <c r="AA477" s="1454"/>
      <c r="AB477" s="1454"/>
      <c r="AC477" s="1454"/>
      <c r="AD477" s="1454" t="s">
        <v>642</v>
      </c>
      <c r="AE477" s="1454"/>
      <c r="AF477" s="1454"/>
      <c r="AG477" s="1454"/>
      <c r="AH477" s="145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4" t="s">
        <v>642</v>
      </c>
      <c r="U478" s="1454"/>
      <c r="V478" s="1454"/>
      <c r="W478" s="1454"/>
      <c r="X478" s="1454"/>
      <c r="Y478" s="1454" t="s">
        <v>642</v>
      </c>
      <c r="Z478" s="1454"/>
      <c r="AA478" s="1454"/>
      <c r="AB478" s="1454"/>
      <c r="AC478" s="1454"/>
      <c r="AD478" s="1454"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4" t="s">
        <v>642</v>
      </c>
      <c r="U479" s="1454"/>
      <c r="V479" s="1454"/>
      <c r="W479" s="1454"/>
      <c r="X479" s="1454"/>
      <c r="Y479" s="1454" t="s">
        <v>642</v>
      </c>
      <c r="Z479" s="1454"/>
      <c r="AA479" s="1454"/>
      <c r="AB479" s="1454"/>
      <c r="AC479" s="1454"/>
      <c r="AD479" s="1454" t="s">
        <v>642</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4">
        <v>42809</v>
      </c>
      <c r="U480" s="1454"/>
      <c r="V480" s="1454"/>
      <c r="W480" s="1454"/>
      <c r="X480" s="1454"/>
      <c r="Y480" s="1454">
        <v>0</v>
      </c>
      <c r="Z480" s="1454"/>
      <c r="AA480" s="1454"/>
      <c r="AB480" s="1454"/>
      <c r="AC480" s="1454"/>
      <c r="AD480" s="1454">
        <v>42821</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4" t="s">
        <v>642</v>
      </c>
      <c r="U481" s="1454"/>
      <c r="V481" s="1454"/>
      <c r="W481" s="1454"/>
      <c r="X481" s="1454"/>
      <c r="Y481" s="1454" t="s">
        <v>642</v>
      </c>
      <c r="Z481" s="1454"/>
      <c r="AA481" s="1454"/>
      <c r="AB481" s="1454"/>
      <c r="AC481" s="1454"/>
      <c r="AD481" s="1454" t="s">
        <v>642</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4" t="s">
        <v>642</v>
      </c>
      <c r="U482" s="1454"/>
      <c r="V482" s="1454"/>
      <c r="W482" s="1454"/>
      <c r="X482" s="1454"/>
      <c r="Y482" s="1454" t="s">
        <v>642</v>
      </c>
      <c r="Z482" s="1454"/>
      <c r="AA482" s="1454"/>
      <c r="AB482" s="1454"/>
      <c r="AC482" s="1454"/>
      <c r="AD482" s="1454" t="s">
        <v>642</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4">
        <v>42809</v>
      </c>
      <c r="U483" s="1454"/>
      <c r="V483" s="1454"/>
      <c r="W483" s="1454"/>
      <c r="X483" s="1454"/>
      <c r="Y483" s="1454">
        <v>0</v>
      </c>
      <c r="Z483" s="1454"/>
      <c r="AA483" s="1454"/>
      <c r="AB483" s="1454"/>
      <c r="AC483" s="1454"/>
      <c r="AD483" s="1454">
        <v>42821</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1755</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7" t="s">
        <v>1756</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7" t="s">
        <v>1756</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7"/>
      <c r="C490" s="1468"/>
      <c r="D490" s="1468"/>
      <c r="E490" s="1468"/>
      <c r="F490" s="1468"/>
      <c r="G490" s="1468"/>
      <c r="H490" s="1468"/>
      <c r="I490" s="1468"/>
      <c r="J490" s="1468"/>
      <c r="K490" s="1468"/>
      <c r="L490" s="1468"/>
      <c r="M490" s="1468"/>
      <c r="N490" s="1468"/>
      <c r="O490" s="1468"/>
      <c r="P490" s="1469"/>
      <c r="Q490" s="1473" t="s">
        <v>722</v>
      </c>
      <c r="R490" s="1474"/>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7" t="s">
        <v>1757</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7" t="s">
        <v>1758</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t="s">
        <v>642</v>
      </c>
      <c r="AD500" s="1417"/>
      <c r="AE500" s="1417"/>
      <c r="AF500" s="1417"/>
      <c r="AG500" s="75" t="s">
        <v>438</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9</v>
      </c>
      <c r="AD501" s="1417"/>
      <c r="AE501" s="1417"/>
      <c r="AF501" s="1417"/>
      <c r="AG501" s="65" t="s">
        <v>438</v>
      </c>
      <c r="AH501" s="1225">
        <v>2020</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642</v>
      </c>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642</v>
      </c>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v>3</v>
      </c>
      <c r="AD504" s="1417"/>
      <c r="AE504" s="1417"/>
      <c r="AF504" s="1417"/>
      <c r="AG504" s="75" t="s">
        <v>438</v>
      </c>
      <c r="AH504" s="1225">
        <v>2017</v>
      </c>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v>9</v>
      </c>
      <c r="AD505" s="1417"/>
      <c r="AE505" s="1417"/>
      <c r="AF505" s="1417"/>
      <c r="AG505" s="75" t="s">
        <v>438</v>
      </c>
      <c r="AH505" s="1225">
        <v>2020</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9</v>
      </c>
      <c r="AD506" s="1417"/>
      <c r="AE506" s="1417"/>
      <c r="AF506" s="1417"/>
      <c r="AG506" s="65" t="s">
        <v>438</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v>12</v>
      </c>
      <c r="AD507" s="1417"/>
      <c r="AE507" s="1417"/>
      <c r="AF507" s="1417"/>
      <c r="AG507" s="75" t="s">
        <v>438</v>
      </c>
      <c r="AH507" s="1225">
        <v>2019</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1</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9</v>
      </c>
      <c r="AD509" s="1417"/>
      <c r="AE509" s="1417"/>
      <c r="AF509" s="1417"/>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69">
        <v>12</v>
      </c>
      <c r="AD510" s="1170"/>
      <c r="AE510" s="1170"/>
      <c r="AF510" s="1170"/>
      <c r="AG510" s="204" t="s">
        <v>438</v>
      </c>
      <c r="AH510" s="1225">
        <v>2019</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1</v>
      </c>
      <c r="AD511" s="1417"/>
      <c r="AE511" s="1417"/>
      <c r="AF511" s="141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3</v>
      </c>
      <c r="AD512" s="1417"/>
      <c r="AE512" s="1417"/>
      <c r="AF512" s="1417"/>
      <c r="AG512" s="65" t="s">
        <v>438</v>
      </c>
      <c r="AH512" s="1225">
        <v>2023</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20" t="s">
        <v>1759</v>
      </c>
      <c r="P513" s="1120"/>
      <c r="Q513" s="1120"/>
      <c r="R513" s="1120"/>
      <c r="S513" s="1120"/>
      <c r="T513" s="1120"/>
      <c r="U513" s="1120"/>
      <c r="V513" s="1120"/>
      <c r="W513" s="1120"/>
      <c r="X513" s="1120"/>
      <c r="Y513" s="1120"/>
      <c r="Z513" s="1120"/>
      <c r="AA513" s="1120"/>
      <c r="AB513" s="94"/>
      <c r="AC513" s="1169"/>
      <c r="AD513" s="1170"/>
      <c r="AE513" s="1170"/>
      <c r="AF513" s="1170"/>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v>12</v>
      </c>
      <c r="AD514" s="1417"/>
      <c r="AE514" s="1417"/>
      <c r="AF514" s="1417"/>
      <c r="AG514" s="75" t="s">
        <v>438</v>
      </c>
      <c r="AH514" s="1225">
        <v>2019</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v>12</v>
      </c>
      <c r="AD515" s="1417"/>
      <c r="AE515" s="1417"/>
      <c r="AF515" s="1417"/>
      <c r="AG515" s="65" t="s">
        <v>438</v>
      </c>
      <c r="AH515" s="1225">
        <v>2022</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098" t="s">
        <v>1760</v>
      </c>
      <c r="P516" s="1098"/>
      <c r="Q516" s="1098"/>
      <c r="R516" s="1098"/>
      <c r="S516" s="1098"/>
      <c r="T516" s="1098"/>
      <c r="U516" s="1098"/>
      <c r="V516" s="1098"/>
      <c r="W516" s="1098"/>
      <c r="X516" s="1098"/>
      <c r="Y516" s="1098"/>
      <c r="Z516" s="1098"/>
      <c r="AA516" s="1098"/>
      <c r="AC516" s="1458"/>
      <c r="AD516" s="1417"/>
      <c r="AE516" s="1417"/>
      <c r="AF516" s="141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v>6</v>
      </c>
      <c r="AD517" s="1417"/>
      <c r="AE517" s="1417"/>
      <c r="AF517" s="1417"/>
      <c r="AG517" s="75" t="s">
        <v>438</v>
      </c>
      <c r="AH517" s="1225">
        <v>2017</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v>9</v>
      </c>
      <c r="AD518" s="1417"/>
      <c r="AE518" s="1417"/>
      <c r="AF518" s="1417"/>
      <c r="AG518" s="65" t="s">
        <v>438</v>
      </c>
      <c r="AH518" s="1225">
        <v>2020</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098" t="s">
        <v>1761</v>
      </c>
      <c r="P519" s="1098"/>
      <c r="Q519" s="1098"/>
      <c r="R519" s="1098"/>
      <c r="S519" s="1098"/>
      <c r="T519" s="1098"/>
      <c r="U519" s="1098"/>
      <c r="V519" s="1098"/>
      <c r="W519" s="1098"/>
      <c r="X519" s="1098"/>
      <c r="Y519" s="1098"/>
      <c r="Z519" s="1098"/>
      <c r="AA519" s="1098"/>
      <c r="AC519" s="1458"/>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v>2</v>
      </c>
      <c r="AD520" s="1417"/>
      <c r="AE520" s="1417"/>
      <c r="AF520" s="1417"/>
      <c r="AG520" s="75" t="s">
        <v>438</v>
      </c>
      <c r="AH520" s="1225">
        <v>2019</v>
      </c>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v>9</v>
      </c>
      <c r="AD521" s="1417"/>
      <c r="AE521" s="1417"/>
      <c r="AF521" s="1417"/>
      <c r="AG521" s="65" t="s">
        <v>438</v>
      </c>
      <c r="AH521" s="1225">
        <v>2020</v>
      </c>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8" t="s">
        <v>642</v>
      </c>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642</v>
      </c>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642</v>
      </c>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8" t="s">
        <v>642</v>
      </c>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642</v>
      </c>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642</v>
      </c>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8" t="s">
        <v>642</v>
      </c>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642</v>
      </c>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642</v>
      </c>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611</v>
      </c>
      <c r="J531" s="72"/>
      <c r="K531" s="72"/>
      <c r="L531" s="72"/>
      <c r="M531" s="72"/>
      <c r="N531" s="72"/>
      <c r="O531" s="72"/>
      <c r="P531" s="72"/>
      <c r="Q531" s="72"/>
      <c r="R531" s="72"/>
      <c r="S531" s="72"/>
      <c r="T531" s="72"/>
      <c r="U531" s="72"/>
      <c r="V531" s="72"/>
      <c r="W531" s="72"/>
      <c r="X531" s="25"/>
      <c r="Y531" s="25"/>
      <c r="AC531" s="1458" t="s">
        <v>642</v>
      </c>
      <c r="AD531" s="1417"/>
      <c r="AE531" s="1417"/>
      <c r="AF531" s="1417"/>
      <c r="AG531" s="65" t="s">
        <v>438</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612</v>
      </c>
      <c r="J532" s="25"/>
      <c r="K532" s="25"/>
      <c r="L532" s="25"/>
      <c r="M532" s="25"/>
      <c r="N532" s="25"/>
      <c r="O532" s="25"/>
      <c r="P532" s="25"/>
      <c r="Q532" s="25"/>
      <c r="R532" s="25"/>
      <c r="S532" s="25"/>
      <c r="T532" s="25"/>
      <c r="U532" s="25"/>
      <c r="V532" s="25"/>
      <c r="W532" s="25"/>
      <c r="X532" s="25"/>
      <c r="Y532" s="25"/>
      <c r="AC532" s="1458">
        <v>9</v>
      </c>
      <c r="AD532" s="1417"/>
      <c r="AE532" s="1417"/>
      <c r="AF532" s="1417"/>
      <c r="AG532" s="75" t="s">
        <v>438</v>
      </c>
      <c r="AH532" s="1225">
        <v>2020</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613</v>
      </c>
      <c r="J533" s="25"/>
      <c r="K533" s="25"/>
      <c r="L533" s="25"/>
      <c r="M533" s="25"/>
      <c r="N533" s="25"/>
      <c r="O533" s="25"/>
      <c r="P533" s="25"/>
      <c r="Q533" s="25"/>
      <c r="R533" s="25"/>
      <c r="S533" s="25"/>
      <c r="T533" s="25"/>
      <c r="U533" s="25"/>
      <c r="V533" s="25"/>
      <c r="W533" s="25"/>
      <c r="X533" s="25"/>
      <c r="Y533" s="25"/>
      <c r="AC533" s="1458">
        <v>3</v>
      </c>
      <c r="AD533" s="1417"/>
      <c r="AE533" s="1417"/>
      <c r="AF533" s="1417"/>
      <c r="AG533" s="65" t="s">
        <v>438</v>
      </c>
      <c r="AH533" s="1225">
        <v>2022</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614</v>
      </c>
      <c r="J534" s="25"/>
      <c r="K534" s="25"/>
      <c r="L534" s="25"/>
      <c r="M534" s="25"/>
      <c r="N534" s="25"/>
      <c r="O534" s="25"/>
      <c r="P534" s="25"/>
      <c r="Q534" s="25"/>
      <c r="R534" s="25"/>
      <c r="S534" s="25"/>
      <c r="T534" s="25"/>
      <c r="U534" s="25"/>
      <c r="V534" s="25"/>
      <c r="W534" s="25"/>
      <c r="X534" s="25"/>
      <c r="Y534" s="25"/>
      <c r="AC534" s="1458">
        <v>3</v>
      </c>
      <c r="AD534" s="1417"/>
      <c r="AE534" s="1417"/>
      <c r="AF534" s="1417"/>
      <c r="AG534" s="65" t="s">
        <v>438</v>
      </c>
      <c r="AH534" s="1225">
        <v>2022</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496</v>
      </c>
      <c r="J535" s="80"/>
      <c r="K535" s="80"/>
      <c r="L535" s="80"/>
      <c r="M535" s="80"/>
      <c r="N535" s="80"/>
      <c r="O535" s="80"/>
      <c r="P535" s="80"/>
      <c r="Q535" s="80"/>
      <c r="R535" s="80"/>
      <c r="S535" s="80"/>
      <c r="T535" s="80"/>
      <c r="U535" s="80"/>
      <c r="V535" s="80"/>
      <c r="W535" s="80"/>
      <c r="X535" s="80"/>
      <c r="Y535" s="80"/>
      <c r="Z535" s="80"/>
      <c r="AA535" s="80"/>
      <c r="AB535" s="80"/>
      <c r="AC535" s="1458">
        <v>9</v>
      </c>
      <c r="AD535" s="1417"/>
      <c r="AE535" s="1417"/>
      <c r="AF535" s="1417"/>
      <c r="AG535" s="65" t="s">
        <v>438</v>
      </c>
      <c r="AH535" s="1225">
        <v>2022</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498</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499</v>
      </c>
      <c r="V544" s="1460"/>
      <c r="W544" s="1460"/>
      <c r="X544" s="1460"/>
      <c r="Y544" s="1461"/>
      <c r="Z544" s="1514" t="s">
        <v>1423</v>
      </c>
      <c r="AA544" s="1515"/>
      <c r="AB544" s="1515"/>
      <c r="AC544" s="1515"/>
      <c r="AD544" s="1516"/>
      <c r="AE544" s="1459" t="s">
        <v>500</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7" t="s">
        <v>1762</v>
      </c>
      <c r="D545" s="1103"/>
      <c r="E545" s="1103"/>
      <c r="F545" s="1103"/>
      <c r="G545" s="1103"/>
      <c r="H545" s="1103"/>
      <c r="I545" s="1103"/>
      <c r="J545" s="1103"/>
      <c r="K545" s="1103"/>
      <c r="L545" s="1103"/>
      <c r="M545" s="1103"/>
      <c r="N545" s="1103"/>
      <c r="O545" s="1228"/>
      <c r="P545" s="1224">
        <v>24</v>
      </c>
      <c r="Q545" s="1225"/>
      <c r="R545" s="1225"/>
      <c r="S545" s="1225"/>
      <c r="T545" s="1226"/>
      <c r="U545" s="1426">
        <v>4.4999999999999998E-2</v>
      </c>
      <c r="V545" s="1427"/>
      <c r="W545" s="1427"/>
      <c r="X545" s="1427"/>
      <c r="Y545" s="1428"/>
      <c r="Z545" s="1222" t="s">
        <v>1763</v>
      </c>
      <c r="AA545" s="1222"/>
      <c r="AB545" s="1222"/>
      <c r="AC545" s="1222"/>
      <c r="AD545" s="1223"/>
      <c r="AE545" s="1141">
        <v>16800000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7" t="s">
        <v>1764</v>
      </c>
      <c r="D546" s="1103"/>
      <c r="E546" s="1103"/>
      <c r="F546" s="1103"/>
      <c r="G546" s="1103"/>
      <c r="H546" s="1103"/>
      <c r="I546" s="1103"/>
      <c r="J546" s="1103"/>
      <c r="K546" s="1103"/>
      <c r="L546" s="1103"/>
      <c r="M546" s="1103"/>
      <c r="N546" s="1103"/>
      <c r="O546" s="1228"/>
      <c r="P546" s="1224">
        <v>24</v>
      </c>
      <c r="Q546" s="1225"/>
      <c r="R546" s="1225"/>
      <c r="S546" s="1225"/>
      <c r="T546" s="1226"/>
      <c r="U546" s="1426">
        <v>4.4999999999999998E-2</v>
      </c>
      <c r="V546" s="1427"/>
      <c r="W546" s="1427"/>
      <c r="X546" s="1427"/>
      <c r="Y546" s="1428"/>
      <c r="Z546" s="1222" t="s">
        <v>1763</v>
      </c>
      <c r="AA546" s="1222"/>
      <c r="AB546" s="1222"/>
      <c r="AC546" s="1222"/>
      <c r="AD546" s="1223"/>
      <c r="AE546" s="1141">
        <v>2200000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7" t="s">
        <v>1765</v>
      </c>
      <c r="D547" s="1103"/>
      <c r="E547" s="1103"/>
      <c r="F547" s="1103"/>
      <c r="G547" s="1103"/>
      <c r="H547" s="1103"/>
      <c r="I547" s="1103"/>
      <c r="J547" s="1103"/>
      <c r="K547" s="1103"/>
      <c r="L547" s="1103"/>
      <c r="M547" s="1103"/>
      <c r="N547" s="1103"/>
      <c r="O547" s="1228"/>
      <c r="P547" s="1224">
        <v>24</v>
      </c>
      <c r="Q547" s="1225"/>
      <c r="R547" s="1225"/>
      <c r="S547" s="1225"/>
      <c r="T547" s="1226"/>
      <c r="U547" s="1426">
        <v>1E-8</v>
      </c>
      <c r="V547" s="1427"/>
      <c r="W547" s="1427"/>
      <c r="X547" s="1427"/>
      <c r="Y547" s="1428"/>
      <c r="Z547" s="1222" t="s">
        <v>1763</v>
      </c>
      <c r="AA547" s="1222"/>
      <c r="AB547" s="1222"/>
      <c r="AC547" s="1222"/>
      <c r="AD547" s="1223"/>
      <c r="AE547" s="1141">
        <v>4680000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7" t="s">
        <v>1761</v>
      </c>
      <c r="D548" s="1103"/>
      <c r="E548" s="1103"/>
      <c r="F548" s="1103"/>
      <c r="G548" s="1103"/>
      <c r="H548" s="1103"/>
      <c r="I548" s="1103"/>
      <c r="J548" s="1103"/>
      <c r="K548" s="1103"/>
      <c r="L548" s="1103"/>
      <c r="M548" s="1103"/>
      <c r="N548" s="1103"/>
      <c r="O548" s="1228"/>
      <c r="P548" s="1224" t="s">
        <v>642</v>
      </c>
      <c r="Q548" s="1225"/>
      <c r="R548" s="1225"/>
      <c r="S548" s="1225"/>
      <c r="T548" s="1226"/>
      <c r="U548" s="1426" t="s">
        <v>642</v>
      </c>
      <c r="V548" s="1427"/>
      <c r="W548" s="1427"/>
      <c r="X548" s="1427"/>
      <c r="Y548" s="1428"/>
      <c r="Z548" s="1222" t="s">
        <v>642</v>
      </c>
      <c r="AA548" s="1222"/>
      <c r="AB548" s="1222"/>
      <c r="AC548" s="1222"/>
      <c r="AD548" s="1223"/>
      <c r="AE548" s="1141">
        <v>121545</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7" t="s">
        <v>1766</v>
      </c>
      <c r="D549" s="1103"/>
      <c r="E549" s="1103"/>
      <c r="F549" s="1103"/>
      <c r="G549" s="1103"/>
      <c r="H549" s="1103"/>
      <c r="I549" s="1103"/>
      <c r="J549" s="1103"/>
      <c r="K549" s="1103"/>
      <c r="L549" s="1103"/>
      <c r="M549" s="1103"/>
      <c r="N549" s="1103"/>
      <c r="O549" s="1228"/>
      <c r="P549" s="1224">
        <v>24</v>
      </c>
      <c r="Q549" s="1225"/>
      <c r="R549" s="1225"/>
      <c r="S549" s="1225"/>
      <c r="T549" s="1226"/>
      <c r="U549" s="1426">
        <v>1E-8</v>
      </c>
      <c r="V549" s="1427"/>
      <c r="W549" s="1427"/>
      <c r="X549" s="1427"/>
      <c r="Y549" s="1428"/>
      <c r="Z549" s="1222" t="s">
        <v>1763</v>
      </c>
      <c r="AA549" s="1222"/>
      <c r="AB549" s="1222"/>
      <c r="AC549" s="1222"/>
      <c r="AD549" s="1223"/>
      <c r="AE549" s="1141">
        <v>3473533</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7" t="s">
        <v>1767</v>
      </c>
      <c r="D550" s="1103"/>
      <c r="E550" s="1103"/>
      <c r="F550" s="1103"/>
      <c r="G550" s="1103"/>
      <c r="H550" s="1103"/>
      <c r="I550" s="1103"/>
      <c r="J550" s="1103"/>
      <c r="K550" s="1103"/>
      <c r="L550" s="1103"/>
      <c r="M550" s="1103"/>
      <c r="N550" s="1103"/>
      <c r="O550" s="1228"/>
      <c r="P550" s="1224" t="s">
        <v>642</v>
      </c>
      <c r="Q550" s="1225"/>
      <c r="R550" s="1225"/>
      <c r="S550" s="1225"/>
      <c r="T550" s="1226"/>
      <c r="U550" s="1426" t="s">
        <v>642</v>
      </c>
      <c r="V550" s="1427"/>
      <c r="W550" s="1427"/>
      <c r="X550" s="1427"/>
      <c r="Y550" s="1428"/>
      <c r="Z550" s="1222" t="s">
        <v>642</v>
      </c>
      <c r="AA550" s="1222"/>
      <c r="AB550" s="1222"/>
      <c r="AC550" s="1222"/>
      <c r="AD550" s="1223"/>
      <c r="AE550" s="1141">
        <v>292651</v>
      </c>
      <c r="AF550" s="1142"/>
      <c r="AG550" s="1142"/>
      <c r="AH550" s="1142"/>
      <c r="AI550" s="1142"/>
      <c r="AJ550" s="1142"/>
      <c r="AK550" s="114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27" t="s">
        <v>1768</v>
      </c>
      <c r="D551" s="1103"/>
      <c r="E551" s="1103"/>
      <c r="F551" s="1103"/>
      <c r="G551" s="1103"/>
      <c r="H551" s="1103"/>
      <c r="I551" s="1103"/>
      <c r="J551" s="1103"/>
      <c r="K551" s="1103"/>
      <c r="L551" s="1103"/>
      <c r="M551" s="1103"/>
      <c r="N551" s="1103"/>
      <c r="O551" s="1228"/>
      <c r="P551" s="1224" t="s">
        <v>642</v>
      </c>
      <c r="Q551" s="1225"/>
      <c r="R551" s="1225"/>
      <c r="S551" s="1225"/>
      <c r="T551" s="1226"/>
      <c r="U551" s="1426" t="s">
        <v>642</v>
      </c>
      <c r="V551" s="1427"/>
      <c r="W551" s="1427"/>
      <c r="X551" s="1427"/>
      <c r="Y551" s="1428"/>
      <c r="Z551" s="1222" t="s">
        <v>642</v>
      </c>
      <c r="AA551" s="1222"/>
      <c r="AB551" s="1222"/>
      <c r="AC551" s="1222"/>
      <c r="AD551" s="1223"/>
      <c r="AE551" s="1141">
        <v>1355513</v>
      </c>
      <c r="AF551" s="1142"/>
      <c r="AG551" s="1142"/>
      <c r="AH551" s="1142"/>
      <c r="AI551" s="1142"/>
      <c r="AJ551" s="1142"/>
      <c r="AK551" s="114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c r="D552" s="1103"/>
      <c r="E552" s="1103"/>
      <c r="F552" s="1103"/>
      <c r="G552" s="1103"/>
      <c r="H552" s="1103"/>
      <c r="I552" s="1103"/>
      <c r="J552" s="1103"/>
      <c r="K552" s="1103"/>
      <c r="L552" s="1103"/>
      <c r="M552" s="1103"/>
      <c r="N552" s="1103"/>
      <c r="O552" s="1228"/>
      <c r="P552" s="1224"/>
      <c r="Q552" s="1225"/>
      <c r="R552" s="1225"/>
      <c r="S552" s="1225"/>
      <c r="T552" s="1226"/>
      <c r="U552" s="1426"/>
      <c r="V552" s="1427"/>
      <c r="W552" s="1427"/>
      <c r="X552" s="1427"/>
      <c r="Y552" s="1428"/>
      <c r="Z552" s="1222"/>
      <c r="AA552" s="1222"/>
      <c r="AB552" s="1222"/>
      <c r="AC552" s="1222"/>
      <c r="AD552" s="1223"/>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c r="D553" s="1103"/>
      <c r="E553" s="1103"/>
      <c r="F553" s="1103"/>
      <c r="G553" s="1103"/>
      <c r="H553" s="1103"/>
      <c r="I553" s="1103"/>
      <c r="J553" s="1103"/>
      <c r="K553" s="1103"/>
      <c r="L553" s="1103"/>
      <c r="M553" s="1103"/>
      <c r="N553" s="1103"/>
      <c r="O553" s="1228"/>
      <c r="P553" s="1224"/>
      <c r="Q553" s="1225"/>
      <c r="R553" s="1225"/>
      <c r="S553" s="1225"/>
      <c r="T553" s="1226"/>
      <c r="U553" s="1426"/>
      <c r="V553" s="1427"/>
      <c r="W553" s="1427"/>
      <c r="X553" s="1427"/>
      <c r="Y553" s="1428"/>
      <c r="Z553" s="1222"/>
      <c r="AA553" s="1222"/>
      <c r="AB553" s="1222"/>
      <c r="AC553" s="1222"/>
      <c r="AD553" s="1223"/>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3"/>
      <c r="D554" s="1103"/>
      <c r="E554" s="1103"/>
      <c r="F554" s="1103"/>
      <c r="G554" s="1103"/>
      <c r="H554" s="1103"/>
      <c r="I554" s="1103"/>
      <c r="J554" s="1103"/>
      <c r="K554" s="1103"/>
      <c r="L554" s="1103"/>
      <c r="M554" s="1103"/>
      <c r="N554" s="1103"/>
      <c r="O554" s="1228"/>
      <c r="P554" s="1224"/>
      <c r="Q554" s="1225"/>
      <c r="R554" s="1225"/>
      <c r="S554" s="1225"/>
      <c r="T554" s="1226"/>
      <c r="U554" s="1426"/>
      <c r="V554" s="1427"/>
      <c r="W554" s="1427"/>
      <c r="X554" s="1427"/>
      <c r="Y554" s="1428"/>
      <c r="Z554" s="1222"/>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c r="D555" s="1103"/>
      <c r="E555" s="1103"/>
      <c r="F555" s="1103"/>
      <c r="G555" s="1103"/>
      <c r="H555" s="1103"/>
      <c r="I555" s="1103"/>
      <c r="J555" s="1103"/>
      <c r="K555" s="1103"/>
      <c r="L555" s="1103"/>
      <c r="M555" s="1103"/>
      <c r="N555" s="1103"/>
      <c r="O555" s="1228"/>
      <c r="P555" s="1224"/>
      <c r="Q555" s="1225"/>
      <c r="R555" s="1225"/>
      <c r="S555" s="1225"/>
      <c r="T555" s="1226"/>
      <c r="U555" s="1426"/>
      <c r="V555" s="1427"/>
      <c r="W555" s="1427"/>
      <c r="X555" s="1427"/>
      <c r="Y555" s="1428"/>
      <c r="Z555" s="1222"/>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c r="D556" s="1103"/>
      <c r="E556" s="1103"/>
      <c r="F556" s="1103"/>
      <c r="G556" s="1103"/>
      <c r="H556" s="1103"/>
      <c r="I556" s="1103"/>
      <c r="J556" s="1103"/>
      <c r="K556" s="1103"/>
      <c r="L556" s="1103"/>
      <c r="M556" s="1103"/>
      <c r="N556" s="1103"/>
      <c r="O556" s="1228"/>
      <c r="P556" s="1224"/>
      <c r="Q556" s="1225"/>
      <c r="R556" s="1225"/>
      <c r="S556" s="1225"/>
      <c r="T556" s="1226"/>
      <c r="U556" s="1426"/>
      <c r="V556" s="1427"/>
      <c r="W556" s="1427"/>
      <c r="X556" s="1427"/>
      <c r="Y556" s="1428"/>
      <c r="Z556" s="1222"/>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9">
        <f>SUM(AE545:AK556)</f>
        <v>28923242</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0" t="str">
        <f>C545</f>
        <v>California Bank &amp; Trust - Const. Loan (T.E. Bonds)</v>
      </c>
      <c r="H559" s="1100"/>
      <c r="I559" s="1100"/>
      <c r="J559" s="1100"/>
      <c r="K559" s="1100"/>
      <c r="L559" s="1100"/>
      <c r="M559" s="1100"/>
      <c r="N559" s="1100"/>
      <c r="O559" s="1100"/>
      <c r="P559" s="1100"/>
      <c r="Q559" s="1100"/>
      <c r="R559" s="1100"/>
      <c r="S559" s="14"/>
      <c r="T559" s="87" t="s">
        <v>120</v>
      </c>
      <c r="U559" s="12" t="s">
        <v>510</v>
      </c>
      <c r="Z559" s="1100" t="str">
        <f>C546</f>
        <v>California Bank &amp; Trust - Const. Loan (Taxable Bonds)</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1769</v>
      </c>
      <c r="H560" s="1098"/>
      <c r="I560" s="1098"/>
      <c r="J560" s="1098"/>
      <c r="K560" s="1098"/>
      <c r="L560" s="1098"/>
      <c r="M560" s="1098"/>
      <c r="N560" s="1098"/>
      <c r="O560" s="1098"/>
      <c r="P560" s="1098"/>
      <c r="Q560" s="1098"/>
      <c r="R560" s="1098"/>
      <c r="S560" s="14"/>
      <c r="T560" s="35"/>
      <c r="U560" s="12" t="s">
        <v>92</v>
      </c>
      <c r="Z560" s="1098" t="s">
        <v>1769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1770</v>
      </c>
      <c r="H561" s="1098"/>
      <c r="I561" s="1098"/>
      <c r="J561" s="1098"/>
      <c r="K561" s="1098"/>
      <c r="L561" s="1098"/>
      <c r="M561" s="1098"/>
      <c r="N561" s="1098"/>
      <c r="O561" s="1098"/>
      <c r="P561" s="1098"/>
      <c r="Q561" s="1098"/>
      <c r="R561" s="1098"/>
      <c r="S561" s="88"/>
      <c r="T561" s="35"/>
      <c r="U561" s="12" t="s">
        <v>631</v>
      </c>
      <c r="Z561" s="1120" t="s">
        <v>1770</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1771</v>
      </c>
      <c r="H562" s="1098"/>
      <c r="I562" s="1098"/>
      <c r="J562" s="1098"/>
      <c r="K562" s="1098"/>
      <c r="L562" s="1098"/>
      <c r="M562" s="1098"/>
      <c r="N562" s="1098"/>
      <c r="O562" s="1098"/>
      <c r="P562" s="1098"/>
      <c r="Q562" s="1098"/>
      <c r="R562" s="1098"/>
      <c r="S562" s="14"/>
      <c r="T562" s="35"/>
      <c r="U562" s="12" t="s">
        <v>19</v>
      </c>
      <c r="Z562" s="1120" t="s">
        <v>1771</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1772</v>
      </c>
      <c r="H563" s="1102"/>
      <c r="I563" s="1102"/>
      <c r="J563" s="1102"/>
      <c r="K563" s="1102"/>
      <c r="L563" s="1102"/>
      <c r="O563" s="140" t="s">
        <v>220</v>
      </c>
      <c r="P563" s="1103"/>
      <c r="Q563" s="1103"/>
      <c r="R563" s="1103"/>
      <c r="S563" s="16"/>
      <c r="T563" s="35"/>
      <c r="U563" s="12" t="s">
        <v>338</v>
      </c>
      <c r="Z563" s="1101" t="s">
        <v>1772</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1773</v>
      </c>
      <c r="I564" s="1098"/>
      <c r="J564" s="1098"/>
      <c r="K564" s="1098"/>
      <c r="L564" s="1098"/>
      <c r="M564" s="1098"/>
      <c r="N564" s="1098"/>
      <c r="O564" s="1098"/>
      <c r="P564" s="1098"/>
      <c r="Q564" s="1098"/>
      <c r="R564" s="1098"/>
      <c r="S564" s="14"/>
      <c r="T564" s="35"/>
      <c r="U564" s="12" t="s">
        <v>20</v>
      </c>
      <c r="AA564" s="1098" t="s">
        <v>1774</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19" t="s">
        <v>642</v>
      </c>
      <c r="N565" s="1519"/>
      <c r="O565" s="1519"/>
      <c r="P565" s="1519"/>
      <c r="Q565" s="1519"/>
      <c r="R565" s="1519"/>
      <c r="S565" s="14"/>
      <c r="T565" s="35"/>
      <c r="U565" s="530" t="s">
        <v>1424</v>
      </c>
      <c r="V565" s="743"/>
      <c r="W565" s="743"/>
      <c r="X565" s="743"/>
      <c r="Y565" s="743"/>
      <c r="Z565" s="743"/>
      <c r="AA565" s="14"/>
      <c r="AB565" s="14"/>
      <c r="AC565" s="14"/>
      <c r="AD565" s="14"/>
      <c r="AE565" s="14"/>
      <c r="AF565" s="1519" t="s">
        <v>642</v>
      </c>
      <c r="AG565" s="1519"/>
      <c r="AH565" s="1519"/>
      <c r="AI565" s="1519"/>
      <c r="AJ565" s="1519"/>
      <c r="AK565" s="151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City of Folsom - Aff. Hsg. Loan</v>
      </c>
      <c r="H568" s="1100"/>
      <c r="I568" s="1100"/>
      <c r="J568" s="1100"/>
      <c r="K568" s="1100"/>
      <c r="L568" s="1100"/>
      <c r="M568" s="1100"/>
      <c r="N568" s="1100"/>
      <c r="O568" s="1100"/>
      <c r="P568" s="1100"/>
      <c r="Q568" s="1100"/>
      <c r="R568" s="1100"/>
      <c r="T568" s="87" t="s">
        <v>632</v>
      </c>
      <c r="U568" s="12" t="s">
        <v>510</v>
      </c>
      <c r="Z568" s="1100" t="str">
        <f>C548</f>
        <v>County of Sacramento - Fee Waiver</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1649</v>
      </c>
      <c r="H569" s="1098"/>
      <c r="I569" s="1098"/>
      <c r="J569" s="1098"/>
      <c r="K569" s="1098"/>
      <c r="L569" s="1098"/>
      <c r="M569" s="1098"/>
      <c r="N569" s="1098"/>
      <c r="O569" s="1098"/>
      <c r="P569" s="1098"/>
      <c r="Q569" s="1098"/>
      <c r="R569" s="1098"/>
      <c r="T569" s="35"/>
      <c r="U569" s="12" t="s">
        <v>92</v>
      </c>
      <c r="Z569" s="1098" t="s">
        <v>1775</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0" t="s">
        <v>1776</v>
      </c>
      <c r="H570" s="1120"/>
      <c r="I570" s="1120"/>
      <c r="J570" s="1120"/>
      <c r="K570" s="1120"/>
      <c r="L570" s="1120"/>
      <c r="M570" s="1120"/>
      <c r="N570" s="1120"/>
      <c r="O570" s="1120"/>
      <c r="P570" s="1120"/>
      <c r="Q570" s="1120"/>
      <c r="R570" s="1120"/>
      <c r="T570" s="35"/>
      <c r="U570" s="12" t="s">
        <v>631</v>
      </c>
      <c r="Z570" s="1120" t="s">
        <v>1742</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1777</v>
      </c>
      <c r="H571" s="1120"/>
      <c r="I571" s="1120"/>
      <c r="J571" s="1120"/>
      <c r="K571" s="1120"/>
      <c r="L571" s="1120"/>
      <c r="M571" s="1120"/>
      <c r="N571" s="1120"/>
      <c r="O571" s="1120"/>
      <c r="P571" s="1120"/>
      <c r="Q571" s="1120"/>
      <c r="R571" s="1120"/>
      <c r="T571" s="35"/>
      <c r="U571" s="12" t="s">
        <v>19</v>
      </c>
      <c r="Z571" s="1120" t="s">
        <v>1782</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1778</v>
      </c>
      <c r="H572" s="1102"/>
      <c r="I572" s="1102"/>
      <c r="J572" s="1102"/>
      <c r="K572" s="1102"/>
      <c r="L572" s="1102"/>
      <c r="O572" s="140" t="s">
        <v>220</v>
      </c>
      <c r="P572" s="1103"/>
      <c r="Q572" s="1103"/>
      <c r="R572" s="1103"/>
      <c r="T572" s="35"/>
      <c r="U572" s="12" t="s">
        <v>338</v>
      </c>
      <c r="Z572" s="1101" t="s">
        <v>1779</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1780</v>
      </c>
      <c r="I573" s="1098"/>
      <c r="J573" s="1098"/>
      <c r="K573" s="1098"/>
      <c r="L573" s="1098"/>
      <c r="M573" s="1098"/>
      <c r="N573" s="1098"/>
      <c r="O573" s="1098"/>
      <c r="P573" s="1098"/>
      <c r="Q573" s="1098"/>
      <c r="R573" s="1098"/>
      <c r="T573" s="35"/>
      <c r="U573" s="12" t="s">
        <v>20</v>
      </c>
      <c r="AA573" s="1098" t="s">
        <v>1781</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510</v>
      </c>
      <c r="G576" s="1100" t="str">
        <f>C549</f>
        <v xml:space="preserve">Pacific West Communities, Inc. - DDF </v>
      </c>
      <c r="H576" s="1100"/>
      <c r="I576" s="1100"/>
      <c r="J576" s="1100"/>
      <c r="K576" s="1100"/>
      <c r="L576" s="1100"/>
      <c r="M576" s="1100"/>
      <c r="N576" s="1100"/>
      <c r="O576" s="1100"/>
      <c r="P576" s="1100"/>
      <c r="Q576" s="1100"/>
      <c r="R576" s="1100"/>
      <c r="T576" s="87" t="s">
        <v>635</v>
      </c>
      <c r="U576" s="12" t="s">
        <v>510</v>
      </c>
      <c r="Z576" s="1100" t="str">
        <f>C550</f>
        <v xml:space="preserve">Folsom Pacific Assoc. - Def. Costs </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1658</v>
      </c>
      <c r="H577" s="1098"/>
      <c r="I577" s="1098"/>
      <c r="J577" s="1098"/>
      <c r="K577" s="1098"/>
      <c r="L577" s="1098"/>
      <c r="M577" s="1098"/>
      <c r="N577" s="1098"/>
      <c r="O577" s="1098"/>
      <c r="P577" s="1098"/>
      <c r="Q577" s="1098"/>
      <c r="R577" s="1098"/>
      <c r="T577" s="35"/>
      <c r="U577" s="12" t="s">
        <v>92</v>
      </c>
      <c r="Z577" s="1098" t="s">
        <v>1658</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t="s">
        <v>1687</v>
      </c>
      <c r="H578" s="1098"/>
      <c r="I578" s="1098"/>
      <c r="J578" s="1098"/>
      <c r="K578" s="1098"/>
      <c r="L578" s="1098"/>
      <c r="M578" s="1098"/>
      <c r="N578" s="1098"/>
      <c r="O578" s="1098"/>
      <c r="P578" s="1098"/>
      <c r="Q578" s="1098"/>
      <c r="R578" s="1098"/>
      <c r="T578" s="35"/>
      <c r="U578" s="12" t="s">
        <v>631</v>
      </c>
      <c r="Z578" s="1120" t="s">
        <v>1687</v>
      </c>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1645</v>
      </c>
      <c r="H579" s="1098"/>
      <c r="I579" s="1098"/>
      <c r="J579" s="1098"/>
      <c r="K579" s="1098"/>
      <c r="L579" s="1098"/>
      <c r="M579" s="1098"/>
      <c r="N579" s="1098"/>
      <c r="O579" s="1098"/>
      <c r="P579" s="1098"/>
      <c r="Q579" s="1098"/>
      <c r="R579" s="1098"/>
      <c r="T579" s="35"/>
      <c r="U579" s="12" t="s">
        <v>19</v>
      </c>
      <c r="Z579" s="1120" t="s">
        <v>1645</v>
      </c>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t="s">
        <v>1661</v>
      </c>
      <c r="H580" s="1102"/>
      <c r="I580" s="1102"/>
      <c r="J580" s="1102"/>
      <c r="K580" s="1102"/>
      <c r="L580" s="1102"/>
      <c r="O580" s="140" t="s">
        <v>220</v>
      </c>
      <c r="P580" s="1103">
        <v>3015</v>
      </c>
      <c r="Q580" s="1103"/>
      <c r="R580" s="1103"/>
      <c r="T580" s="35"/>
      <c r="U580" s="12" t="s">
        <v>338</v>
      </c>
      <c r="Z580" s="1101" t="s">
        <v>1661</v>
      </c>
      <c r="AA580" s="1102"/>
      <c r="AB580" s="1102"/>
      <c r="AC580" s="1102"/>
      <c r="AD580" s="1102"/>
      <c r="AE580" s="1102"/>
      <c r="AH580" s="140" t="s">
        <v>220</v>
      </c>
      <c r="AI580" s="1103">
        <v>3015</v>
      </c>
      <c r="AJ580" s="1103"/>
      <c r="AK580" s="1103"/>
    </row>
    <row r="581" spans="1:112" ht="12.75">
      <c r="A581" s="35"/>
      <c r="B581" s="12" t="s">
        <v>20</v>
      </c>
      <c r="H581" s="1098" t="s">
        <v>1783</v>
      </c>
      <c r="I581" s="1098"/>
      <c r="J581" s="1098"/>
      <c r="K581" s="1098"/>
      <c r="L581" s="1098"/>
      <c r="M581" s="1098"/>
      <c r="N581" s="1098"/>
      <c r="O581" s="1098"/>
      <c r="P581" s="1098"/>
      <c r="Q581" s="1098"/>
      <c r="R581" s="1098"/>
      <c r="T581" s="35"/>
      <c r="U581" s="12" t="s">
        <v>20</v>
      </c>
      <c r="AA581" s="1098" t="s">
        <v>1784</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592</v>
      </c>
      <c r="O582" s="1099"/>
      <c r="T582" s="35"/>
      <c r="U582" s="12" t="s">
        <v>22</v>
      </c>
      <c r="AG582" s="1099" t="s">
        <v>592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t="str">
        <f>C551</f>
        <v>Boston Capital - LIHTC Equity</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t="s">
        <v>1714</v>
      </c>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t="s">
        <v>1716</v>
      </c>
      <c r="H586" s="1098"/>
      <c r="I586" s="1098"/>
      <c r="J586" s="1098"/>
      <c r="K586" s="1098"/>
      <c r="L586" s="1098"/>
      <c r="M586" s="1098"/>
      <c r="N586" s="1098"/>
      <c r="O586" s="1098"/>
      <c r="P586" s="1098"/>
      <c r="Q586" s="1098"/>
      <c r="R586" s="1098"/>
      <c r="S586" s="12"/>
      <c r="T586" s="35"/>
      <c r="U586" s="12" t="s">
        <v>631</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t="s">
        <v>1718</v>
      </c>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t="s">
        <v>1720</v>
      </c>
      <c r="H588" s="1102"/>
      <c r="I588" s="1102"/>
      <c r="J588" s="1102"/>
      <c r="K588" s="1102"/>
      <c r="L588" s="1102"/>
      <c r="M588" s="12"/>
      <c r="N588" s="12"/>
      <c r="O588" s="140" t="s">
        <v>220</v>
      </c>
      <c r="P588" s="1103"/>
      <c r="Q588" s="1103"/>
      <c r="R588" s="1103"/>
      <c r="S588" s="12"/>
      <c r="T588" s="35"/>
      <c r="U588" s="12" t="s">
        <v>338</v>
      </c>
      <c r="V588" s="12"/>
      <c r="W588" s="12"/>
      <c r="X588" s="12"/>
      <c r="Y588" s="12"/>
      <c r="Z588" s="1102"/>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521</v>
      </c>
      <c r="AS588" s="194"/>
      <c r="AT588" s="1133"/>
      <c r="AU588" s="1135"/>
      <c r="AV588" s="193" t="s">
        <v>522</v>
      </c>
      <c r="AW588" s="194"/>
      <c r="AX588" s="1133"/>
      <c r="AY588" s="1135"/>
      <c r="AZ588" s="58"/>
      <c r="BA588" s="1217" t="s">
        <v>683</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507</v>
      </c>
      <c r="BV588" s="1203"/>
      <c r="BW588" s="1203"/>
      <c r="BX588" s="1203"/>
      <c r="BY588" s="1203"/>
      <c r="BZ588" s="1203" t="s">
        <v>33</v>
      </c>
      <c r="CA588" s="1203"/>
      <c r="CB588" s="1203"/>
      <c r="CC588" s="1203"/>
      <c r="CD588" s="1203"/>
      <c r="CE588" s="1203" t="s">
        <v>683</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507</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8" t="s">
        <v>1785</v>
      </c>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17">
        <f t="shared" ref="AR589:AR613" si="0">IF(AND(AD709&lt;=0.5,AD709&gt;=0.36),1,0)</f>
        <v>0</v>
      </c>
      <c r="AS589" s="1518"/>
      <c r="AT589" s="1133">
        <f t="shared" ref="AT589:AT613" si="1">IF(AR589=1,G709,0)</f>
        <v>0</v>
      </c>
      <c r="AU589" s="1135"/>
      <c r="AV589" s="1517">
        <f t="shared" ref="AV589:AV613" si="2">IF(AND(AD709&lt;=0.35,AD709&gt;0),1,0)</f>
        <v>1</v>
      </c>
      <c r="AW589" s="1518"/>
      <c r="AX589" s="1133">
        <f t="shared" ref="AX589:AX613" si="3">IF(AV589=1,G709,0)</f>
        <v>1</v>
      </c>
      <c r="AY589" s="1135"/>
      <c r="AZ589" s="58"/>
      <c r="BA589" s="1133">
        <f t="shared" ref="BA589:BA613" si="4">IF(B709="SRO/Studio",G709,0)</f>
        <v>0</v>
      </c>
      <c r="BB589" s="1134"/>
      <c r="BC589" s="1134"/>
      <c r="BD589" s="1134"/>
      <c r="BE589" s="1135"/>
      <c r="BF589" s="1200">
        <f t="shared" ref="BF589:BF613" si="5">IF(B709="1 Bedroom",G709,0)</f>
        <v>1</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1</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9" t="s">
        <v>722</v>
      </c>
      <c r="O590" s="1099"/>
      <c r="P590" s="12"/>
      <c r="Q590" s="12"/>
      <c r="R590" s="12"/>
      <c r="S590" s="12"/>
      <c r="T590" s="35"/>
      <c r="U590" s="12" t="s">
        <v>22</v>
      </c>
      <c r="V590" s="12"/>
      <c r="W590" s="12"/>
      <c r="X590" s="12"/>
      <c r="Y590" s="12"/>
      <c r="Z590" s="12"/>
      <c r="AA590" s="12"/>
      <c r="AB590" s="12"/>
      <c r="AC590" s="12"/>
      <c r="AD590" s="12"/>
      <c r="AE590" s="12"/>
      <c r="AF590" s="12"/>
      <c r="AG590" s="1099" t="s">
        <v>722</v>
      </c>
      <c r="AH590" s="1099"/>
      <c r="AI590" s="12"/>
      <c r="AJ590" s="12"/>
      <c r="AK590" s="12"/>
      <c r="AL590" s="12"/>
      <c r="AM590" s="7" t="s">
        <v>170</v>
      </c>
      <c r="AN590" s="58"/>
      <c r="AO590" s="58"/>
      <c r="AP590" s="58"/>
      <c r="AQ590" s="58"/>
      <c r="AR590" s="1517">
        <f t="shared" si="0"/>
        <v>1</v>
      </c>
      <c r="AS590" s="1518"/>
      <c r="AT590" s="1133">
        <f t="shared" si="1"/>
        <v>11</v>
      </c>
      <c r="AU590" s="1135"/>
      <c r="AV590" s="1517">
        <f t="shared" si="2"/>
        <v>0</v>
      </c>
      <c r="AW590" s="1518"/>
      <c r="AX590" s="1133">
        <f t="shared" si="3"/>
        <v>0</v>
      </c>
      <c r="AY590" s="1135"/>
      <c r="AZ590" s="58"/>
      <c r="BA590" s="1133">
        <f t="shared" si="4"/>
        <v>0</v>
      </c>
      <c r="BB590" s="1134"/>
      <c r="BC590" s="1134"/>
      <c r="BD590" s="1134"/>
      <c r="BE590" s="1135"/>
      <c r="BF590" s="1200">
        <f t="shared" si="5"/>
        <v>11</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17">
        <f t="shared" si="0"/>
        <v>0</v>
      </c>
      <c r="AS591" s="1518"/>
      <c r="AT591" s="1133">
        <f t="shared" si="1"/>
        <v>0</v>
      </c>
      <c r="AU591" s="1135"/>
      <c r="AV591" s="1517">
        <f t="shared" si="2"/>
        <v>0</v>
      </c>
      <c r="AW591" s="1518"/>
      <c r="AX591" s="1133">
        <f t="shared" si="3"/>
        <v>0</v>
      </c>
      <c r="AY591" s="1135"/>
      <c r="AZ591" s="58"/>
      <c r="BA591" s="1133">
        <f t="shared" si="4"/>
        <v>0</v>
      </c>
      <c r="BB591" s="1134"/>
      <c r="BC591" s="1134"/>
      <c r="BD591" s="1134"/>
      <c r="BE591" s="1135"/>
      <c r="BF591" s="1200">
        <f t="shared" si="5"/>
        <v>6</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508</v>
      </c>
      <c r="B592" s="12" t="s">
        <v>510</v>
      </c>
      <c r="G592" s="1100">
        <f>C553</f>
        <v>0</v>
      </c>
      <c r="H592" s="1100"/>
      <c r="I592" s="1100"/>
      <c r="J592" s="1100"/>
      <c r="K592" s="1100"/>
      <c r="L592" s="1100"/>
      <c r="M592" s="1100"/>
      <c r="N592" s="1100"/>
      <c r="O592" s="1100"/>
      <c r="P592" s="1100"/>
      <c r="Q592" s="1100"/>
      <c r="R592" s="1100"/>
      <c r="T592" s="87" t="s">
        <v>696</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7">
        <f t="shared" si="0"/>
        <v>0</v>
      </c>
      <c r="AS592" s="1518"/>
      <c r="AT592" s="1133">
        <f t="shared" si="1"/>
        <v>0</v>
      </c>
      <c r="AU592" s="1135"/>
      <c r="AV592" s="1517">
        <f t="shared" si="2"/>
        <v>1</v>
      </c>
      <c r="AW592" s="1518"/>
      <c r="AX592" s="1133">
        <f t="shared" si="3"/>
        <v>2</v>
      </c>
      <c r="AY592" s="1135"/>
      <c r="AZ592" s="58"/>
      <c r="BA592" s="1133">
        <f t="shared" si="4"/>
        <v>0</v>
      </c>
      <c r="BB592" s="1134"/>
      <c r="BC592" s="1134"/>
      <c r="BD592" s="1134"/>
      <c r="BE592" s="1135"/>
      <c r="BF592" s="1200">
        <f t="shared" si="5"/>
        <v>0</v>
      </c>
      <c r="BG592" s="1200"/>
      <c r="BH592" s="1200"/>
      <c r="BI592" s="1200"/>
      <c r="BJ592" s="1200"/>
      <c r="BK592" s="1200">
        <f t="shared" si="6"/>
        <v>2</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2</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7">
        <f t="shared" si="0"/>
        <v>1</v>
      </c>
      <c r="AS593" s="1518"/>
      <c r="AT593" s="1133">
        <f t="shared" si="1"/>
        <v>20</v>
      </c>
      <c r="AU593" s="1135"/>
      <c r="AV593" s="1517">
        <f t="shared" si="2"/>
        <v>0</v>
      </c>
      <c r="AW593" s="1518"/>
      <c r="AX593" s="1133">
        <f t="shared" si="3"/>
        <v>0</v>
      </c>
      <c r="AY593" s="1135"/>
      <c r="AZ593" s="58"/>
      <c r="BA593" s="1133">
        <f t="shared" si="4"/>
        <v>0</v>
      </c>
      <c r="BB593" s="1134"/>
      <c r="BC593" s="1134"/>
      <c r="BD593" s="1134"/>
      <c r="BE593" s="1135"/>
      <c r="BF593" s="1200">
        <f t="shared" si="5"/>
        <v>0</v>
      </c>
      <c r="BG593" s="1200"/>
      <c r="BH593" s="1200"/>
      <c r="BI593" s="1200"/>
      <c r="BJ593" s="1200"/>
      <c r="BK593" s="1200">
        <f t="shared" si="6"/>
        <v>20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631</v>
      </c>
      <c r="G594" s="1098"/>
      <c r="H594" s="1098"/>
      <c r="I594" s="1098"/>
      <c r="J594" s="1098"/>
      <c r="K594" s="1098"/>
      <c r="L594" s="1098"/>
      <c r="M594" s="1098"/>
      <c r="N594" s="1098"/>
      <c r="O594" s="1098"/>
      <c r="P594" s="1098"/>
      <c r="Q594" s="1098"/>
      <c r="R594" s="1098"/>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17">
        <f t="shared" si="0"/>
        <v>0</v>
      </c>
      <c r="AS594" s="1518"/>
      <c r="AT594" s="1133">
        <f t="shared" si="1"/>
        <v>0</v>
      </c>
      <c r="AU594" s="1135"/>
      <c r="AV594" s="1517">
        <f t="shared" si="2"/>
        <v>0</v>
      </c>
      <c r="AW594" s="1518"/>
      <c r="AX594" s="1133">
        <f t="shared" si="3"/>
        <v>0</v>
      </c>
      <c r="AY594" s="1135"/>
      <c r="AZ594" s="58"/>
      <c r="BA594" s="1133">
        <f t="shared" si="4"/>
        <v>0</v>
      </c>
      <c r="BB594" s="1134"/>
      <c r="BC594" s="1134"/>
      <c r="BD594" s="1134"/>
      <c r="BE594" s="1135"/>
      <c r="BF594" s="1200">
        <f t="shared" si="5"/>
        <v>0</v>
      </c>
      <c r="BG594" s="1200"/>
      <c r="BH594" s="1200"/>
      <c r="BI594" s="1200"/>
      <c r="BJ594" s="1200"/>
      <c r="BK594" s="1200">
        <f t="shared" si="6"/>
        <v>13</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17">
        <f t="shared" si="0"/>
        <v>0</v>
      </c>
      <c r="AS595" s="1518"/>
      <c r="AT595" s="1133">
        <f t="shared" si="1"/>
        <v>0</v>
      </c>
      <c r="AU595" s="1135"/>
      <c r="AV595" s="1517">
        <f t="shared" si="2"/>
        <v>1</v>
      </c>
      <c r="AW595" s="1518"/>
      <c r="AX595" s="1133">
        <f t="shared" si="3"/>
        <v>1</v>
      </c>
      <c r="AY595" s="1135"/>
      <c r="AZ595" s="58"/>
      <c r="BA595" s="1133">
        <f t="shared" si="4"/>
        <v>0</v>
      </c>
      <c r="BB595" s="1134"/>
      <c r="BC595" s="1134"/>
      <c r="BD595" s="1134"/>
      <c r="BE595" s="1135"/>
      <c r="BF595" s="1200">
        <f t="shared" si="5"/>
        <v>0</v>
      </c>
      <c r="BG595" s="1200"/>
      <c r="BH595" s="1200"/>
      <c r="BI595" s="1200"/>
      <c r="BJ595" s="1200"/>
      <c r="BK595" s="1200">
        <f t="shared" si="6"/>
        <v>0</v>
      </c>
      <c r="BL595" s="1200"/>
      <c r="BM595" s="1200"/>
      <c r="BN595" s="1200"/>
      <c r="BO595" s="1200"/>
      <c r="BP595" s="1200">
        <f t="shared" si="7"/>
        <v>1</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1</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2"/>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17">
        <f t="shared" si="0"/>
        <v>1</v>
      </c>
      <c r="AS596" s="1518"/>
      <c r="AT596" s="1133">
        <f t="shared" si="1"/>
        <v>10</v>
      </c>
      <c r="AU596" s="1135"/>
      <c r="AV596" s="1517">
        <f t="shared" si="2"/>
        <v>0</v>
      </c>
      <c r="AW596" s="1518"/>
      <c r="AX596" s="1133">
        <f t="shared" si="3"/>
        <v>0</v>
      </c>
      <c r="AY596" s="1135"/>
      <c r="AZ596" s="58"/>
      <c r="BA596" s="1133">
        <f t="shared" si="4"/>
        <v>0</v>
      </c>
      <c r="BB596" s="1134"/>
      <c r="BC596" s="1134"/>
      <c r="BD596" s="1134"/>
      <c r="BE596" s="1135"/>
      <c r="BF596" s="1200">
        <f t="shared" si="5"/>
        <v>0</v>
      </c>
      <c r="BG596" s="1200"/>
      <c r="BH596" s="1200"/>
      <c r="BI596" s="1200"/>
      <c r="BJ596" s="1200"/>
      <c r="BK596" s="1200">
        <f t="shared" si="6"/>
        <v>0</v>
      </c>
      <c r="BL596" s="1200"/>
      <c r="BM596" s="1200"/>
      <c r="BN596" s="1200"/>
      <c r="BO596" s="1200"/>
      <c r="BP596" s="1200">
        <f t="shared" si="7"/>
        <v>10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7">
        <f t="shared" si="0"/>
        <v>0</v>
      </c>
      <c r="AS597" s="1518"/>
      <c r="AT597" s="1133">
        <f t="shared" si="1"/>
        <v>0</v>
      </c>
      <c r="AU597" s="1135"/>
      <c r="AV597" s="1517">
        <f t="shared" si="2"/>
        <v>0</v>
      </c>
      <c r="AW597" s="1518"/>
      <c r="AX597" s="1133">
        <f t="shared" si="3"/>
        <v>0</v>
      </c>
      <c r="AY597" s="1135"/>
      <c r="AZ597" s="58"/>
      <c r="BA597" s="1133">
        <f t="shared" si="4"/>
        <v>0</v>
      </c>
      <c r="BB597" s="1134"/>
      <c r="BC597" s="1134"/>
      <c r="BD597" s="1134"/>
      <c r="BE597" s="1135"/>
      <c r="BF597" s="1200">
        <f t="shared" si="5"/>
        <v>0</v>
      </c>
      <c r="BG597" s="1200"/>
      <c r="BH597" s="1200"/>
      <c r="BI597" s="1200"/>
      <c r="BJ597" s="1200"/>
      <c r="BK597" s="1200">
        <f t="shared" si="6"/>
        <v>0</v>
      </c>
      <c r="BL597" s="1200"/>
      <c r="BM597" s="1200"/>
      <c r="BN597" s="1200"/>
      <c r="BO597" s="1200"/>
      <c r="BP597" s="1200">
        <f t="shared" si="7"/>
        <v>7</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9" t="s">
        <v>722</v>
      </c>
      <c r="O598" s="1099"/>
      <c r="P598" s="12"/>
      <c r="Q598" s="12"/>
      <c r="R598" s="12"/>
      <c r="S598" s="12"/>
      <c r="T598" s="35"/>
      <c r="U598" s="12" t="s">
        <v>22</v>
      </c>
      <c r="V598" s="12"/>
      <c r="W598" s="12"/>
      <c r="X598" s="12"/>
      <c r="Y598" s="12"/>
      <c r="Z598" s="12"/>
      <c r="AA598" s="12"/>
      <c r="AB598" s="12"/>
      <c r="AC598" s="12"/>
      <c r="AD598" s="12"/>
      <c r="AE598" s="12"/>
      <c r="AF598" s="12"/>
      <c r="AG598" s="1099" t="s">
        <v>722</v>
      </c>
      <c r="AH598" s="1099"/>
      <c r="AI598" s="12"/>
      <c r="AJ598" s="12"/>
      <c r="AK598" s="12"/>
      <c r="AL598" s="12"/>
      <c r="AM598" s="58"/>
      <c r="AN598" s="58"/>
      <c r="AO598" s="58"/>
      <c r="AP598" s="58"/>
      <c r="AQ598" s="58"/>
      <c r="AR598" s="1517">
        <f t="shared" si="0"/>
        <v>0</v>
      </c>
      <c r="AS598" s="1518"/>
      <c r="AT598" s="1133">
        <f t="shared" si="1"/>
        <v>0</v>
      </c>
      <c r="AU598" s="1135"/>
      <c r="AV598" s="1517">
        <f t="shared" si="2"/>
        <v>0</v>
      </c>
      <c r="AW598" s="1518"/>
      <c r="AX598" s="1133">
        <f t="shared" si="3"/>
        <v>0</v>
      </c>
      <c r="AY598" s="1135"/>
      <c r="AZ598" s="58"/>
      <c r="BA598" s="1133">
        <f t="shared" si="4"/>
        <v>0</v>
      </c>
      <c r="BB598" s="1134"/>
      <c r="BC598" s="1134"/>
      <c r="BD598" s="1134"/>
      <c r="BE598" s="1135"/>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0</v>
      </c>
      <c r="AS599" s="1518"/>
      <c r="AT599" s="1133">
        <f t="shared" si="1"/>
        <v>0</v>
      </c>
      <c r="AU599" s="1135"/>
      <c r="AV599" s="1517">
        <f t="shared" si="2"/>
        <v>0</v>
      </c>
      <c r="AW599" s="1518"/>
      <c r="AX599" s="1133">
        <f t="shared" si="3"/>
        <v>0</v>
      </c>
      <c r="AY599" s="1135"/>
      <c r="AZ599" s="58"/>
      <c r="BA599" s="1133">
        <f t="shared" si="4"/>
        <v>0</v>
      </c>
      <c r="BB599" s="1134"/>
      <c r="BC599" s="1134"/>
      <c r="BD599" s="1134"/>
      <c r="BE599" s="1135"/>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17">
        <f t="shared" si="0"/>
        <v>0</v>
      </c>
      <c r="AS600" s="1518"/>
      <c r="AT600" s="1133">
        <f t="shared" si="1"/>
        <v>0</v>
      </c>
      <c r="AU600" s="1135"/>
      <c r="AV600" s="1517">
        <f t="shared" si="2"/>
        <v>0</v>
      </c>
      <c r="AW600" s="1518"/>
      <c r="AX600" s="1133">
        <f t="shared" si="3"/>
        <v>0</v>
      </c>
      <c r="AY600" s="1135"/>
      <c r="AZ600" s="58"/>
      <c r="BA600" s="1133">
        <f t="shared" si="4"/>
        <v>0</v>
      </c>
      <c r="BB600" s="1134"/>
      <c r="BC600" s="1134"/>
      <c r="BD600" s="1134"/>
      <c r="BE600" s="1135"/>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7">
        <f t="shared" si="0"/>
        <v>0</v>
      </c>
      <c r="AS601" s="1518"/>
      <c r="AT601" s="1133">
        <f t="shared" si="1"/>
        <v>0</v>
      </c>
      <c r="AU601" s="1135"/>
      <c r="AV601" s="1517">
        <f t="shared" si="2"/>
        <v>0</v>
      </c>
      <c r="AW601" s="1518"/>
      <c r="AX601" s="1133">
        <f t="shared" si="3"/>
        <v>0</v>
      </c>
      <c r="AY601" s="1135"/>
      <c r="AZ601" s="58"/>
      <c r="BA601" s="1133">
        <f t="shared" si="4"/>
        <v>0</v>
      </c>
      <c r="BB601" s="1134"/>
      <c r="BC601" s="1134"/>
      <c r="BD601" s="1134"/>
      <c r="BE601" s="1135"/>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631</v>
      </c>
      <c r="G602" s="1098"/>
      <c r="H602" s="1098"/>
      <c r="I602" s="1098"/>
      <c r="J602" s="1098"/>
      <c r="K602" s="1098"/>
      <c r="L602" s="1098"/>
      <c r="M602" s="1098"/>
      <c r="N602" s="1098"/>
      <c r="O602" s="1098"/>
      <c r="P602" s="1098"/>
      <c r="Q602" s="1098"/>
      <c r="R602" s="1098"/>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17">
        <f t="shared" si="0"/>
        <v>0</v>
      </c>
      <c r="AS602" s="1518"/>
      <c r="AT602" s="1133">
        <f t="shared" si="1"/>
        <v>0</v>
      </c>
      <c r="AU602" s="1135"/>
      <c r="AV602" s="1517">
        <f t="shared" si="2"/>
        <v>0</v>
      </c>
      <c r="AW602" s="1518"/>
      <c r="AX602" s="1133">
        <f t="shared" si="3"/>
        <v>0</v>
      </c>
      <c r="AY602" s="1135"/>
      <c r="AZ602" s="58"/>
      <c r="BA602" s="1133">
        <f t="shared" si="4"/>
        <v>0</v>
      </c>
      <c r="BB602" s="1134"/>
      <c r="BC602" s="1134"/>
      <c r="BD602" s="1134"/>
      <c r="BE602" s="1135"/>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17">
        <f t="shared" si="0"/>
        <v>0</v>
      </c>
      <c r="AS603" s="1518"/>
      <c r="AT603" s="1133">
        <f t="shared" si="1"/>
        <v>0</v>
      </c>
      <c r="AU603" s="1135"/>
      <c r="AV603" s="1517">
        <f t="shared" si="2"/>
        <v>0</v>
      </c>
      <c r="AW603" s="1518"/>
      <c r="AX603" s="1133">
        <f t="shared" si="3"/>
        <v>0</v>
      </c>
      <c r="AY603" s="1135"/>
      <c r="AZ603" s="58"/>
      <c r="BA603" s="1133">
        <f t="shared" si="4"/>
        <v>0</v>
      </c>
      <c r="BB603" s="1134"/>
      <c r="BC603" s="1134"/>
      <c r="BD603" s="1134"/>
      <c r="BE603" s="1135"/>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17">
        <f t="shared" si="0"/>
        <v>0</v>
      </c>
      <c r="AS604" s="1518"/>
      <c r="AT604" s="1133">
        <f t="shared" si="1"/>
        <v>0</v>
      </c>
      <c r="AU604" s="1135"/>
      <c r="AV604" s="1517">
        <f t="shared" si="2"/>
        <v>0</v>
      </c>
      <c r="AW604" s="1518"/>
      <c r="AX604" s="1133">
        <f t="shared" si="3"/>
        <v>0</v>
      </c>
      <c r="AY604" s="1135"/>
      <c r="AZ604" s="58"/>
      <c r="BA604" s="1133">
        <f t="shared" si="4"/>
        <v>0</v>
      </c>
      <c r="BB604" s="1134"/>
      <c r="BC604" s="1134"/>
      <c r="BD604" s="1134"/>
      <c r="BE604" s="1135"/>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7">
        <f t="shared" si="0"/>
        <v>0</v>
      </c>
      <c r="AS605" s="1518"/>
      <c r="AT605" s="1133">
        <f t="shared" si="1"/>
        <v>0</v>
      </c>
      <c r="AU605" s="1135"/>
      <c r="AV605" s="1517">
        <f t="shared" si="2"/>
        <v>0</v>
      </c>
      <c r="AW605" s="1518"/>
      <c r="AX605" s="1133">
        <f t="shared" si="3"/>
        <v>0</v>
      </c>
      <c r="AY605" s="1135"/>
      <c r="AZ605" s="58"/>
      <c r="BA605" s="1133">
        <f t="shared" si="4"/>
        <v>0</v>
      </c>
      <c r="BB605" s="1134"/>
      <c r="BC605" s="1134"/>
      <c r="BD605" s="1134"/>
      <c r="BE605" s="1135"/>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9" t="s">
        <v>722</v>
      </c>
      <c r="O606" s="1099"/>
      <c r="U606" s="12" t="s">
        <v>22</v>
      </c>
      <c r="AG606" s="1099" t="s">
        <v>722</v>
      </c>
      <c r="AH606" s="1099"/>
      <c r="AM606" s="58"/>
      <c r="AN606" s="58"/>
      <c r="AO606" s="58"/>
      <c r="AP606" s="58"/>
      <c r="AQ606" s="58"/>
      <c r="AR606" s="1517">
        <f t="shared" si="0"/>
        <v>0</v>
      </c>
      <c r="AS606" s="1518"/>
      <c r="AT606" s="1133">
        <f t="shared" si="1"/>
        <v>0</v>
      </c>
      <c r="AU606" s="1135"/>
      <c r="AV606" s="1517">
        <f t="shared" si="2"/>
        <v>0</v>
      </c>
      <c r="AW606" s="1518"/>
      <c r="AX606" s="1133">
        <f t="shared" si="3"/>
        <v>0</v>
      </c>
      <c r="AY606" s="1135"/>
      <c r="AZ606" s="58"/>
      <c r="BA606" s="1133">
        <f t="shared" si="4"/>
        <v>0</v>
      </c>
      <c r="BB606" s="1134"/>
      <c r="BC606" s="1134"/>
      <c r="BD606" s="1134"/>
      <c r="BE606" s="1135"/>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17">
        <f t="shared" si="0"/>
        <v>0</v>
      </c>
      <c r="AS607" s="1518"/>
      <c r="AT607" s="1133">
        <f t="shared" si="1"/>
        <v>0</v>
      </c>
      <c r="AU607" s="1135"/>
      <c r="AV607" s="1517">
        <f t="shared" si="2"/>
        <v>0</v>
      </c>
      <c r="AW607" s="1518"/>
      <c r="AX607" s="1133">
        <f t="shared" si="3"/>
        <v>0</v>
      </c>
      <c r="AY607" s="1135"/>
      <c r="AZ607" s="58"/>
      <c r="BA607" s="1133">
        <f t="shared" si="4"/>
        <v>0</v>
      </c>
      <c r="BB607" s="1134"/>
      <c r="BC607" s="1134"/>
      <c r="BD607" s="1134"/>
      <c r="BE607" s="1135"/>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17">
        <f t="shared" si="0"/>
        <v>0</v>
      </c>
      <c r="AS608" s="1518"/>
      <c r="AT608" s="1133">
        <f t="shared" si="1"/>
        <v>0</v>
      </c>
      <c r="AU608" s="1135"/>
      <c r="AV608" s="1517">
        <f t="shared" si="2"/>
        <v>0</v>
      </c>
      <c r="AW608" s="1518"/>
      <c r="AX608" s="1133">
        <f t="shared" si="3"/>
        <v>0</v>
      </c>
      <c r="AY608" s="1135"/>
      <c r="AZ608" s="58"/>
      <c r="BA608" s="1133">
        <f t="shared" si="4"/>
        <v>0</v>
      </c>
      <c r="BB608" s="1134"/>
      <c r="BC608" s="1134"/>
      <c r="BD608" s="1134"/>
      <c r="BE608" s="1135"/>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7">
        <f t="shared" si="0"/>
        <v>0</v>
      </c>
      <c r="AS609" s="1518"/>
      <c r="AT609" s="1133">
        <f t="shared" si="1"/>
        <v>0</v>
      </c>
      <c r="AU609" s="1135"/>
      <c r="AV609" s="1517">
        <f t="shared" si="2"/>
        <v>0</v>
      </c>
      <c r="AW609" s="1518"/>
      <c r="AX609" s="1133">
        <f t="shared" si="3"/>
        <v>0</v>
      </c>
      <c r="AY609" s="1135"/>
      <c r="AZ609" s="58"/>
      <c r="BA609" s="1133">
        <f t="shared" si="4"/>
        <v>0</v>
      </c>
      <c r="BB609" s="1134"/>
      <c r="BC609" s="1134"/>
      <c r="BD609" s="1134"/>
      <c r="BE609" s="1135"/>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17">
        <f t="shared" si="0"/>
        <v>0</v>
      </c>
      <c r="AS610" s="1518"/>
      <c r="AT610" s="1133">
        <f t="shared" si="1"/>
        <v>0</v>
      </c>
      <c r="AU610" s="1135"/>
      <c r="AV610" s="1517">
        <f t="shared" si="2"/>
        <v>0</v>
      </c>
      <c r="AW610" s="1518"/>
      <c r="AX610" s="1133">
        <f t="shared" si="3"/>
        <v>0</v>
      </c>
      <c r="AY610" s="1135"/>
      <c r="AZ610" s="58"/>
      <c r="BA610" s="1133">
        <f t="shared" si="4"/>
        <v>0</v>
      </c>
      <c r="BB610" s="1134"/>
      <c r="BC610" s="1134"/>
      <c r="BD610" s="1134"/>
      <c r="BE610" s="1135"/>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17">
        <f t="shared" si="0"/>
        <v>0</v>
      </c>
      <c r="AS611" s="1518"/>
      <c r="AT611" s="1133">
        <f t="shared" si="1"/>
        <v>0</v>
      </c>
      <c r="AU611" s="1135"/>
      <c r="AV611" s="1517">
        <f t="shared" si="2"/>
        <v>0</v>
      </c>
      <c r="AW611" s="1518"/>
      <c r="AX611" s="1133">
        <f t="shared" si="3"/>
        <v>0</v>
      </c>
      <c r="AY611" s="1135"/>
      <c r="AZ611" s="58"/>
      <c r="BA611" s="1133">
        <f t="shared" si="4"/>
        <v>0</v>
      </c>
      <c r="BB611" s="1134"/>
      <c r="BC611" s="1134"/>
      <c r="BD611" s="1134"/>
      <c r="BE611" s="1135"/>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17">
        <f t="shared" si="0"/>
        <v>0</v>
      </c>
      <c r="AS612" s="1518"/>
      <c r="AT612" s="1133">
        <f t="shared" si="1"/>
        <v>0</v>
      </c>
      <c r="AU612" s="1135"/>
      <c r="AV612" s="1517">
        <f t="shared" si="2"/>
        <v>0</v>
      </c>
      <c r="AW612" s="1518"/>
      <c r="AX612" s="1133">
        <f t="shared" si="3"/>
        <v>0</v>
      </c>
      <c r="AY612" s="1135"/>
      <c r="AZ612" s="58"/>
      <c r="BA612" s="1133">
        <f t="shared" si="4"/>
        <v>0</v>
      </c>
      <c r="BB612" s="1134"/>
      <c r="BC612" s="1134"/>
      <c r="BD612" s="1134"/>
      <c r="BE612" s="1135"/>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33">
        <f t="shared" si="1"/>
        <v>0</v>
      </c>
      <c r="AU613" s="1135"/>
      <c r="AV613" s="1517">
        <f t="shared" si="2"/>
        <v>0</v>
      </c>
      <c r="AW613" s="1518"/>
      <c r="AX613" s="1133">
        <f t="shared" si="3"/>
        <v>0</v>
      </c>
      <c r="AY613" s="1135"/>
      <c r="AZ613" s="58"/>
      <c r="BA613" s="1133">
        <f t="shared" si="4"/>
        <v>0</v>
      </c>
      <c r="BB613" s="1134"/>
      <c r="BC613" s="1134"/>
      <c r="BD613" s="1134"/>
      <c r="BE613" s="1135"/>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41</v>
      </c>
      <c r="AU614" s="1518"/>
      <c r="AV614" s="58"/>
      <c r="AW614" s="58"/>
      <c r="AX614" s="1517">
        <f>SUM(AX589:AY613)</f>
        <v>4</v>
      </c>
      <c r="AY614" s="1518"/>
      <c r="AZ614" s="58"/>
      <c r="BA614" s="1517">
        <f>SUM(BA589:BE613)</f>
        <v>0</v>
      </c>
      <c r="BB614" s="1525"/>
      <c r="BC614" s="1525"/>
      <c r="BD614" s="1525"/>
      <c r="BE614" s="1518"/>
      <c r="BF614" s="1213">
        <f>SUM(BF589:BJ613)</f>
        <v>18</v>
      </c>
      <c r="BG614" s="1213"/>
      <c r="BH614" s="1213"/>
      <c r="BI614" s="1213"/>
      <c r="BJ614" s="1213"/>
      <c r="BK614" s="1213">
        <f>SUM(BK589:BO613)</f>
        <v>35</v>
      </c>
      <c r="BL614" s="1213"/>
      <c r="BM614" s="1213"/>
      <c r="BN614" s="1213"/>
      <c r="BO614" s="1213"/>
      <c r="BP614" s="1213">
        <f>SUM(BP589:BT613)</f>
        <v>18</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1</v>
      </c>
      <c r="CK614" s="1213"/>
      <c r="CL614" s="1213"/>
      <c r="CM614" s="1213"/>
      <c r="CN614" s="1213"/>
      <c r="CO614" s="1213">
        <f>SUM(CO589:CS613)</f>
        <v>2</v>
      </c>
      <c r="CP614" s="1213"/>
      <c r="CQ614" s="1213"/>
      <c r="CR614" s="1213"/>
      <c r="CS614" s="1213"/>
      <c r="CT614" s="1213">
        <f>SUM(CT589:CX613)</f>
        <v>1</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2" t="s">
        <v>498</v>
      </c>
      <c r="C615" s="1433"/>
      <c r="D615" s="1433"/>
      <c r="E615" s="1433"/>
      <c r="F615" s="1433"/>
      <c r="G615" s="1433"/>
      <c r="H615" s="1433"/>
      <c r="I615" s="1433"/>
      <c r="J615" s="1433"/>
      <c r="K615" s="1433"/>
      <c r="L615" s="1433"/>
      <c r="M615" s="1433"/>
      <c r="N615" s="1433"/>
      <c r="O615" s="1434"/>
      <c r="P615" s="1441" t="s">
        <v>346</v>
      </c>
      <c r="Q615" s="1442"/>
      <c r="R615" s="1443"/>
      <c r="S615" s="1531" t="s">
        <v>499</v>
      </c>
      <c r="T615" s="1532"/>
      <c r="U615" s="1533"/>
      <c r="V615" s="1431" t="s">
        <v>18</v>
      </c>
      <c r="W615" s="1431"/>
      <c r="X615" s="1431"/>
      <c r="Y615" s="1431"/>
      <c r="Z615" s="1431"/>
      <c r="AA615" s="1431"/>
      <c r="AB615" s="1431" t="s">
        <v>17</v>
      </c>
      <c r="AC615" s="1431"/>
      <c r="AD615" s="1431"/>
      <c r="AE615" s="1431"/>
      <c r="AF615" s="1431"/>
      <c r="AG615" s="1431" t="s">
        <v>500</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4"/>
      <c r="T616" s="1535"/>
      <c r="U616" s="1536"/>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37"/>
      <c r="T617" s="1538"/>
      <c r="U617" s="1539"/>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200">
        <f>IF(J754="1 Bedroom",O754,0)</f>
        <v>0</v>
      </c>
      <c r="BG617" s="1200"/>
      <c r="BH617" s="1200"/>
      <c r="BI617" s="1200"/>
      <c r="BJ617" s="1200"/>
      <c r="BK617" s="1200">
        <f>IF(J754="2 Bedrooms",O754,0)</f>
        <v>1</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227" t="s">
        <v>1786</v>
      </c>
      <c r="D618" s="1429"/>
      <c r="E618" s="1429"/>
      <c r="F618" s="1429"/>
      <c r="G618" s="1429"/>
      <c r="H618" s="1429"/>
      <c r="I618" s="1429"/>
      <c r="J618" s="1429"/>
      <c r="K618" s="1429"/>
      <c r="L618" s="1429"/>
      <c r="M618" s="1429"/>
      <c r="N618" s="1429"/>
      <c r="O618" s="1430"/>
      <c r="P618" s="1224">
        <v>480</v>
      </c>
      <c r="Q618" s="1225"/>
      <c r="R618" s="1226"/>
      <c r="S618" s="1221">
        <v>4.8500000000000001E-2</v>
      </c>
      <c r="T618" s="1222"/>
      <c r="U618" s="1223"/>
      <c r="V618" s="1224"/>
      <c r="W618" s="1225"/>
      <c r="X618" s="1225"/>
      <c r="Y618" s="1225"/>
      <c r="Z618" s="1225"/>
      <c r="AA618" s="1226"/>
      <c r="AB618" s="1229">
        <v>385404</v>
      </c>
      <c r="AC618" s="1229"/>
      <c r="AD618" s="1229"/>
      <c r="AE618" s="1229"/>
      <c r="AF618" s="1229"/>
      <c r="AG618" s="1229">
        <v>6800000</v>
      </c>
      <c r="AH618" s="1229"/>
      <c r="AI618" s="1229"/>
      <c r="AJ618" s="1229"/>
      <c r="AK618" s="1229"/>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227" t="s">
        <v>1759</v>
      </c>
      <c r="D619" s="1103"/>
      <c r="E619" s="1103"/>
      <c r="F619" s="1103"/>
      <c r="G619" s="1103"/>
      <c r="H619" s="1103"/>
      <c r="I619" s="1103"/>
      <c r="J619" s="1103"/>
      <c r="K619" s="1103"/>
      <c r="L619" s="1103"/>
      <c r="M619" s="1103"/>
      <c r="N619" s="1103"/>
      <c r="O619" s="1228"/>
      <c r="P619" s="1224">
        <v>660</v>
      </c>
      <c r="Q619" s="1225"/>
      <c r="R619" s="1226"/>
      <c r="S619" s="1221">
        <v>0.03</v>
      </c>
      <c r="T619" s="1222"/>
      <c r="U619" s="1223"/>
      <c r="V619" s="1224" t="s">
        <v>504</v>
      </c>
      <c r="W619" s="1225"/>
      <c r="X619" s="1225"/>
      <c r="Y619" s="1225"/>
      <c r="Z619" s="1225"/>
      <c r="AA619" s="1226"/>
      <c r="AB619" s="1229" t="s">
        <v>1787</v>
      </c>
      <c r="AC619" s="1229"/>
      <c r="AD619" s="1229"/>
      <c r="AE619" s="1229"/>
      <c r="AF619" s="1229"/>
      <c r="AG619" s="1229">
        <v>3350000</v>
      </c>
      <c r="AH619" s="1229"/>
      <c r="AI619" s="1229"/>
      <c r="AJ619" s="1229"/>
      <c r="AK619" s="1229"/>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227" t="s">
        <v>1765</v>
      </c>
      <c r="D620" s="1103"/>
      <c r="E620" s="1103"/>
      <c r="F620" s="1103"/>
      <c r="G620" s="1103"/>
      <c r="H620" s="1103"/>
      <c r="I620" s="1103"/>
      <c r="J620" s="1103"/>
      <c r="K620" s="1103"/>
      <c r="L620" s="1103"/>
      <c r="M620" s="1103"/>
      <c r="N620" s="1103"/>
      <c r="O620" s="1228"/>
      <c r="P620" s="1224">
        <v>660</v>
      </c>
      <c r="Q620" s="1225"/>
      <c r="R620" s="1226"/>
      <c r="S620" s="1221">
        <v>0.03</v>
      </c>
      <c r="T620" s="1222"/>
      <c r="U620" s="1223"/>
      <c r="V620" s="1224" t="s">
        <v>504</v>
      </c>
      <c r="W620" s="1225"/>
      <c r="X620" s="1225"/>
      <c r="Y620" s="1225"/>
      <c r="Z620" s="1225"/>
      <c r="AA620" s="1226"/>
      <c r="AB620" s="1229" t="s">
        <v>1787</v>
      </c>
      <c r="AC620" s="1229"/>
      <c r="AD620" s="1229"/>
      <c r="AE620" s="1229"/>
      <c r="AF620" s="1229"/>
      <c r="AG620" s="1229">
        <v>4680000</v>
      </c>
      <c r="AH620" s="1229"/>
      <c r="AI620" s="1229"/>
      <c r="AJ620" s="1229"/>
      <c r="AK620" s="1229"/>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632</v>
      </c>
      <c r="C621" s="1227" t="s">
        <v>1761</v>
      </c>
      <c r="D621" s="1103"/>
      <c r="E621" s="1103"/>
      <c r="F621" s="1103"/>
      <c r="G621" s="1103"/>
      <c r="H621" s="1103"/>
      <c r="I621" s="1103"/>
      <c r="J621" s="1103"/>
      <c r="K621" s="1103"/>
      <c r="L621" s="1103"/>
      <c r="M621" s="1103"/>
      <c r="N621" s="1103"/>
      <c r="O621" s="1228"/>
      <c r="P621" s="1224" t="s">
        <v>642</v>
      </c>
      <c r="Q621" s="1225"/>
      <c r="R621" s="1226"/>
      <c r="S621" s="1221" t="s">
        <v>642</v>
      </c>
      <c r="T621" s="1222"/>
      <c r="U621" s="1223"/>
      <c r="V621" s="1224"/>
      <c r="W621" s="1225"/>
      <c r="X621" s="1225"/>
      <c r="Y621" s="1225"/>
      <c r="Z621" s="1225"/>
      <c r="AA621" s="1226"/>
      <c r="AB621" s="1229" t="s">
        <v>642</v>
      </c>
      <c r="AC621" s="1229"/>
      <c r="AD621" s="1229"/>
      <c r="AE621" s="1229"/>
      <c r="AF621" s="1229"/>
      <c r="AG621" s="1229">
        <v>121545</v>
      </c>
      <c r="AH621" s="1229"/>
      <c r="AI621" s="1229"/>
      <c r="AJ621" s="1229"/>
      <c r="AK621" s="1229"/>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841</v>
      </c>
      <c r="C622" s="1227" t="s">
        <v>1788</v>
      </c>
      <c r="D622" s="1103"/>
      <c r="E622" s="1103"/>
      <c r="F622" s="1103"/>
      <c r="G622" s="1103"/>
      <c r="H622" s="1103"/>
      <c r="I622" s="1103"/>
      <c r="J622" s="1103"/>
      <c r="K622" s="1103"/>
      <c r="L622" s="1103"/>
      <c r="M622" s="1103"/>
      <c r="N622" s="1103"/>
      <c r="O622" s="1228"/>
      <c r="P622" s="1224">
        <v>156</v>
      </c>
      <c r="Q622" s="1225"/>
      <c r="R622" s="1226"/>
      <c r="S622" s="1221">
        <v>9.9999999999999995E-8</v>
      </c>
      <c r="T622" s="1222"/>
      <c r="U622" s="1223"/>
      <c r="V622" s="1224" t="s">
        <v>504</v>
      </c>
      <c r="W622" s="1225"/>
      <c r="X622" s="1225"/>
      <c r="Y622" s="1225"/>
      <c r="Z622" s="1225"/>
      <c r="AA622" s="1226"/>
      <c r="AB622" s="1229" t="s">
        <v>1787</v>
      </c>
      <c r="AC622" s="1229"/>
      <c r="AD622" s="1229"/>
      <c r="AE622" s="1229"/>
      <c r="AF622" s="1229"/>
      <c r="AG622" s="1229">
        <v>1080000</v>
      </c>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3"/>
      <c r="D623" s="1103"/>
      <c r="E623" s="1103"/>
      <c r="F623" s="1103"/>
      <c r="G623" s="1103"/>
      <c r="H623" s="1103"/>
      <c r="I623" s="1103"/>
      <c r="J623" s="1103"/>
      <c r="K623" s="1103"/>
      <c r="L623" s="1103"/>
      <c r="M623" s="1103"/>
      <c r="N623" s="1103"/>
      <c r="O623" s="1228"/>
      <c r="P623" s="1224"/>
      <c r="Q623" s="1225"/>
      <c r="R623" s="1226"/>
      <c r="S623" s="1221"/>
      <c r="T623" s="1222"/>
      <c r="U623" s="1223"/>
      <c r="V623" s="1224"/>
      <c r="W623" s="1225"/>
      <c r="X623" s="1225"/>
      <c r="Y623" s="1225"/>
      <c r="Z623" s="1225"/>
      <c r="AA623" s="1226"/>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501</v>
      </c>
      <c r="C624" s="1103"/>
      <c r="D624" s="1103"/>
      <c r="E624" s="1103"/>
      <c r="F624" s="1103"/>
      <c r="G624" s="1103"/>
      <c r="H624" s="1103"/>
      <c r="I624" s="1103"/>
      <c r="J624" s="1103"/>
      <c r="K624" s="1103"/>
      <c r="L624" s="1103"/>
      <c r="M624" s="1103"/>
      <c r="N624" s="1103"/>
      <c r="O624" s="1228"/>
      <c r="P624" s="1224"/>
      <c r="Q624" s="1225"/>
      <c r="R624" s="1226"/>
      <c r="S624" s="1221"/>
      <c r="T624" s="1222"/>
      <c r="U624" s="1223"/>
      <c r="V624" s="1224"/>
      <c r="W624" s="1225"/>
      <c r="X624" s="1225"/>
      <c r="Y624" s="1225"/>
      <c r="Z624" s="1225"/>
      <c r="AA624" s="1226"/>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502</v>
      </c>
      <c r="C625" s="1103"/>
      <c r="D625" s="1103"/>
      <c r="E625" s="1103"/>
      <c r="F625" s="1103"/>
      <c r="G625" s="1103"/>
      <c r="H625" s="1103"/>
      <c r="I625" s="1103"/>
      <c r="J625" s="1103"/>
      <c r="K625" s="1103"/>
      <c r="L625" s="1103"/>
      <c r="M625" s="1103"/>
      <c r="N625" s="1103"/>
      <c r="O625" s="1228"/>
      <c r="P625" s="1224"/>
      <c r="Q625" s="1225"/>
      <c r="R625" s="1226"/>
      <c r="S625" s="1221"/>
      <c r="T625" s="1222"/>
      <c r="U625" s="1223"/>
      <c r="V625" s="1224"/>
      <c r="W625" s="1225"/>
      <c r="X625" s="1225"/>
      <c r="Y625" s="1225"/>
      <c r="Z625" s="1225"/>
      <c r="AA625" s="1226"/>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508</v>
      </c>
      <c r="C626" s="1103"/>
      <c r="D626" s="1103"/>
      <c r="E626" s="1103"/>
      <c r="F626" s="1103"/>
      <c r="G626" s="1103"/>
      <c r="H626" s="1103"/>
      <c r="I626" s="1103"/>
      <c r="J626" s="1103"/>
      <c r="K626" s="1103"/>
      <c r="L626" s="1103"/>
      <c r="M626" s="1103"/>
      <c r="N626" s="1103"/>
      <c r="O626" s="1228"/>
      <c r="P626" s="1224"/>
      <c r="Q626" s="1225"/>
      <c r="R626" s="1226"/>
      <c r="S626" s="1221"/>
      <c r="T626" s="1222"/>
      <c r="U626" s="1223"/>
      <c r="V626" s="1224"/>
      <c r="W626" s="1225"/>
      <c r="X626" s="1225"/>
      <c r="Y626" s="1225"/>
      <c r="Z626" s="1225"/>
      <c r="AA626" s="1226"/>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03"/>
      <c r="D627" s="1103"/>
      <c r="E627" s="1103"/>
      <c r="F627" s="1103"/>
      <c r="G627" s="1103"/>
      <c r="H627" s="1103"/>
      <c r="I627" s="1103"/>
      <c r="J627" s="1103"/>
      <c r="K627" s="1103"/>
      <c r="L627" s="1103"/>
      <c r="M627" s="1103"/>
      <c r="N627" s="1103"/>
      <c r="O627" s="1228"/>
      <c r="P627" s="1224"/>
      <c r="Q627" s="1225"/>
      <c r="R627" s="1226"/>
      <c r="S627" s="1221"/>
      <c r="T627" s="1222"/>
      <c r="U627" s="1223"/>
      <c r="V627" s="1224"/>
      <c r="W627" s="1225"/>
      <c r="X627" s="1225"/>
      <c r="Y627" s="1225"/>
      <c r="Z627" s="1225"/>
      <c r="AA627" s="1226"/>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228"/>
      <c r="P628" s="1224"/>
      <c r="Q628" s="1225"/>
      <c r="R628" s="1226"/>
      <c r="S628" s="1221"/>
      <c r="T628" s="1222"/>
      <c r="U628" s="1223"/>
      <c r="V628" s="1224"/>
      <c r="W628" s="1225"/>
      <c r="X628" s="1225"/>
      <c r="Y628" s="1225"/>
      <c r="Z628" s="1225"/>
      <c r="AA628" s="1226"/>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227"/>
      <c r="D629" s="1103"/>
      <c r="E629" s="1103"/>
      <c r="F629" s="1103"/>
      <c r="G629" s="1103"/>
      <c r="H629" s="1103"/>
      <c r="I629" s="1103"/>
      <c r="J629" s="1103"/>
      <c r="K629" s="1103"/>
      <c r="L629" s="1103"/>
      <c r="M629" s="1103"/>
      <c r="N629" s="1103"/>
      <c r="O629" s="1228"/>
      <c r="P629" s="1224"/>
      <c r="Q629" s="1225"/>
      <c r="R629" s="1226"/>
      <c r="S629" s="1221"/>
      <c r="T629" s="1222"/>
      <c r="U629" s="1223"/>
      <c r="V629" s="1224"/>
      <c r="W629" s="1225"/>
      <c r="X629" s="1225"/>
      <c r="Y629" s="1225"/>
      <c r="Z629" s="1225"/>
      <c r="AA629" s="1226"/>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9">
        <f>SUM(AG618:AJ629)</f>
        <v>16031545</v>
      </c>
      <c r="AH630" s="1210"/>
      <c r="AI630" s="1210"/>
      <c r="AJ630" s="1210"/>
      <c r="AK630" s="1211"/>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12891697</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9">
        <f>AG630+AG631</f>
        <v>28923242</v>
      </c>
      <c r="AH632" s="1210"/>
      <c r="AI632" s="1210"/>
      <c r="AJ632" s="1210"/>
      <c r="AK632" s="1211"/>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510</v>
      </c>
      <c r="G634" s="1100" t="str">
        <f>C618</f>
        <v>CalHFA - Perm Loan</v>
      </c>
      <c r="H634" s="1100"/>
      <c r="I634" s="1100"/>
      <c r="J634" s="1100"/>
      <c r="K634" s="1100"/>
      <c r="L634" s="1100"/>
      <c r="M634" s="1100"/>
      <c r="N634" s="1100"/>
      <c r="O634" s="1100"/>
      <c r="P634" s="1100"/>
      <c r="Q634" s="1100"/>
      <c r="R634" s="1100"/>
      <c r="S634" s="14"/>
      <c r="T634" s="87" t="s">
        <v>120</v>
      </c>
      <c r="U634" s="12" t="s">
        <v>510</v>
      </c>
      <c r="Z634" s="1100" t="str">
        <f>C619</f>
        <v>CalHFA - MIP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1740</v>
      </c>
      <c r="H635" s="1098"/>
      <c r="I635" s="1098"/>
      <c r="J635" s="1098"/>
      <c r="K635" s="1098"/>
      <c r="L635" s="1098"/>
      <c r="M635" s="1098"/>
      <c r="N635" s="1098"/>
      <c r="O635" s="1098"/>
      <c r="P635" s="1098"/>
      <c r="Q635" s="1098"/>
      <c r="R635" s="1098"/>
      <c r="S635" s="14"/>
      <c r="T635" s="35"/>
      <c r="U635" s="12" t="s">
        <v>92</v>
      </c>
      <c r="Z635" s="1098" t="s">
        <v>1740</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18</v>
      </c>
      <c r="BG635" s="1137"/>
      <c r="BH635" s="1137"/>
      <c r="BI635" s="1137"/>
      <c r="BJ635" s="1138"/>
      <c r="BK635" s="1136">
        <f>BK614+BK621+BK633</f>
        <v>36</v>
      </c>
      <c r="BL635" s="1137"/>
      <c r="BM635" s="1137"/>
      <c r="BN635" s="1137"/>
      <c r="BO635" s="1138"/>
      <c r="BP635" s="1136">
        <f>BP614+BP621+BP633</f>
        <v>18</v>
      </c>
      <c r="BQ635" s="1137"/>
      <c r="BR635" s="1137"/>
      <c r="BS635" s="1137"/>
      <c r="BT635" s="1138"/>
      <c r="BU635" s="1136">
        <f>BU614+BU621+BU633</f>
        <v>0</v>
      </c>
      <c r="BV635" s="1137"/>
      <c r="BW635" s="1137"/>
      <c r="BX635" s="1137"/>
      <c r="BY635" s="1138"/>
      <c r="BZ635" s="1517">
        <f>BZ633+BZ621+BZ614</f>
        <v>0</v>
      </c>
      <c r="CA635" s="1525"/>
      <c r="CB635" s="1525"/>
      <c r="CC635" s="1525"/>
      <c r="CD635" s="1518"/>
      <c r="CE635" s="58"/>
      <c r="CF635" s="58"/>
      <c r="CG635" s="58"/>
      <c r="CH635" s="58"/>
      <c r="CI635" s="58"/>
      <c r="CJ635" s="58"/>
      <c r="CK635" s="58"/>
      <c r="CL635" s="58"/>
      <c r="CM635" s="58"/>
      <c r="CN635" s="58"/>
      <c r="CO635" s="58"/>
      <c r="CP635" s="58"/>
      <c r="CQ635" s="58"/>
      <c r="CR635" s="58"/>
    </row>
    <row r="636" spans="1:96" ht="12.75">
      <c r="A636" s="35"/>
      <c r="B636" s="12" t="s">
        <v>631</v>
      </c>
      <c r="G636" s="1098" t="s">
        <v>1742</v>
      </c>
      <c r="H636" s="1098"/>
      <c r="I636" s="1098"/>
      <c r="J636" s="1098"/>
      <c r="K636" s="1098"/>
      <c r="L636" s="1098"/>
      <c r="M636" s="1098"/>
      <c r="N636" s="1098"/>
      <c r="O636" s="1098"/>
      <c r="P636" s="1098"/>
      <c r="Q636" s="1098"/>
      <c r="R636" s="1098"/>
      <c r="S636" s="88"/>
      <c r="T636" s="35"/>
      <c r="U636" s="12" t="s">
        <v>631</v>
      </c>
      <c r="Z636" s="1120" t="s">
        <v>1742</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1744</v>
      </c>
      <c r="H637" s="1098"/>
      <c r="I637" s="1098"/>
      <c r="J637" s="1098"/>
      <c r="K637" s="1098"/>
      <c r="L637" s="1098"/>
      <c r="M637" s="1098"/>
      <c r="N637" s="1098"/>
      <c r="O637" s="1098"/>
      <c r="P637" s="1098"/>
      <c r="Q637" s="1098"/>
      <c r="R637" s="1098"/>
      <c r="S637" s="14"/>
      <c r="T637" s="35"/>
      <c r="U637" s="12" t="s">
        <v>19</v>
      </c>
      <c r="Z637" s="1120" t="s">
        <v>1744</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t="s">
        <v>1746</v>
      </c>
      <c r="H638" s="1102"/>
      <c r="I638" s="1102"/>
      <c r="J638" s="1102"/>
      <c r="K638" s="1102"/>
      <c r="L638" s="1102"/>
      <c r="O638" s="140" t="s">
        <v>220</v>
      </c>
      <c r="P638" s="1103"/>
      <c r="Q638" s="1103"/>
      <c r="R638" s="1103"/>
      <c r="S638" s="16"/>
      <c r="T638" s="35"/>
      <c r="U638" s="12" t="s">
        <v>338</v>
      </c>
      <c r="Z638" s="1101" t="s">
        <v>1746</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1789</v>
      </c>
      <c r="I639" s="1098"/>
      <c r="J639" s="1098"/>
      <c r="K639" s="1098"/>
      <c r="L639" s="1098"/>
      <c r="M639" s="1098"/>
      <c r="N639" s="1098"/>
      <c r="O639" s="1098"/>
      <c r="P639" s="1098"/>
      <c r="Q639" s="1098"/>
      <c r="R639" s="1098"/>
      <c r="S639" s="14"/>
      <c r="T639" s="35"/>
      <c r="U639" s="12" t="s">
        <v>20</v>
      </c>
      <c r="AA639" s="1098" t="s">
        <v>1790</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0" t="str">
        <f>C620</f>
        <v>City of Folsom - Aff. Hsg. Loan</v>
      </c>
      <c r="H642" s="1100"/>
      <c r="I642" s="1100"/>
      <c r="J642" s="1100"/>
      <c r="K642" s="1100"/>
      <c r="L642" s="1100"/>
      <c r="M642" s="1100"/>
      <c r="N642" s="1100"/>
      <c r="O642" s="1100"/>
      <c r="P642" s="1100"/>
      <c r="Q642" s="1100"/>
      <c r="R642" s="1100"/>
      <c r="T642" s="87" t="s">
        <v>632</v>
      </c>
      <c r="U642" s="12" t="s">
        <v>510</v>
      </c>
      <c r="Z642" s="1100" t="str">
        <f>C621</f>
        <v>County of Sacramento - Fee Waiver</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1649</v>
      </c>
      <c r="H643" s="1098"/>
      <c r="I643" s="1098"/>
      <c r="J643" s="1098"/>
      <c r="K643" s="1098"/>
      <c r="L643" s="1098"/>
      <c r="M643" s="1098"/>
      <c r="N643" s="1098"/>
      <c r="O643" s="1098"/>
      <c r="P643" s="1098"/>
      <c r="Q643" s="1098"/>
      <c r="R643" s="1098"/>
      <c r="T643" s="35"/>
      <c r="U643" s="12" t="s">
        <v>92</v>
      </c>
      <c r="Z643" s="1098" t="s">
        <v>1775</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0" t="s">
        <v>1776</v>
      </c>
      <c r="H644" s="1120"/>
      <c r="I644" s="1120"/>
      <c r="J644" s="1120"/>
      <c r="K644" s="1120"/>
      <c r="L644" s="1120"/>
      <c r="M644" s="1120"/>
      <c r="N644" s="1120"/>
      <c r="O644" s="1120"/>
      <c r="P644" s="1120"/>
      <c r="Q644" s="1120"/>
      <c r="R644" s="1120"/>
      <c r="T644" s="35"/>
      <c r="U644" s="12" t="s">
        <v>631</v>
      </c>
      <c r="Z644" s="1120" t="s">
        <v>1742</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1777</v>
      </c>
      <c r="H645" s="1120"/>
      <c r="I645" s="1120"/>
      <c r="J645" s="1120"/>
      <c r="K645" s="1120"/>
      <c r="L645" s="1120"/>
      <c r="M645" s="1120"/>
      <c r="N645" s="1120"/>
      <c r="O645" s="1120"/>
      <c r="P645" s="1120"/>
      <c r="Q645" s="1120"/>
      <c r="R645" s="1120"/>
      <c r="T645" s="35"/>
      <c r="U645" s="12" t="s">
        <v>19</v>
      </c>
      <c r="Z645" s="1120" t="s">
        <v>1791</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t="s">
        <v>1778</v>
      </c>
      <c r="H646" s="1102"/>
      <c r="I646" s="1102"/>
      <c r="J646" s="1102"/>
      <c r="K646" s="1102"/>
      <c r="L646" s="1102"/>
      <c r="O646" s="140" t="s">
        <v>220</v>
      </c>
      <c r="P646" s="1103"/>
      <c r="Q646" s="1103"/>
      <c r="R646" s="1103"/>
      <c r="T646" s="35"/>
      <c r="U646" s="12" t="s">
        <v>338</v>
      </c>
      <c r="Z646" s="1101" t="s">
        <v>1779</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1780</v>
      </c>
      <c r="I647" s="1098"/>
      <c r="J647" s="1098"/>
      <c r="K647" s="1098"/>
      <c r="L647" s="1098"/>
      <c r="M647" s="1098"/>
      <c r="N647" s="1098"/>
      <c r="O647" s="1098"/>
      <c r="P647" s="1098"/>
      <c r="Q647" s="1098"/>
      <c r="R647" s="1098"/>
      <c r="T647" s="35"/>
      <c r="U647" s="12" t="s">
        <v>20</v>
      </c>
      <c r="AA647" s="1098" t="s">
        <v>1781</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592</v>
      </c>
      <c r="O648" s="1099"/>
      <c r="T648" s="35"/>
      <c r="U648" s="12" t="s">
        <v>22</v>
      </c>
      <c r="AG648" s="1099" t="s">
        <v>592</v>
      </c>
      <c r="AH648" s="1099"/>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1568</v>
      </c>
      <c r="AO649" s="58"/>
      <c r="AP649" s="58"/>
      <c r="AQ649" s="58"/>
      <c r="AR649" s="58"/>
      <c r="AS649" s="399"/>
      <c r="AT649" s="471" t="s">
        <v>994</v>
      </c>
      <c r="AU649" s="476" t="s">
        <v>995</v>
      </c>
      <c r="AV649" s="475" t="s">
        <v>996</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510</v>
      </c>
      <c r="G650" s="1100" t="str">
        <f>C622</f>
        <v>Pacific West Communities, Inc. - DDF</v>
      </c>
      <c r="H650" s="1100"/>
      <c r="I650" s="1100"/>
      <c r="J650" s="1100"/>
      <c r="K650" s="1100"/>
      <c r="L650" s="1100"/>
      <c r="M650" s="1100"/>
      <c r="N650" s="1100"/>
      <c r="O650" s="1100"/>
      <c r="P650" s="1100"/>
      <c r="Q650" s="1100"/>
      <c r="R650" s="1100"/>
      <c r="T650" s="87" t="s">
        <v>635</v>
      </c>
      <c r="U650" s="12" t="s">
        <v>510</v>
      </c>
      <c r="Z650" s="1100">
        <f>C623</f>
        <v>0</v>
      </c>
      <c r="AA650" s="1100"/>
      <c r="AB650" s="1100"/>
      <c r="AC650" s="1100"/>
      <c r="AD650" s="1100"/>
      <c r="AE650" s="1100"/>
      <c r="AF650" s="1100"/>
      <c r="AG650" s="1100"/>
      <c r="AH650" s="1100"/>
      <c r="AI650" s="1100"/>
      <c r="AJ650" s="1100"/>
      <c r="AK650" s="1100"/>
      <c r="AM650" s="58"/>
      <c r="AN650" s="463">
        <f t="shared" si="22"/>
        <v>1568</v>
      </c>
      <c r="AO650" s="58"/>
      <c r="AP650" s="58"/>
      <c r="AQ650" s="58"/>
      <c r="AR650" s="58"/>
      <c r="AS650" s="399"/>
      <c r="AT650" s="473">
        <f t="shared" ref="AT650:AT674" si="23">G709</f>
        <v>1</v>
      </c>
      <c r="AU650" s="477">
        <f>AT650/$AT$675</f>
        <v>1.4084507042253521E-2</v>
      </c>
      <c r="AV650" s="478">
        <f t="shared" ref="AV650:AV674" si="24">IF(AU650=0," ",AU650*AD709)</f>
        <v>4.2253521126760559E-3</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1658</v>
      </c>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1568</v>
      </c>
      <c r="AO651" s="58"/>
      <c r="AP651" s="58"/>
      <c r="AQ651" s="58"/>
      <c r="AR651" s="58"/>
      <c r="AS651" s="399"/>
      <c r="AT651" s="474">
        <f t="shared" si="23"/>
        <v>11</v>
      </c>
      <c r="AU651" s="477">
        <f t="shared" ref="AU651:AU674" si="25">AT651/$AT$675</f>
        <v>0.15492957746478872</v>
      </c>
      <c r="AV651" s="478">
        <f t="shared" si="24"/>
        <v>7.746478873239436E-2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t="s">
        <v>1687</v>
      </c>
      <c r="H652" s="1098"/>
      <c r="I652" s="1098"/>
      <c r="J652" s="1098"/>
      <c r="K652" s="1098"/>
      <c r="L652" s="1098"/>
      <c r="M652" s="1098"/>
      <c r="N652" s="1098"/>
      <c r="O652" s="1098"/>
      <c r="P652" s="1098"/>
      <c r="Q652" s="1098"/>
      <c r="R652" s="1098"/>
      <c r="T652" s="35"/>
      <c r="U652" s="12" t="s">
        <v>631</v>
      </c>
      <c r="Z652" s="1120"/>
      <c r="AA652" s="1120"/>
      <c r="AB652" s="1120"/>
      <c r="AC652" s="1120"/>
      <c r="AD652" s="1120"/>
      <c r="AE652" s="1120"/>
      <c r="AF652" s="1120"/>
      <c r="AG652" s="1120"/>
      <c r="AH652" s="1120"/>
      <c r="AI652" s="1120"/>
      <c r="AJ652" s="1120"/>
      <c r="AK652" s="1120"/>
      <c r="AM652" s="58"/>
      <c r="AN652" s="463">
        <f t="shared" si="22"/>
        <v>1882</v>
      </c>
      <c r="AO652" s="58"/>
      <c r="AP652" s="58"/>
      <c r="AQ652" s="58"/>
      <c r="AR652" s="58"/>
      <c r="AS652" s="399"/>
      <c r="AT652" s="474">
        <f t="shared" si="23"/>
        <v>6</v>
      </c>
      <c r="AU652" s="477">
        <f t="shared" si="25"/>
        <v>8.4507042253521125E-2</v>
      </c>
      <c r="AV652" s="478">
        <f t="shared" si="24"/>
        <v>6.7605633802816908E-2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1645</v>
      </c>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f t="shared" si="22"/>
        <v>1882</v>
      </c>
      <c r="AO653" s="58"/>
      <c r="AP653" s="58"/>
      <c r="AQ653" s="58"/>
      <c r="AR653" s="58"/>
      <c r="AS653" s="399"/>
      <c r="AT653" s="474">
        <f t="shared" si="23"/>
        <v>2</v>
      </c>
      <c r="AU653" s="477">
        <f t="shared" si="25"/>
        <v>2.8169014084507043E-2</v>
      </c>
      <c r="AV653" s="478">
        <f t="shared" si="24"/>
        <v>8.4507042253521118E-3</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t="s">
        <v>1661</v>
      </c>
      <c r="H654" s="1102"/>
      <c r="I654" s="1102"/>
      <c r="J654" s="1102"/>
      <c r="K654" s="1102"/>
      <c r="L654" s="1102"/>
      <c r="O654" s="140" t="s">
        <v>220</v>
      </c>
      <c r="P654" s="1103">
        <v>3015</v>
      </c>
      <c r="Q654" s="1103"/>
      <c r="R654" s="1103"/>
      <c r="T654" s="35"/>
      <c r="U654" s="12" t="s">
        <v>338</v>
      </c>
      <c r="Z654" s="1102"/>
      <c r="AA654" s="1102"/>
      <c r="AB654" s="1102"/>
      <c r="AC654" s="1102"/>
      <c r="AD654" s="1102"/>
      <c r="AE654" s="1102"/>
      <c r="AH654" s="140" t="s">
        <v>220</v>
      </c>
      <c r="AI654" s="1103"/>
      <c r="AJ654" s="1103"/>
      <c r="AK654" s="1103"/>
      <c r="AM654" s="58"/>
      <c r="AN654" s="463">
        <f t="shared" si="22"/>
        <v>1882</v>
      </c>
      <c r="AO654" s="58"/>
      <c r="AP654" s="58"/>
      <c r="AQ654" s="58"/>
      <c r="AR654" s="58"/>
      <c r="AS654" s="399"/>
      <c r="AT654" s="474">
        <f t="shared" si="23"/>
        <v>20</v>
      </c>
      <c r="AU654" s="477">
        <f t="shared" si="25"/>
        <v>0.28169014084507044</v>
      </c>
      <c r="AV654" s="478">
        <f t="shared" si="24"/>
        <v>0.14084507042253522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t="s">
        <v>1783</v>
      </c>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f t="shared" si="22"/>
        <v>2172</v>
      </c>
      <c r="AO655" s="58"/>
      <c r="AP655" s="58"/>
      <c r="AQ655" s="58"/>
      <c r="AR655" s="58"/>
      <c r="AS655" s="399"/>
      <c r="AT655" s="474">
        <f t="shared" si="23"/>
        <v>13</v>
      </c>
      <c r="AU655" s="477">
        <f t="shared" si="25"/>
        <v>0.18309859154929578</v>
      </c>
      <c r="AV655" s="478">
        <f t="shared" si="24"/>
        <v>0.14647887323943662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592</v>
      </c>
      <c r="O656" s="1099"/>
      <c r="T656" s="35"/>
      <c r="U656" s="12" t="s">
        <v>22</v>
      </c>
      <c r="AG656" s="1099" t="s">
        <v>722</v>
      </c>
      <c r="AH656" s="1099"/>
      <c r="AM656" s="58"/>
      <c r="AN656" s="463">
        <f t="shared" si="22"/>
        <v>2172</v>
      </c>
      <c r="AO656" s="58"/>
      <c r="AP656" s="58"/>
      <c r="AQ656" s="58"/>
      <c r="AR656" s="58"/>
      <c r="AS656" s="399"/>
      <c r="AT656" s="474">
        <f t="shared" si="23"/>
        <v>1</v>
      </c>
      <c r="AU656" s="477">
        <f t="shared" si="25"/>
        <v>1.4084507042253521E-2</v>
      </c>
      <c r="AV656" s="478">
        <f t="shared" si="24"/>
        <v>4.2253521126760559E-3</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2172</v>
      </c>
      <c r="AO657" s="58"/>
      <c r="AP657" s="58"/>
      <c r="AQ657" s="58"/>
      <c r="AR657" s="58"/>
      <c r="AS657" s="399"/>
      <c r="AT657" s="474">
        <f t="shared" si="23"/>
        <v>10</v>
      </c>
      <c r="AU657" s="477">
        <f t="shared" si="25"/>
        <v>0.14084507042253522</v>
      </c>
      <c r="AV657" s="478">
        <f t="shared" si="24"/>
        <v>7.0422535211267609E-2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0">
        <f>C624</f>
        <v>0</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7</v>
      </c>
      <c r="AU658" s="477">
        <f t="shared" si="25"/>
        <v>9.8591549295774641E-2</v>
      </c>
      <c r="AV658" s="478">
        <f t="shared" si="24"/>
        <v>7.8873239436619724E-2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8"/>
      <c r="H660" s="1098"/>
      <c r="I660" s="1098"/>
      <c r="J660" s="1098"/>
      <c r="K660" s="1098"/>
      <c r="L660" s="1098"/>
      <c r="M660" s="1098"/>
      <c r="N660" s="1098"/>
      <c r="O660" s="1098"/>
      <c r="P660" s="1098"/>
      <c r="Q660" s="1098"/>
      <c r="R660" s="1098"/>
      <c r="T660" s="35"/>
      <c r="U660" s="12" t="s">
        <v>631</v>
      </c>
      <c r="Z660" s="1120"/>
      <c r="AA660" s="1120"/>
      <c r="AB660" s="1120"/>
      <c r="AC660" s="1120"/>
      <c r="AD660" s="1120"/>
      <c r="AE660" s="1120"/>
      <c r="AF660" s="1120"/>
      <c r="AG660" s="1120"/>
      <c r="AH660" s="1120"/>
      <c r="AI660" s="1120"/>
      <c r="AJ660" s="1120"/>
      <c r="AK660" s="112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c r="H662" s="1102"/>
      <c r="I662" s="1102"/>
      <c r="J662" s="1102"/>
      <c r="K662" s="1102"/>
      <c r="L662" s="1102"/>
      <c r="O662" s="140" t="s">
        <v>220</v>
      </c>
      <c r="P662" s="1103"/>
      <c r="Q662" s="1103"/>
      <c r="R662" s="1103"/>
      <c r="T662" s="35"/>
      <c r="U662" s="12" t="s">
        <v>338</v>
      </c>
      <c r="Z662" s="1102"/>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722</v>
      </c>
      <c r="O664" s="1099"/>
      <c r="T664" s="35"/>
      <c r="U664" s="12" t="s">
        <v>22</v>
      </c>
      <c r="AG664" s="1099" t="s">
        <v>722</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0">
        <f>C626</f>
        <v>0</v>
      </c>
      <c r="H666" s="1100"/>
      <c r="I666" s="1100"/>
      <c r="J666" s="1100"/>
      <c r="K666" s="1100"/>
      <c r="L666" s="1100"/>
      <c r="M666" s="1100"/>
      <c r="N666" s="1100"/>
      <c r="O666" s="1100"/>
      <c r="P666" s="1100"/>
      <c r="Q666" s="1100"/>
      <c r="R666" s="1100"/>
      <c r="T666" s="87" t="s">
        <v>696</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8"/>
      <c r="H668" s="1098"/>
      <c r="I668" s="1098"/>
      <c r="J668" s="1098"/>
      <c r="K668" s="1098"/>
      <c r="L668" s="1098"/>
      <c r="M668" s="1098"/>
      <c r="N668" s="1098"/>
      <c r="O668" s="1098"/>
      <c r="P668" s="1098"/>
      <c r="Q668" s="1098"/>
      <c r="R668" s="1098"/>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722</v>
      </c>
      <c r="O672" s="1099"/>
      <c r="T672" s="35"/>
      <c r="U672" s="12" t="s">
        <v>22</v>
      </c>
      <c r="AG672" s="1099" t="s">
        <v>722</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997</v>
      </c>
      <c r="AT675" s="479">
        <f>SUM(AT650:AT674)</f>
        <v>71</v>
      </c>
      <c r="AU675" s="480">
        <f>SUM(AU650:AU674)</f>
        <v>1</v>
      </c>
      <c r="AV675" s="480">
        <f>SUM(AV650:AV674)</f>
        <v>0.59859154929577463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8"/>
      <c r="H676" s="1098"/>
      <c r="I676" s="1098"/>
      <c r="J676" s="1098"/>
      <c r="K676" s="1098"/>
      <c r="L676" s="1098"/>
      <c r="M676" s="1098"/>
      <c r="N676" s="1098"/>
      <c r="O676" s="1098"/>
      <c r="P676" s="1098"/>
      <c r="Q676" s="1098"/>
      <c r="R676" s="1098"/>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722</v>
      </c>
      <c r="O680" s="1099"/>
      <c r="U680" s="12" t="s">
        <v>22</v>
      </c>
      <c r="AG680" s="1099" t="s">
        <v>722</v>
      </c>
      <c r="AH680" s="109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722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43847</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43908</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44075</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0.59440000000000004</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California Housing Finance Agency (CalHFA)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722</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697</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87" t="s">
        <v>348</v>
      </c>
      <c r="C709" s="1170"/>
      <c r="D709" s="1170"/>
      <c r="E709" s="1170"/>
      <c r="F709" s="1171"/>
      <c r="G709" s="1125">
        <v>1</v>
      </c>
      <c r="H709" s="1126"/>
      <c r="I709" s="1126"/>
      <c r="J709" s="1127"/>
      <c r="K709" s="1184">
        <v>386</v>
      </c>
      <c r="L709" s="1185"/>
      <c r="M709" s="1185"/>
      <c r="N709" s="1185"/>
      <c r="O709" s="1186"/>
      <c r="P709" s="1155">
        <f t="shared" ref="P709:P733" si="26">G709*K709</f>
        <v>386</v>
      </c>
      <c r="Q709" s="1117"/>
      <c r="R709" s="1117"/>
      <c r="S709" s="1117"/>
      <c r="T709" s="1156"/>
      <c r="U709" s="1184">
        <v>84</v>
      </c>
      <c r="V709" s="1185"/>
      <c r="W709" s="1185"/>
      <c r="X709" s="1186"/>
      <c r="Y709" s="1155">
        <f>K709+U709</f>
        <v>470</v>
      </c>
      <c r="Z709" s="1117"/>
      <c r="AA709" s="1117"/>
      <c r="AB709" s="1117"/>
      <c r="AC709" s="1156"/>
      <c r="AD709" s="1114">
        <v>0.3</v>
      </c>
      <c r="AE709" s="1115"/>
      <c r="AF709" s="1115"/>
      <c r="AG709" s="1115"/>
      <c r="AH709" s="1116"/>
      <c r="AI709" s="1129">
        <f t="shared" ref="AI709:AI733" si="27">IF($AD709&gt;0,($Y709/$AN649), " ")</f>
        <v>0.29974489795918369</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7" t="s">
        <v>348</v>
      </c>
      <c r="C710" s="1170"/>
      <c r="D710" s="1170"/>
      <c r="E710" s="1170"/>
      <c r="F710" s="1171"/>
      <c r="G710" s="1125">
        <v>11</v>
      </c>
      <c r="H710" s="1126"/>
      <c r="I710" s="1126"/>
      <c r="J710" s="1127"/>
      <c r="K710" s="1184">
        <v>700</v>
      </c>
      <c r="L710" s="1185"/>
      <c r="M710" s="1185"/>
      <c r="N710" s="1185"/>
      <c r="O710" s="1186"/>
      <c r="P710" s="1155">
        <f t="shared" si="26"/>
        <v>7700</v>
      </c>
      <c r="Q710" s="1117"/>
      <c r="R710" s="1117"/>
      <c r="S710" s="1117"/>
      <c r="T710" s="1156"/>
      <c r="U710" s="1184">
        <v>84</v>
      </c>
      <c r="V710" s="1185"/>
      <c r="W710" s="1185"/>
      <c r="X710" s="1186"/>
      <c r="Y710" s="1155">
        <f t="shared" ref="Y710:Y733" si="28">K710+U710</f>
        <v>784</v>
      </c>
      <c r="Z710" s="1117"/>
      <c r="AA710" s="1117"/>
      <c r="AB710" s="1117"/>
      <c r="AC710" s="1156"/>
      <c r="AD710" s="1114">
        <v>0.5</v>
      </c>
      <c r="AE710" s="1115"/>
      <c r="AF710" s="1115"/>
      <c r="AG710" s="1115"/>
      <c r="AH710" s="1116"/>
      <c r="AI710" s="1129">
        <f t="shared" si="27"/>
        <v>0.5</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7" t="s">
        <v>348</v>
      </c>
      <c r="C711" s="1170"/>
      <c r="D711" s="1170"/>
      <c r="E711" s="1170"/>
      <c r="F711" s="1171"/>
      <c r="G711" s="1125">
        <v>6</v>
      </c>
      <c r="H711" s="1126"/>
      <c r="I711" s="1126"/>
      <c r="J711" s="1127"/>
      <c r="K711" s="1184">
        <v>1171</v>
      </c>
      <c r="L711" s="1185"/>
      <c r="M711" s="1185"/>
      <c r="N711" s="1185"/>
      <c r="O711" s="1186"/>
      <c r="P711" s="1155">
        <f t="shared" si="26"/>
        <v>7026</v>
      </c>
      <c r="Q711" s="1117"/>
      <c r="R711" s="1117"/>
      <c r="S711" s="1117"/>
      <c r="T711" s="1156"/>
      <c r="U711" s="1184">
        <v>84</v>
      </c>
      <c r="V711" s="1185"/>
      <c r="W711" s="1185"/>
      <c r="X711" s="1186"/>
      <c r="Y711" s="1155">
        <f t="shared" si="28"/>
        <v>1255</v>
      </c>
      <c r="Z711" s="1117"/>
      <c r="AA711" s="1117"/>
      <c r="AB711" s="1117"/>
      <c r="AC711" s="1156"/>
      <c r="AD711" s="1114">
        <v>0.8</v>
      </c>
      <c r="AE711" s="1115"/>
      <c r="AF711" s="1115"/>
      <c r="AG711" s="1115"/>
      <c r="AH711" s="1116"/>
      <c r="AI711" s="1129">
        <f t="shared" si="27"/>
        <v>0.80038265306122447</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7" t="s">
        <v>170</v>
      </c>
      <c r="C712" s="1170"/>
      <c r="D712" s="1170"/>
      <c r="E712" s="1170"/>
      <c r="F712" s="1171"/>
      <c r="G712" s="1125">
        <v>2</v>
      </c>
      <c r="H712" s="1126"/>
      <c r="I712" s="1126"/>
      <c r="J712" s="1127"/>
      <c r="K712" s="1183">
        <v>458</v>
      </c>
      <c r="L712" s="1183"/>
      <c r="M712" s="1183"/>
      <c r="N712" s="1183"/>
      <c r="O712" s="1183"/>
      <c r="P712" s="1124">
        <f t="shared" si="26"/>
        <v>916</v>
      </c>
      <c r="Q712" s="1124"/>
      <c r="R712" s="1124"/>
      <c r="S712" s="1124"/>
      <c r="T712" s="1124"/>
      <c r="U712" s="1184">
        <v>106</v>
      </c>
      <c r="V712" s="1185"/>
      <c r="W712" s="1185"/>
      <c r="X712" s="1186"/>
      <c r="Y712" s="1124">
        <f t="shared" si="28"/>
        <v>564</v>
      </c>
      <c r="Z712" s="1124"/>
      <c r="AA712" s="1124"/>
      <c r="AB712" s="1124"/>
      <c r="AC712" s="1124"/>
      <c r="AD712" s="1114">
        <v>0.3</v>
      </c>
      <c r="AE712" s="1115"/>
      <c r="AF712" s="1115"/>
      <c r="AG712" s="1115"/>
      <c r="AH712" s="1116"/>
      <c r="AI712" s="1129">
        <f t="shared" si="27"/>
        <v>0.29968119022316686</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7" t="s">
        <v>170</v>
      </c>
      <c r="C713" s="1170"/>
      <c r="D713" s="1170"/>
      <c r="E713" s="1170"/>
      <c r="F713" s="1171"/>
      <c r="G713" s="1125">
        <v>20</v>
      </c>
      <c r="H713" s="1126"/>
      <c r="I713" s="1126"/>
      <c r="J713" s="1127"/>
      <c r="K713" s="1183">
        <v>835</v>
      </c>
      <c r="L713" s="1183"/>
      <c r="M713" s="1183"/>
      <c r="N713" s="1183"/>
      <c r="O713" s="1183"/>
      <c r="P713" s="1124">
        <f t="shared" si="26"/>
        <v>16700</v>
      </c>
      <c r="Q713" s="1124"/>
      <c r="R713" s="1124"/>
      <c r="S713" s="1124"/>
      <c r="T713" s="1124"/>
      <c r="U713" s="1184">
        <v>106</v>
      </c>
      <c r="V713" s="1185"/>
      <c r="W713" s="1185"/>
      <c r="X713" s="1186"/>
      <c r="Y713" s="1124">
        <f t="shared" si="28"/>
        <v>941</v>
      </c>
      <c r="Z713" s="1124"/>
      <c r="AA713" s="1124"/>
      <c r="AB713" s="1124"/>
      <c r="AC713" s="1124"/>
      <c r="AD713" s="1114">
        <v>0.5</v>
      </c>
      <c r="AE713" s="1115"/>
      <c r="AF713" s="1115"/>
      <c r="AG713" s="1115"/>
      <c r="AH713" s="1116"/>
      <c r="AI713" s="1129">
        <f t="shared" si="27"/>
        <v>0.5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7" t="s">
        <v>170</v>
      </c>
      <c r="C714" s="1170"/>
      <c r="D714" s="1170"/>
      <c r="E714" s="1170"/>
      <c r="F714" s="1171"/>
      <c r="G714" s="1125">
        <v>13</v>
      </c>
      <c r="H714" s="1126"/>
      <c r="I714" s="1126"/>
      <c r="J714" s="1127"/>
      <c r="K714" s="1183">
        <v>1400</v>
      </c>
      <c r="L714" s="1183"/>
      <c r="M714" s="1183"/>
      <c r="N714" s="1183"/>
      <c r="O714" s="1183"/>
      <c r="P714" s="1124">
        <f t="shared" si="26"/>
        <v>18200</v>
      </c>
      <c r="Q714" s="1124"/>
      <c r="R714" s="1124"/>
      <c r="S714" s="1124"/>
      <c r="T714" s="1124"/>
      <c r="U714" s="1184">
        <v>106</v>
      </c>
      <c r="V714" s="1185"/>
      <c r="W714" s="1185"/>
      <c r="X714" s="1186"/>
      <c r="Y714" s="1124">
        <f t="shared" si="28"/>
        <v>1506</v>
      </c>
      <c r="Z714" s="1124"/>
      <c r="AA714" s="1124"/>
      <c r="AB714" s="1124"/>
      <c r="AC714" s="1124"/>
      <c r="AD714" s="1114">
        <v>0.8</v>
      </c>
      <c r="AE714" s="1115"/>
      <c r="AF714" s="1115"/>
      <c r="AG714" s="1115"/>
      <c r="AH714" s="1116"/>
      <c r="AI714" s="1129">
        <f t="shared" si="27"/>
        <v>0.80021253985122209</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7" t="s">
        <v>171</v>
      </c>
      <c r="C715" s="1170"/>
      <c r="D715" s="1170"/>
      <c r="E715" s="1170"/>
      <c r="F715" s="1171"/>
      <c r="G715" s="1125">
        <v>1</v>
      </c>
      <c r="H715" s="1126"/>
      <c r="I715" s="1126"/>
      <c r="J715" s="1127"/>
      <c r="K715" s="1183">
        <v>526</v>
      </c>
      <c r="L715" s="1183"/>
      <c r="M715" s="1183"/>
      <c r="N715" s="1183"/>
      <c r="O715" s="1183"/>
      <c r="P715" s="1124">
        <f t="shared" si="26"/>
        <v>526</v>
      </c>
      <c r="Q715" s="1124"/>
      <c r="R715" s="1124"/>
      <c r="S715" s="1124"/>
      <c r="T715" s="1124"/>
      <c r="U715" s="1184">
        <v>126</v>
      </c>
      <c r="V715" s="1185"/>
      <c r="W715" s="1185"/>
      <c r="X715" s="1186"/>
      <c r="Y715" s="1124">
        <f t="shared" si="28"/>
        <v>652</v>
      </c>
      <c r="Z715" s="1124"/>
      <c r="AA715" s="1124"/>
      <c r="AB715" s="1124"/>
      <c r="AC715" s="1124"/>
      <c r="AD715" s="1114">
        <v>0.3</v>
      </c>
      <c r="AE715" s="1115"/>
      <c r="AF715" s="1115"/>
      <c r="AG715" s="1115"/>
      <c r="AH715" s="1116"/>
      <c r="AI715" s="1129">
        <f t="shared" si="27"/>
        <v>0.30018416206261511</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7" t="s">
        <v>171</v>
      </c>
      <c r="C716" s="1170"/>
      <c r="D716" s="1170"/>
      <c r="E716" s="1170"/>
      <c r="F716" s="1171"/>
      <c r="G716" s="1125">
        <v>10</v>
      </c>
      <c r="H716" s="1126"/>
      <c r="I716" s="1126"/>
      <c r="J716" s="1127"/>
      <c r="K716" s="1183">
        <v>960</v>
      </c>
      <c r="L716" s="1183"/>
      <c r="M716" s="1183"/>
      <c r="N716" s="1183"/>
      <c r="O716" s="1183"/>
      <c r="P716" s="1124">
        <f t="shared" si="26"/>
        <v>9600</v>
      </c>
      <c r="Q716" s="1124"/>
      <c r="R716" s="1124"/>
      <c r="S716" s="1124"/>
      <c r="T716" s="1124"/>
      <c r="U716" s="1184">
        <v>126</v>
      </c>
      <c r="V716" s="1185"/>
      <c r="W716" s="1185"/>
      <c r="X716" s="1186"/>
      <c r="Y716" s="1124">
        <f t="shared" si="28"/>
        <v>1086</v>
      </c>
      <c r="Z716" s="1124"/>
      <c r="AA716" s="1124"/>
      <c r="AB716" s="1124"/>
      <c r="AC716" s="1124"/>
      <c r="AD716" s="1114">
        <v>0.5</v>
      </c>
      <c r="AE716" s="1115"/>
      <c r="AF716" s="1115"/>
      <c r="AG716" s="1115"/>
      <c r="AH716" s="1116"/>
      <c r="AI716" s="1129">
        <f t="shared" si="27"/>
        <v>0.5</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7" t="s">
        <v>171</v>
      </c>
      <c r="C717" s="1170"/>
      <c r="D717" s="1170"/>
      <c r="E717" s="1170"/>
      <c r="F717" s="1171"/>
      <c r="G717" s="1125">
        <v>7</v>
      </c>
      <c r="H717" s="1126"/>
      <c r="I717" s="1126"/>
      <c r="J717" s="1127"/>
      <c r="K717" s="1183">
        <v>1613</v>
      </c>
      <c r="L717" s="1183"/>
      <c r="M717" s="1183"/>
      <c r="N717" s="1183"/>
      <c r="O717" s="1183"/>
      <c r="P717" s="1124">
        <f t="shared" si="26"/>
        <v>11291</v>
      </c>
      <c r="Q717" s="1124"/>
      <c r="R717" s="1124"/>
      <c r="S717" s="1124"/>
      <c r="T717" s="1124"/>
      <c r="U717" s="1184">
        <v>126</v>
      </c>
      <c r="V717" s="1185"/>
      <c r="W717" s="1185"/>
      <c r="X717" s="1186"/>
      <c r="Y717" s="1124">
        <f t="shared" si="28"/>
        <v>1739</v>
      </c>
      <c r="Z717" s="1124"/>
      <c r="AA717" s="1124"/>
      <c r="AB717" s="1124"/>
      <c r="AC717" s="1124"/>
      <c r="AD717" s="1114">
        <v>0.8</v>
      </c>
      <c r="AE717" s="1115"/>
      <c r="AF717" s="1115"/>
      <c r="AG717" s="1115"/>
      <c r="AH717" s="1116"/>
      <c r="AI717" s="1129">
        <f t="shared" si="27"/>
        <v>0.80064456721915289</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5"/>
      <c r="H718" s="1126"/>
      <c r="I718" s="1126"/>
      <c r="J718" s="1127"/>
      <c r="K718" s="1260"/>
      <c r="L718" s="1260"/>
      <c r="M718" s="1260"/>
      <c r="N718" s="1260"/>
      <c r="O718" s="1260"/>
      <c r="P718" s="1128">
        <f t="shared" si="26"/>
        <v>0</v>
      </c>
      <c r="Q718" s="1128"/>
      <c r="R718" s="1128"/>
      <c r="S718" s="1128"/>
      <c r="T718" s="1128"/>
      <c r="U718" s="1184"/>
      <c r="V718" s="1185"/>
      <c r="W718" s="1185"/>
      <c r="X718" s="1186"/>
      <c r="Y718" s="1128">
        <f t="shared" si="28"/>
        <v>0</v>
      </c>
      <c r="Z718" s="1128"/>
      <c r="AA718" s="1128"/>
      <c r="AB718" s="1128"/>
      <c r="AC718" s="1128"/>
      <c r="AD718" s="1114"/>
      <c r="AE718" s="1115"/>
      <c r="AF718" s="1115"/>
      <c r="AG718" s="1115"/>
      <c r="AH718" s="1116"/>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5"/>
      <c r="H719" s="1126"/>
      <c r="I719" s="1126"/>
      <c r="J719" s="1127"/>
      <c r="K719" s="1183"/>
      <c r="L719" s="1183"/>
      <c r="M719" s="1183"/>
      <c r="N719" s="1183"/>
      <c r="O719" s="1183"/>
      <c r="P719" s="1124">
        <f t="shared" si="26"/>
        <v>0</v>
      </c>
      <c r="Q719" s="1124"/>
      <c r="R719" s="1124"/>
      <c r="S719" s="1124"/>
      <c r="T719" s="1124"/>
      <c r="U719" s="1184"/>
      <c r="V719" s="1185"/>
      <c r="W719" s="1185"/>
      <c r="X719" s="1186"/>
      <c r="Y719" s="1124">
        <f t="shared" si="28"/>
        <v>0</v>
      </c>
      <c r="Z719" s="1124"/>
      <c r="AA719" s="1124"/>
      <c r="AB719" s="1124"/>
      <c r="AC719" s="1124"/>
      <c r="AD719" s="1114"/>
      <c r="AE719" s="1115"/>
      <c r="AF719" s="1115"/>
      <c r="AG719" s="1115"/>
      <c r="AH719" s="1116"/>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5"/>
      <c r="H720" s="1126"/>
      <c r="I720" s="1126"/>
      <c r="J720" s="1127"/>
      <c r="K720" s="1183"/>
      <c r="L720" s="1183"/>
      <c r="M720" s="1183"/>
      <c r="N720" s="1183"/>
      <c r="O720" s="1183"/>
      <c r="P720" s="1124">
        <f t="shared" si="26"/>
        <v>0</v>
      </c>
      <c r="Q720" s="1124"/>
      <c r="R720" s="1124"/>
      <c r="S720" s="1124"/>
      <c r="T720" s="1124"/>
      <c r="U720" s="1184">
        <v>0</v>
      </c>
      <c r="V720" s="1185"/>
      <c r="W720" s="1185"/>
      <c r="X720" s="1186"/>
      <c r="Y720" s="1124">
        <f t="shared" si="28"/>
        <v>0</v>
      </c>
      <c r="Z720" s="1124"/>
      <c r="AA720" s="1124"/>
      <c r="AB720" s="1124"/>
      <c r="AC720" s="1124"/>
      <c r="AD720" s="1114">
        <v>0</v>
      </c>
      <c r="AE720" s="1115"/>
      <c r="AF720" s="1115"/>
      <c r="AG720" s="1115"/>
      <c r="AH720" s="1116"/>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1">
        <f>SUM(G709:J733)</f>
        <v>71</v>
      </c>
      <c r="H734" s="1232"/>
      <c r="I734" s="1232"/>
      <c r="J734" s="1233"/>
      <c r="K734" s="1166" t="s">
        <v>131</v>
      </c>
      <c r="L734" s="1167"/>
      <c r="M734" s="1167"/>
      <c r="N734" s="1167"/>
      <c r="O734" s="1168"/>
      <c r="P734" s="1155">
        <f>SUM(P709:T733)</f>
        <v>72345</v>
      </c>
      <c r="Q734" s="1117"/>
      <c r="R734" s="1117"/>
      <c r="S734" s="1117"/>
      <c r="T734" s="1156"/>
      <c r="Y734" s="1239" t="s">
        <v>998</v>
      </c>
      <c r="Z734" s="1240"/>
      <c r="AA734" s="1240"/>
      <c r="AB734" s="1240"/>
      <c r="AC734" s="1241"/>
      <c r="AD734" s="1563">
        <f>AV675</f>
        <v>0.59859154929577463</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642</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8">
        <f>SUM(O754:S757)</f>
        <v>1</v>
      </c>
      <c r="P758" s="1419"/>
      <c r="Q758" s="1419"/>
      <c r="R758" s="1419"/>
      <c r="S758" s="1420"/>
      <c r="T758" s="1412" t="s">
        <v>131</v>
      </c>
      <c r="U758" s="1413"/>
      <c r="V758" s="1413"/>
      <c r="W758" s="1413"/>
      <c r="X758" s="1414"/>
      <c r="Y758" s="1155">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722</v>
      </c>
      <c r="K760" s="141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1">
        <f>SUM(O768:S777)</f>
        <v>0</v>
      </c>
      <c r="P778" s="1411"/>
      <c r="Q778" s="1411"/>
      <c r="R778" s="1411"/>
      <c r="S778" s="1411"/>
      <c r="T778" s="1412" t="s">
        <v>131</v>
      </c>
      <c r="U778" s="1413"/>
      <c r="V778" s="1413"/>
      <c r="W778" s="1413"/>
      <c r="X778" s="1414"/>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7" t="s">
        <v>516</v>
      </c>
      <c r="BB779" s="1238"/>
      <c r="BC779" s="58"/>
      <c r="BD779" s="58"/>
      <c r="BE779" s="58"/>
      <c r="BF779" s="51" t="s">
        <v>684</v>
      </c>
      <c r="BG779" s="51"/>
      <c r="BH779" s="51"/>
      <c r="BI779" s="51"/>
      <c r="BJ779" s="51"/>
      <c r="BK779" s="51"/>
      <c r="BL779" s="51"/>
      <c r="BM779" s="51"/>
      <c r="BN779" s="51"/>
      <c r="BO779" s="1234" t="str">
        <f>T191</f>
        <v>Sacramento</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72345</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868140</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214"/>
      <c r="AB788" s="1214"/>
      <c r="AC788" s="1214"/>
      <c r="AD788" s="1214"/>
      <c r="AE788" s="127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507</v>
      </c>
      <c r="BH788" s="56"/>
      <c r="BI788" s="56"/>
      <c r="BJ788" s="108" t="s">
        <v>683</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0</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7200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v>300</v>
      </c>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v>300</v>
      </c>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1792</v>
      </c>
      <c r="Q796" s="1153"/>
      <c r="R796" s="1153"/>
      <c r="S796" s="1153"/>
      <c r="T796" s="1153"/>
      <c r="U796" s="1153"/>
      <c r="V796" s="1153"/>
      <c r="W796" s="1153"/>
      <c r="X796" s="1153"/>
      <c r="Y796" s="1154"/>
      <c r="Z796" s="1141">
        <v>3000</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10800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878940</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0"/>
      <c r="R804" s="1150"/>
      <c r="S804" s="1150"/>
      <c r="T804" s="1150"/>
      <c r="U804" s="1150"/>
      <c r="V804" s="1150"/>
      <c r="W804" s="1150"/>
      <c r="X804" s="1150"/>
      <c r="Y804" s="1150"/>
      <c r="Z804" s="1150"/>
      <c r="AA804" s="1150"/>
      <c r="AB804" s="1150"/>
      <c r="AC804" s="1150"/>
      <c r="AD804" s="1150"/>
      <c r="AE804" s="1150"/>
      <c r="AF804" s="1150"/>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0"/>
      <c r="N805" s="1160"/>
      <c r="O805" s="1160"/>
      <c r="P805" s="1160"/>
      <c r="Q805" s="1160">
        <v>13</v>
      </c>
      <c r="R805" s="1160"/>
      <c r="S805" s="1160"/>
      <c r="T805" s="1160"/>
      <c r="U805" s="1160">
        <v>16</v>
      </c>
      <c r="V805" s="1160"/>
      <c r="W805" s="1160"/>
      <c r="X805" s="1160"/>
      <c r="Y805" s="1160">
        <v>19</v>
      </c>
      <c r="Z805" s="1160"/>
      <c r="AA805" s="1160"/>
      <c r="AB805" s="116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v>14</v>
      </c>
      <c r="R806" s="1160"/>
      <c r="S806" s="1160"/>
      <c r="T806" s="1160"/>
      <c r="U806" s="1160">
        <v>17</v>
      </c>
      <c r="V806" s="1160"/>
      <c r="W806" s="1160"/>
      <c r="X806" s="1160"/>
      <c r="Y806" s="1160">
        <v>21</v>
      </c>
      <c r="Z806" s="1160"/>
      <c r="AA806" s="1160"/>
      <c r="AB806" s="116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v>6</v>
      </c>
      <c r="R807" s="1160"/>
      <c r="S807" s="1160"/>
      <c r="T807" s="1160"/>
      <c r="U807" s="1160">
        <v>9</v>
      </c>
      <c r="V807" s="1160"/>
      <c r="W807" s="1160"/>
      <c r="X807" s="1160"/>
      <c r="Y807" s="1160">
        <v>11</v>
      </c>
      <c r="Z807" s="1160"/>
      <c r="AA807" s="1160"/>
      <c r="AB807" s="116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v>22</v>
      </c>
      <c r="R809" s="1160"/>
      <c r="S809" s="1160"/>
      <c r="T809" s="1160"/>
      <c r="U809" s="1160">
        <v>31</v>
      </c>
      <c r="V809" s="1160"/>
      <c r="W809" s="1160"/>
      <c r="X809" s="1160"/>
      <c r="Y809" s="1160">
        <v>39</v>
      </c>
      <c r="Z809" s="1160"/>
      <c r="AA809" s="1160"/>
      <c r="AB809" s="116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864</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1793</v>
      </c>
      <c r="G811" s="1164"/>
      <c r="H811" s="1164"/>
      <c r="I811" s="1164"/>
      <c r="J811" s="1164"/>
      <c r="K811" s="1164"/>
      <c r="L811" s="1165"/>
      <c r="M811" s="1160"/>
      <c r="N811" s="1160"/>
      <c r="O811" s="1160"/>
      <c r="P811" s="1160"/>
      <c r="Q811" s="1160">
        <f>9+20</f>
        <v>29</v>
      </c>
      <c r="R811" s="1160"/>
      <c r="S811" s="1160"/>
      <c r="T811" s="1160"/>
      <c r="U811" s="1160">
        <f>13+20</f>
        <v>33</v>
      </c>
      <c r="V811" s="1160"/>
      <c r="W811" s="1160"/>
      <c r="X811" s="1160"/>
      <c r="Y811" s="1160">
        <f>16+20</f>
        <v>36</v>
      </c>
      <c r="Z811" s="1160"/>
      <c r="AA811" s="1160"/>
      <c r="AB811" s="116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5">
        <f>SUM(M805:P811)</f>
        <v>0</v>
      </c>
      <c r="N812" s="1195"/>
      <c r="O812" s="1195"/>
      <c r="P812" s="1195"/>
      <c r="Q812" s="1195">
        <f>SUM(Q805:T811)</f>
        <v>84</v>
      </c>
      <c r="R812" s="1195"/>
      <c r="S812" s="1195"/>
      <c r="T812" s="1195"/>
      <c r="U812" s="1195">
        <f>SUM(U805:X811)</f>
        <v>106</v>
      </c>
      <c r="V812" s="1195"/>
      <c r="W812" s="1195"/>
      <c r="X812" s="1195"/>
      <c r="Y812" s="1195">
        <f>SUM(Y805:AB811)</f>
        <v>126</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1794</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5800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2000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3000</v>
      </c>
      <c r="X824" s="1229"/>
      <c r="Y824" s="1229"/>
      <c r="Z824" s="1229"/>
      <c r="AA824" s="1229"/>
      <c r="AB824" s="1229"/>
      <c r="AC824" s="1229"/>
      <c r="AD824" s="12"/>
      <c r="AE824" s="12"/>
      <c r="AF824" s="12"/>
      <c r="AG824" s="12"/>
      <c r="AH824" s="12"/>
      <c r="AI824" s="12"/>
      <c r="AJ824" s="12"/>
      <c r="AK824" s="12"/>
      <c r="AL824" s="12"/>
      <c r="AS824" s="21"/>
      <c r="AT824" s="56"/>
      <c r="AV824" s="1149">
        <f>ROUNDDOWN(AP908*2,2)</f>
        <v>0</v>
      </c>
      <c r="AW824" s="1149"/>
      <c r="AX824" s="1149"/>
      <c r="AY824" s="114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1795</v>
      </c>
      <c r="N826" s="1164"/>
      <c r="O826" s="1164"/>
      <c r="P826" s="1164"/>
      <c r="Q826" s="1164"/>
      <c r="R826" s="1164"/>
      <c r="S826" s="1164"/>
      <c r="T826" s="1164"/>
      <c r="U826" s="1164"/>
      <c r="V826" s="1165"/>
      <c r="W826" s="1229">
        <v>5190</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15990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33000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2">
        <v>200</v>
      </c>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700</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7700</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v>46200</v>
      </c>
      <c r="X834" s="1382"/>
      <c r="Y834" s="1382"/>
      <c r="Z834" s="1382"/>
      <c r="AA834" s="1382"/>
      <c r="AB834" s="1382"/>
      <c r="AC834" s="1382"/>
      <c r="AD834" s="12"/>
      <c r="AE834" s="12"/>
      <c r="AF834" s="12"/>
      <c r="AG834" s="12"/>
      <c r="AH834" s="12"/>
      <c r="AI834" s="12"/>
      <c r="AJ834" s="12"/>
      <c r="AK834" s="12"/>
      <c r="AL834" s="12"/>
      <c r="AM834" s="1410">
        <f>SUM(AM801:AM829)</f>
        <v>0</v>
      </c>
      <c r="AN834" s="141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54800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3">
        <v>34560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3">
        <v>34700</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1796</v>
      </c>
      <c r="N839" s="1164"/>
      <c r="O839" s="1164"/>
      <c r="P839" s="1164"/>
      <c r="Q839" s="1164"/>
      <c r="R839" s="1164"/>
      <c r="S839" s="1164"/>
      <c r="T839" s="1164"/>
      <c r="U839" s="1164"/>
      <c r="V839" s="1165"/>
      <c r="W839" s="1383">
        <v>17900</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87160</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14400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v>3600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42600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23100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1200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30800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1797</v>
      </c>
      <c r="N849" s="1164"/>
      <c r="O849" s="1164"/>
      <c r="P849" s="1164"/>
      <c r="Q849" s="1164"/>
      <c r="R849" s="1164"/>
      <c r="S849" s="1164"/>
      <c r="T849" s="1164"/>
      <c r="U849" s="1164"/>
      <c r="V849" s="1165"/>
      <c r="W849" s="1229">
        <v>27000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128300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63" t="s">
        <v>1798</v>
      </c>
      <c r="N852" s="1164"/>
      <c r="O852" s="1164"/>
      <c r="P852" s="1164"/>
      <c r="Q852" s="1164"/>
      <c r="R852" s="1164"/>
      <c r="S852" s="1164"/>
      <c r="T852" s="1164"/>
      <c r="U852" s="1164"/>
      <c r="V852" s="1165"/>
      <c r="W852" s="1141">
        <v>350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63" t="s">
        <v>1799</v>
      </c>
      <c r="N853" s="1164"/>
      <c r="O853" s="1164"/>
      <c r="P853" s="1164"/>
      <c r="Q853" s="1164"/>
      <c r="R853" s="1164"/>
      <c r="S853" s="1164"/>
      <c r="T853" s="1164"/>
      <c r="U853" s="1164"/>
      <c r="V853" s="1165"/>
      <c r="W853" s="1141">
        <v>800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1150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334800</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0">
        <f>O778+O758+G734</f>
        <v>72</v>
      </c>
      <c r="AD862" s="1551"/>
      <c r="AE862" s="1551"/>
      <c r="AF862" s="1551"/>
      <c r="AG862" s="1551"/>
      <c r="AH862" s="155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3">
        <f>IF(ISERROR((ROUNDDOWN(AC861/AC862,0))),0,(ROUNDDOWN(AC861/AC862,0)))</f>
        <v>4650</v>
      </c>
      <c r="AD863" s="1554"/>
      <c r="AE863" s="1554"/>
      <c r="AF863" s="1554"/>
      <c r="AG863" s="1554"/>
      <c r="AH863" s="155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0">
        <v>192651</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3"/>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16000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18000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5900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1800</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9">
        <v>10500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1065</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873</v>
      </c>
      <c r="G890" s="1395"/>
      <c r="H890" s="1395"/>
      <c r="I890" s="1395"/>
      <c r="J890" s="1395"/>
      <c r="K890" s="1395"/>
      <c r="L890" s="1395"/>
      <c r="M890" s="1395"/>
      <c r="N890" s="1395"/>
      <c r="O890" s="1395"/>
      <c r="P890" s="1395"/>
      <c r="Q890" s="1395"/>
      <c r="R890" s="1395"/>
      <c r="S890" s="1395"/>
      <c r="T890" s="1396"/>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902</v>
      </c>
      <c r="G891" s="1334"/>
      <c r="H891" s="1334"/>
      <c r="I891" s="1334"/>
      <c r="J891" s="1334"/>
      <c r="K891" s="1334"/>
      <c r="L891" s="1334"/>
      <c r="M891" s="1334"/>
      <c r="N891" s="1334"/>
      <c r="O891" s="1334"/>
      <c r="P891" s="1334"/>
      <c r="Q891" s="1334"/>
      <c r="R891" s="1334"/>
      <c r="S891" s="1334"/>
      <c r="T891" s="1548"/>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49"/>
      <c r="U892" s="1335"/>
      <c r="V892" s="1336"/>
      <c r="W892" s="1336"/>
      <c r="X892" s="1336"/>
      <c r="Y892" s="1336"/>
      <c r="Z892" s="1336"/>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8">
        <v>16800000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4" t="s">
        <v>592</v>
      </c>
      <c r="V894" s="1225"/>
      <c r="W894" s="1225"/>
      <c r="X894" s="1225"/>
      <c r="Y894" s="1225"/>
      <c r="Z894" s="1226"/>
      <c r="AA894" s="1188">
        <v>2200000</v>
      </c>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4" t="s">
        <v>592</v>
      </c>
      <c r="V903" s="1225"/>
      <c r="W903" s="1225"/>
      <c r="X903" s="1225"/>
      <c r="Y903" s="1225"/>
      <c r="Z903" s="1226"/>
      <c r="AA903" s="1188">
        <v>3350000</v>
      </c>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8"/>
      <c r="AB905" s="1189"/>
      <c r="AC905" s="1189"/>
      <c r="AD905" s="1189"/>
      <c r="AE905" s="1189"/>
      <c r="AF905" s="1190"/>
      <c r="AM905" s="1404">
        <f>G734+O778</f>
        <v>71</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8"/>
      <c r="AB906" s="1189"/>
      <c r="AC906" s="1189"/>
      <c r="AD906" s="1189"/>
      <c r="AE906" s="1189"/>
      <c r="AF906" s="1190"/>
      <c r="AM906" s="52"/>
      <c r="AN906" s="21"/>
      <c r="AO906" s="1379">
        <f>ROUNDDOWN(X999/I999,2)</f>
        <v>0.56999999999999995</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8"/>
      <c r="AB907" s="1189"/>
      <c r="AC907" s="1189"/>
      <c r="AD907" s="1189"/>
      <c r="AE907" s="1189"/>
      <c r="AF907" s="1190"/>
      <c r="AM907" s="52"/>
      <c r="AN907" s="52"/>
      <c r="AO907" s="1358">
        <f>ROUNDDOWN(X1003/I1003,2)</f>
        <v>0.05</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4" t="s">
        <v>722</v>
      </c>
      <c r="Q908" s="1225"/>
      <c r="R908" s="1225"/>
      <c r="S908" s="1225"/>
      <c r="T908" s="1226"/>
      <c r="U908" s="1224" t="s">
        <v>642</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386"/>
      <c r="K909" s="1386"/>
      <c r="L909" s="1386"/>
      <c r="M909" s="1386"/>
      <c r="N909" s="1386"/>
      <c r="O909" s="1386"/>
      <c r="P909" s="1386"/>
      <c r="Q909" s="1386"/>
      <c r="R909" s="1386"/>
      <c r="S909" s="1386"/>
      <c r="T909" s="1387"/>
      <c r="U909" s="1224" t="s">
        <v>642</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2" t="s">
        <v>1760</v>
      </c>
      <c r="J910" s="1153"/>
      <c r="K910" s="1153"/>
      <c r="L910" s="1153"/>
      <c r="M910" s="1153"/>
      <c r="N910" s="1153"/>
      <c r="O910" s="1153"/>
      <c r="P910" s="1153"/>
      <c r="Q910" s="1153"/>
      <c r="R910" s="1153"/>
      <c r="S910" s="1153"/>
      <c r="T910" s="1154"/>
      <c r="U910" s="1224" t="s">
        <v>592</v>
      </c>
      <c r="V910" s="1225"/>
      <c r="W910" s="1225"/>
      <c r="X910" s="1225"/>
      <c r="Y910" s="1225"/>
      <c r="Z910" s="1226"/>
      <c r="AA910" s="1188">
        <v>4680000</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2" t="s">
        <v>1761</v>
      </c>
      <c r="J911" s="1153"/>
      <c r="K911" s="1153"/>
      <c r="L911" s="1153"/>
      <c r="M911" s="1153"/>
      <c r="N911" s="1153"/>
      <c r="O911" s="1153"/>
      <c r="P911" s="1153"/>
      <c r="Q911" s="1153"/>
      <c r="R911" s="1153"/>
      <c r="S911" s="1153"/>
      <c r="T911" s="1154"/>
      <c r="U911" s="1224" t="s">
        <v>722</v>
      </c>
      <c r="V911" s="1225"/>
      <c r="W911" s="1225"/>
      <c r="X911" s="1225"/>
      <c r="Y911" s="1225"/>
      <c r="Z911" s="1226"/>
      <c r="AA911" s="1188">
        <v>121545</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46" t="s">
        <v>357</v>
      </c>
      <c r="J912" s="1153"/>
      <c r="K912" s="1153"/>
      <c r="L912" s="1153"/>
      <c r="M912" s="1153"/>
      <c r="N912" s="1153"/>
      <c r="O912" s="1153"/>
      <c r="P912" s="1153"/>
      <c r="Q912" s="1153"/>
      <c r="R912" s="1153"/>
      <c r="S912" s="1153"/>
      <c r="T912" s="1154"/>
      <c r="U912" s="1224" t="s">
        <v>642</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c r="N917" s="1214"/>
      <c r="O917" s="1214"/>
      <c r="P917" s="1214"/>
      <c r="Q917" s="1214"/>
      <c r="R917" s="1214"/>
      <c r="S917" s="1270"/>
      <c r="U917" s="103" t="s">
        <v>11</v>
      </c>
      <c r="V917" s="77"/>
      <c r="W917" s="77"/>
      <c r="X917" s="77"/>
      <c r="Y917" s="77"/>
      <c r="Z917" s="77"/>
      <c r="AA917" s="77"/>
      <c r="AB917" s="77"/>
      <c r="AC917" s="77"/>
      <c r="AD917" s="78"/>
      <c r="AE917" s="1269"/>
      <c r="AF917" s="1214"/>
      <c r="AG917" s="1214"/>
      <c r="AH917" s="1214"/>
      <c r="AI917" s="1214"/>
      <c r="AJ917" s="1214"/>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2" t="s">
        <v>329</v>
      </c>
      <c r="K919" s="1373"/>
      <c r="L919" s="1373"/>
      <c r="M919" s="1373"/>
      <c r="N919" s="1373"/>
      <c r="O919" s="1373"/>
      <c r="P919" s="1373"/>
      <c r="Q919" s="1373"/>
      <c r="R919" s="1373"/>
      <c r="S919" s="1374"/>
      <c r="U919" s="103" t="s">
        <v>974</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5"/>
      <c r="N929" s="1206"/>
      <c r="O929" s="1206"/>
      <c r="P929" s="1206"/>
      <c r="Q929" s="1206"/>
      <c r="R929" s="1206"/>
      <c r="S929" s="1207"/>
      <c r="T929" s="103" t="s">
        <v>871</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5"/>
      <c r="N930" s="1206"/>
      <c r="O930" s="1206"/>
      <c r="P930" s="1206"/>
      <c r="Q930" s="1206"/>
      <c r="R930" s="1206"/>
      <c r="S930" s="1207"/>
      <c r="T930" s="103" t="s">
        <v>870</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5" t="s">
        <v>329</v>
      </c>
      <c r="N934" s="1356"/>
      <c r="O934" s="1356"/>
      <c r="P934" s="1356"/>
      <c r="Q934" s="1356"/>
      <c r="R934" s="1356"/>
      <c r="S934" s="1357"/>
      <c r="T934" s="1326"/>
      <c r="U934" s="1327"/>
      <c r="V934" s="1327"/>
      <c r="W934" s="1327"/>
      <c r="X934" s="1327"/>
      <c r="Y934" s="1327"/>
      <c r="Z934" s="1328"/>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5"/>
      <c r="N935" s="1206"/>
      <c r="O935" s="1206"/>
      <c r="P935" s="1206"/>
      <c r="Q935" s="1206"/>
      <c r="R935" s="1206"/>
      <c r="S935" s="1207"/>
      <c r="T935" s="1326"/>
      <c r="U935" s="1327"/>
      <c r="V935" s="1327"/>
      <c r="W935" s="1327"/>
      <c r="X935" s="1327"/>
      <c r="Y935" s="1327"/>
      <c r="Z935" s="1328"/>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722</v>
      </c>
      <c r="P936" s="1298"/>
      <c r="Q936" s="142"/>
      <c r="R936" s="142"/>
      <c r="S936" s="143"/>
      <c r="T936" s="71" t="s">
        <v>177</v>
      </c>
      <c r="U936" s="72"/>
      <c r="V936" s="72"/>
      <c r="W936" s="1406"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5"/>
      <c r="N937" s="1206"/>
      <c r="O937" s="1206"/>
      <c r="P937" s="1206"/>
      <c r="Q937" s="1206"/>
      <c r="R937" s="1206"/>
      <c r="S937" s="1207"/>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688</v>
      </c>
      <c r="C946" s="1364"/>
      <c r="D946" s="1364"/>
      <c r="E946" s="1364"/>
      <c r="F946" s="1364"/>
      <c r="G946" s="1364"/>
      <c r="H946" s="1364"/>
      <c r="I946" s="1364"/>
      <c r="J946" s="1364"/>
      <c r="K946" s="1364"/>
      <c r="L946" s="1364" t="s">
        <v>689</v>
      </c>
      <c r="M946" s="1364"/>
      <c r="N946" s="1364"/>
      <c r="O946" s="1364"/>
      <c r="P946" s="1364"/>
      <c r="Q946" s="1364"/>
      <c r="R946" s="1364"/>
      <c r="S946" s="1364"/>
      <c r="T946" s="1364"/>
      <c r="U946" s="1364"/>
      <c r="V946" s="1364" t="s">
        <v>690</v>
      </c>
      <c r="W946" s="1364"/>
      <c r="X946" s="1364"/>
      <c r="Y946" s="1364"/>
      <c r="Z946" s="1364"/>
      <c r="AA946" s="1364"/>
      <c r="AB946" s="1364"/>
      <c r="AC946" s="1364"/>
      <c r="AD946" s="1375" t="s">
        <v>691</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0">
        <f>IF(ISNA(IF($BA$779="4%",(INDEX($BC$789:$BG$846,MATCH($BO$779,$BB$789:$BB$846,0),MATCH(B947,$BC$788:$BG$788,0))),(INDEX($BJ$789:$BN$846,MATCH($BO$779,$BI$789:$BI$846,0),MATCH(B947,$BJ$788:$BN$788,0))))),0,IF($BA$779="4%",(INDEX($BC$789:$BG$846,MATCH($BO$779,$BB$789:$BB$846,0),MATCH(B947,$BC$788:$BG$788,0))),(INDEX($BJ$789:$BN$846,MATCH($BO$779,$BI$789:$BI$846,0),MATCH(B947,$BJ$788:$BN$788,0)))))</f>
        <v>261141</v>
      </c>
      <c r="M947" s="1341"/>
      <c r="N947" s="1341"/>
      <c r="O947" s="1341"/>
      <c r="P947" s="1341"/>
      <c r="Q947" s="1341"/>
      <c r="R947" s="1341"/>
      <c r="S947" s="1341"/>
      <c r="T947" s="1341"/>
      <c r="U947" s="1342"/>
      <c r="V947" s="1371">
        <f>BA635</f>
        <v>0</v>
      </c>
      <c r="W947" s="1371"/>
      <c r="X947" s="1371"/>
      <c r="Y947" s="1371"/>
      <c r="Z947" s="1371"/>
      <c r="AA947" s="1371"/>
      <c r="AB947" s="1371"/>
      <c r="AC947" s="1371"/>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0">
        <f>IF(ISNA(IF($BA$779="4%",(INDEX($BC$789:$BG$846,MATCH($BO$779,$BB$789:$BB$846,0),MATCH(B948,$BC$788:$BG$788,0))),(INDEX($BJ$789:$BN$846,MATCH($BO$779,$BI$789:$BI$846,0),MATCH(B948,$BJ$788:$BN$788,0))))),0,IF($BA$779="4%",(INDEX($BC$789:$BG$846,MATCH($BO$779,$BB$789:$BB$846,0),MATCH(B948,$BC$788:$BG$788,0))),(INDEX($BJ$789:$BN$846,MATCH($BO$779,$BI$789:$BI$846,0),MATCH(B948,$BJ$788:$BN$788,0)))))</f>
        <v>301093</v>
      </c>
      <c r="M948" s="1341"/>
      <c r="N948" s="1341"/>
      <c r="O948" s="1341"/>
      <c r="P948" s="1341"/>
      <c r="Q948" s="1341"/>
      <c r="R948" s="1341"/>
      <c r="S948" s="1341"/>
      <c r="T948" s="1341"/>
      <c r="U948" s="1342"/>
      <c r="V948" s="1371">
        <f>BF635</f>
        <v>18</v>
      </c>
      <c r="W948" s="1371"/>
      <c r="X948" s="1371"/>
      <c r="Y948" s="1371"/>
      <c r="Z948" s="1371"/>
      <c r="AA948" s="1371"/>
      <c r="AB948" s="1371"/>
      <c r="AC948" s="1371"/>
      <c r="AD948" s="1285">
        <f>IF(ISERROR((L948*V948)),0,(L948*V948))</f>
        <v>5419674</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0">
        <f>IF(ISNA(IF($BA$779="4%",(INDEX($BC$789:$BG$846,MATCH($BO$779,$BB$789:$BB$846,0),MATCH(B949,$BC$788:$BG$788,0))),(INDEX($BJ$789:$BN$846,MATCH($BO$779,$BI$789:$BI$846,0),MATCH(B949,$BJ$788:$BN$788,0))))),0,IF($BA$779="4%",(INDEX($BC$789:$BG$846,MATCH($BO$779,$BB$789:$BB$846,0),MATCH(B949,$BC$788:$BG$788,0))),(INDEX($BJ$789:$BN$846,MATCH($BO$779,$BI$789:$BI$846,0),MATCH(B949,$BJ$788:$BN$788,0)))))</f>
        <v>363200</v>
      </c>
      <c r="M949" s="1341"/>
      <c r="N949" s="1341"/>
      <c r="O949" s="1341"/>
      <c r="P949" s="1341"/>
      <c r="Q949" s="1341"/>
      <c r="R949" s="1341"/>
      <c r="S949" s="1341"/>
      <c r="T949" s="1341"/>
      <c r="U949" s="1342"/>
      <c r="V949" s="1371">
        <f>BK635</f>
        <v>36</v>
      </c>
      <c r="W949" s="1371"/>
      <c r="X949" s="1371"/>
      <c r="Y949" s="1371"/>
      <c r="Z949" s="1371"/>
      <c r="AA949" s="1371"/>
      <c r="AB949" s="1371"/>
      <c r="AC949" s="1371"/>
      <c r="AD949" s="1285">
        <f>IF(ISERROR((L949*V949)),0,(L949*V949))</f>
        <v>13075200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0">
        <f>IF(ISNA(IF($BA$779="4%",(INDEX($BC$789:$BG$846,MATCH($BO$779,$BB$789:$BB$846,0),MATCH(B950,$BC$788:$BG$788,0))),(INDEX($BJ$789:$BN$846,MATCH($BO$779,$BI$789:$BI$846,0),MATCH(B950,$BJ$788:$BN$788,0))))),0,IF($BA$779="4%",(INDEX($BC$789:$BG$846,MATCH($BO$779,$BB$789:$BB$846,0),MATCH(B950,$BC$788:$BG$788,0))),(INDEX($BJ$789:$BN$846,MATCH($BO$779,$BI$789:$BI$846,0),MATCH(B950,$BJ$788:$BN$788,0)))))</f>
        <v>464896</v>
      </c>
      <c r="M950" s="1341"/>
      <c r="N950" s="1341"/>
      <c r="O950" s="1341"/>
      <c r="P950" s="1341"/>
      <c r="Q950" s="1341"/>
      <c r="R950" s="1341"/>
      <c r="S950" s="1341"/>
      <c r="T950" s="1341"/>
      <c r="U950" s="1342"/>
      <c r="V950" s="1371">
        <f>BP635</f>
        <v>18</v>
      </c>
      <c r="W950" s="1371"/>
      <c r="X950" s="1371"/>
      <c r="Y950" s="1371"/>
      <c r="Z950" s="1371"/>
      <c r="AA950" s="1371"/>
      <c r="AB950" s="1371"/>
      <c r="AC950" s="1371"/>
      <c r="AD950" s="1285">
        <f>IF(ISERROR((L950*V950)),0,(L950*V950))</f>
        <v>8368128</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507</v>
      </c>
      <c r="C951" s="1203"/>
      <c r="D951" s="1203"/>
      <c r="E951" s="1203"/>
      <c r="F951" s="1203"/>
      <c r="G951" s="1203"/>
      <c r="H951" s="1203"/>
      <c r="I951" s="1203"/>
      <c r="J951" s="1203"/>
      <c r="K951" s="1203"/>
      <c r="L951" s="1340">
        <f>IF(ISNA(IF($BA$779="4%",(INDEX($BC$789:$BG$846,MATCH($BO$779,$BB$789:$BB$846,0),MATCH(B951,$BC$788:$BG$788,0))),(INDEX($BJ$789:$BN$846,MATCH($BO$779,$BI$789:$BI$846,0),MATCH(B951,$BJ$788:$BN$788,0))))),0,IF($BA$779="4%",(INDEX($BC$789:$BG$846,MATCH($BO$779,$BB$789:$BB$846,0),MATCH(B951,$BC$788:$BG$788,0))),(INDEX($BJ$789:$BN$846,MATCH($BO$779,$BI$789:$BI$846,0),MATCH(B951,$BJ$788:$BN$788,0)))))</f>
        <v>517923</v>
      </c>
      <c r="M951" s="1341"/>
      <c r="N951" s="1341"/>
      <c r="O951" s="1341"/>
      <c r="P951" s="1341"/>
      <c r="Q951" s="1341"/>
      <c r="R951" s="1341"/>
      <c r="S951" s="1341"/>
      <c r="T951" s="1341"/>
      <c r="U951" s="1342"/>
      <c r="V951" s="1371">
        <f>BZ635+BU635</f>
        <v>0</v>
      </c>
      <c r="W951" s="1371"/>
      <c r="X951" s="1371"/>
      <c r="Y951" s="1371"/>
      <c r="Z951" s="1371"/>
      <c r="AA951" s="1371"/>
      <c r="AB951" s="1371"/>
      <c r="AC951" s="1371"/>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872</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7">
        <f>SUM(V947:AC951)</f>
        <v>72</v>
      </c>
      <c r="W952" s="1398"/>
      <c r="X952" s="1398"/>
      <c r="Y952" s="1398"/>
      <c r="Z952" s="1398"/>
      <c r="AA952" s="1398"/>
      <c r="AB952" s="1398"/>
      <c r="AC952" s="1399"/>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6">
        <f>SUM(AD947:AK951)</f>
        <v>26863002</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719</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0" t="s">
        <v>1481</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69" t="s">
        <v>722</v>
      </c>
      <c r="AB955" s="1370"/>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76" t="s">
        <v>1482</v>
      </c>
      <c r="E956" s="1577"/>
      <c r="F956" s="1577"/>
      <c r="G956" s="1577"/>
      <c r="H956" s="1577"/>
      <c r="I956" s="1577"/>
      <c r="J956" s="1577"/>
      <c r="K956" s="1577"/>
      <c r="L956" s="1577"/>
      <c r="M956" s="1577"/>
      <c r="N956" s="1577"/>
      <c r="O956" s="1577"/>
      <c r="P956" s="1577"/>
      <c r="Q956" s="1577"/>
      <c r="R956" s="1577"/>
      <c r="S956" s="1577"/>
      <c r="T956" s="1577"/>
      <c r="U956" s="1577"/>
      <c r="V956" s="1577"/>
      <c r="W956" s="1577"/>
      <c r="X956" s="1577"/>
      <c r="Y956" s="1578"/>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1608</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1" t="s">
        <v>1605</v>
      </c>
      <c r="E959" s="1582"/>
      <c r="F959" s="1582"/>
      <c r="G959" s="1582"/>
      <c r="H959" s="1582"/>
      <c r="I959" s="1582"/>
      <c r="J959" s="1582"/>
      <c r="K959" s="1582"/>
      <c r="L959" s="1582"/>
      <c r="M959" s="1582"/>
      <c r="N959" s="1582"/>
      <c r="O959" s="1582"/>
      <c r="P959" s="1582"/>
      <c r="Q959" s="1582"/>
      <c r="R959" s="1582"/>
      <c r="S959" s="1582"/>
      <c r="T959" s="1582"/>
      <c r="U959" s="1582"/>
      <c r="V959" s="1582"/>
      <c r="W959" s="1582"/>
      <c r="X959" s="1582"/>
      <c r="Y959" s="1583"/>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1"/>
      <c r="E960" s="1582"/>
      <c r="F960" s="1582"/>
      <c r="G960" s="1582"/>
      <c r="H960" s="1582"/>
      <c r="I960" s="1582"/>
      <c r="J960" s="1582"/>
      <c r="K960" s="1582"/>
      <c r="L960" s="1582"/>
      <c r="M960" s="1582"/>
      <c r="N960" s="1582"/>
      <c r="O960" s="1582"/>
      <c r="P960" s="1582"/>
      <c r="Q960" s="1582"/>
      <c r="R960" s="1582"/>
      <c r="S960" s="1582"/>
      <c r="T960" s="1582"/>
      <c r="U960" s="1582"/>
      <c r="V960" s="1582"/>
      <c r="W960" s="1582"/>
      <c r="X960" s="1582"/>
      <c r="Y960" s="1583"/>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1"/>
      <c r="E961" s="1582"/>
      <c r="F961" s="1582"/>
      <c r="G961" s="1582"/>
      <c r="H961" s="1582"/>
      <c r="I961" s="1582"/>
      <c r="J961" s="1582"/>
      <c r="K961" s="1582"/>
      <c r="L961" s="1582"/>
      <c r="M961" s="1582"/>
      <c r="N961" s="1582"/>
      <c r="O961" s="1582"/>
      <c r="P961" s="1582"/>
      <c r="Q961" s="1582"/>
      <c r="R961" s="1582"/>
      <c r="S961" s="1582"/>
      <c r="T961" s="1582"/>
      <c r="U961" s="1582"/>
      <c r="V961" s="1582"/>
      <c r="W961" s="1582"/>
      <c r="X961" s="1582"/>
      <c r="Y961" s="1583"/>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1"/>
      <c r="E962" s="1582"/>
      <c r="F962" s="1582"/>
      <c r="G962" s="1582"/>
      <c r="H962" s="1582"/>
      <c r="I962" s="1582"/>
      <c r="J962" s="1582"/>
      <c r="K962" s="1582"/>
      <c r="L962" s="1582"/>
      <c r="M962" s="1582"/>
      <c r="N962" s="1582"/>
      <c r="O962" s="1582"/>
      <c r="P962" s="1582"/>
      <c r="Q962" s="1582"/>
      <c r="R962" s="1582"/>
      <c r="S962" s="1582"/>
      <c r="T962" s="1582"/>
      <c r="U962" s="1582"/>
      <c r="V962" s="1582"/>
      <c r="W962" s="1582"/>
      <c r="X962" s="1582"/>
      <c r="Y962" s="1583"/>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1"/>
      <c r="E963" s="1582"/>
      <c r="F963" s="1582"/>
      <c r="G963" s="1582"/>
      <c r="H963" s="1582"/>
      <c r="I963" s="1582"/>
      <c r="J963" s="1582"/>
      <c r="K963" s="1582"/>
      <c r="L963" s="1582"/>
      <c r="M963" s="1582"/>
      <c r="N963" s="1582"/>
      <c r="O963" s="1582"/>
      <c r="P963" s="1582"/>
      <c r="Q963" s="1582"/>
      <c r="R963" s="1582"/>
      <c r="S963" s="1582"/>
      <c r="T963" s="1582"/>
      <c r="U963" s="1582"/>
      <c r="V963" s="1582"/>
      <c r="W963" s="1582"/>
      <c r="X963" s="1582"/>
      <c r="Y963" s="1583"/>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6"/>
      <c r="E964" s="1584"/>
      <c r="F964" s="1584"/>
      <c r="G964" s="1584"/>
      <c r="H964" s="1584"/>
      <c r="I964" s="1584"/>
      <c r="J964" s="1584"/>
      <c r="K964" s="1584"/>
      <c r="L964" s="1584"/>
      <c r="M964" s="1584"/>
      <c r="N964" s="1584"/>
      <c r="O964" s="1584"/>
      <c r="P964" s="1584"/>
      <c r="Q964" s="1584"/>
      <c r="R964" s="1584"/>
      <c r="S964" s="1584"/>
      <c r="T964" s="1584"/>
      <c r="U964" s="1584"/>
      <c r="V964" s="1584"/>
      <c r="W964" s="1584"/>
      <c r="X964" s="1584"/>
      <c r="Y964" s="1585"/>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0" t="s">
        <v>1607</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1606</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1609</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722</v>
      </c>
      <c r="AB969" s="1243"/>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3" t="s">
        <v>1610</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50" t="s">
        <v>1611</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5" t="s">
        <v>722</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7" t="s">
        <v>1612</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1613</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7" t="s">
        <v>1614</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0"/>
      <c r="AE976" s="1181"/>
      <c r="AF976" s="1181"/>
      <c r="AG976" s="1181"/>
      <c r="AH976" s="1181"/>
      <c r="AI976" s="1181"/>
      <c r="AJ976" s="1181"/>
      <c r="AK976" s="1182"/>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86" t="s">
        <v>1615</v>
      </c>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8"/>
      <c r="Z978" s="115"/>
      <c r="AA978" s="1242" t="s">
        <v>722</v>
      </c>
      <c r="AB978" s="1243"/>
      <c r="AC978" s="51"/>
      <c r="AD978" s="1288"/>
      <c r="AE978" s="1289"/>
      <c r="AF978" s="1289"/>
      <c r="AG978" s="1289"/>
      <c r="AH978" s="1289"/>
      <c r="AI978" s="1289"/>
      <c r="AJ978" s="1289"/>
      <c r="AK978" s="1290"/>
      <c r="AL978" s="105"/>
    </row>
    <row r="979" spans="1:38" ht="12.75" customHeight="1">
      <c r="A979" s="51"/>
      <c r="B979" s="122"/>
      <c r="C979" s="125"/>
      <c r="D979" s="1589"/>
      <c r="E979" s="1590"/>
      <c r="F979" s="1590"/>
      <c r="G979" s="1590"/>
      <c r="H979" s="1590"/>
      <c r="I979" s="1590"/>
      <c r="J979" s="1590"/>
      <c r="K979" s="1590"/>
      <c r="L979" s="1590"/>
      <c r="M979" s="1590"/>
      <c r="N979" s="1590"/>
      <c r="O979" s="1590"/>
      <c r="P979" s="1590"/>
      <c r="Q979" s="1590"/>
      <c r="R979" s="1590"/>
      <c r="S979" s="1590"/>
      <c r="T979" s="1590"/>
      <c r="U979" s="1590"/>
      <c r="V979" s="1590"/>
      <c r="W979" s="1590"/>
      <c r="X979" s="1590"/>
      <c r="Y979" s="1591"/>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7" t="s">
        <v>1616</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642</v>
      </c>
      <c r="K983" s="1308"/>
      <c r="L983" s="1308"/>
      <c r="M983" s="1308"/>
      <c r="N983" s="1308"/>
      <c r="O983" s="1308"/>
      <c r="P983" s="1308"/>
      <c r="Q983" s="1309"/>
      <c r="R983" s="7"/>
      <c r="S983" s="7"/>
      <c r="T983" s="164"/>
      <c r="U983" s="7"/>
      <c r="V983" s="1347" t="str">
        <f>IF(AA978="yes",(AD953*0.15),"")</f>
        <v/>
      </c>
      <c r="W983" s="1347"/>
      <c r="X983" s="1347"/>
      <c r="Y983" s="1348"/>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50" t="s">
        <v>1617</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592</v>
      </c>
      <c r="AB984" s="1243"/>
      <c r="AC984" s="51"/>
      <c r="AD984" s="1288">
        <f>2352233-121545</f>
        <v>2230688</v>
      </c>
      <c r="AE984" s="1289"/>
      <c r="AF984" s="1289"/>
      <c r="AG984" s="1289"/>
      <c r="AH984" s="1289"/>
      <c r="AI984" s="1289"/>
      <c r="AJ984" s="1289"/>
      <c r="AK984" s="1290"/>
      <c r="AL984" s="105"/>
    </row>
    <row r="985" spans="1:38" ht="12.75" customHeight="1">
      <c r="A985" s="51"/>
      <c r="B985" s="113"/>
      <c r="C985" s="114"/>
      <c r="D985" s="1247" t="s">
        <v>1618</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5" t="str">
        <f>IF(AA984="yes","Please Enter Amount:",0)</f>
        <v>Please Enter Amount:</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50" t="s">
        <v>1619</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5" t="s">
        <v>722</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7" t="s">
        <v>1620</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0"/>
      <c r="AE989" s="1181"/>
      <c r="AF989" s="1181"/>
      <c r="AG989" s="1181"/>
      <c r="AH989" s="1181"/>
      <c r="AI989" s="1181"/>
      <c r="AJ989" s="1181"/>
      <c r="AK989" s="1182"/>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0"/>
      <c r="AE990" s="1181"/>
      <c r="AF990" s="1181"/>
      <c r="AG990" s="1181"/>
      <c r="AH990" s="1181"/>
      <c r="AI990" s="1181"/>
      <c r="AJ990" s="1181"/>
      <c r="AK990" s="1182"/>
      <c r="AL990" s="105"/>
    </row>
    <row r="991" spans="1:38" ht="12.75" customHeight="1">
      <c r="A991" s="51"/>
      <c r="B991" s="120"/>
      <c r="C991" s="555" t="s">
        <v>741</v>
      </c>
      <c r="D991" s="1250" t="s">
        <v>1621</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5" t="s">
        <v>592</v>
      </c>
      <c r="AB991" s="1176"/>
      <c r="AC991" s="127"/>
      <c r="AD991" s="1177">
        <f>ROUND(IF(AA991="yes",(AD953*0.1),0),0)</f>
        <v>2686300</v>
      </c>
      <c r="AE991" s="1178"/>
      <c r="AF991" s="1178"/>
      <c r="AG991" s="1178"/>
      <c r="AH991" s="1178"/>
      <c r="AI991" s="1178"/>
      <c r="AJ991" s="1178"/>
      <c r="AK991" s="1179"/>
      <c r="AL991" s="105"/>
    </row>
    <row r="992" spans="1:38" s="706" customFormat="1" ht="12.75" customHeight="1">
      <c r="A992" s="51"/>
      <c r="B992" s="113"/>
      <c r="C992" s="114"/>
      <c r="D992" s="1247" t="s">
        <v>1622</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0" t="s">
        <v>1626</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0" t="str">
        <f>IF(X999&gt;0,"Yes","No")</f>
        <v>Yes</v>
      </c>
      <c r="AB996" s="1281"/>
      <c r="AC996" s="128"/>
      <c r="AD996" s="1271">
        <f>IF((X999=0),"",AO906*AD953)</f>
        <v>15311911.139999999</v>
      </c>
      <c r="AE996" s="1272"/>
      <c r="AF996" s="1272"/>
      <c r="AG996" s="1272"/>
      <c r="AH996" s="1272"/>
      <c r="AI996" s="1272"/>
      <c r="AJ996" s="1272"/>
      <c r="AK996" s="1273"/>
      <c r="AL996" s="105"/>
    </row>
    <row r="997" spans="1:38" s="743" customFormat="1" ht="12.75" customHeight="1">
      <c r="A997" s="51"/>
      <c r="B997" s="113"/>
      <c r="C997" s="726"/>
      <c r="D997" s="1247" t="s">
        <v>1625</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1080</v>
      </c>
      <c r="E999" s="208"/>
      <c r="F999" s="208"/>
      <c r="G999" s="208"/>
      <c r="H999" s="104"/>
      <c r="I999" s="1301">
        <f>AM905</f>
        <v>71</v>
      </c>
      <c r="J999" s="1302"/>
      <c r="K999" s="51"/>
      <c r="L999" s="104"/>
      <c r="M999" s="208"/>
      <c r="N999" s="208"/>
      <c r="O999" s="208"/>
      <c r="P999" s="208"/>
      <c r="Q999" s="208"/>
      <c r="R999" s="208"/>
      <c r="S999" s="208"/>
      <c r="T999" s="208"/>
      <c r="U999" s="208"/>
      <c r="V999" s="104"/>
      <c r="W999" s="209" t="s">
        <v>1081</v>
      </c>
      <c r="X999" s="1303">
        <f>AT614</f>
        <v>41</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1154</v>
      </c>
      <c r="D1000" s="1250" t="s">
        <v>1624</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0" t="str">
        <f>IF(X1003&gt;0,"Yes","No")</f>
        <v>Yes</v>
      </c>
      <c r="AB1000" s="1281"/>
      <c r="AC1000" s="124"/>
      <c r="AD1000" s="1271">
        <f>IF((X1003=0)," ",(2*AO907)*AD953)</f>
        <v>2686300.2</v>
      </c>
      <c r="AE1000" s="1272"/>
      <c r="AF1000" s="1272"/>
      <c r="AG1000" s="1272"/>
      <c r="AH1000" s="1272"/>
      <c r="AI1000" s="1272"/>
      <c r="AJ1000" s="1272"/>
      <c r="AK1000" s="1273"/>
      <c r="AL1000" s="105"/>
    </row>
    <row r="1001" spans="1:38" s="743" customFormat="1" ht="12.75" customHeight="1">
      <c r="A1001" s="51"/>
      <c r="B1001" s="113"/>
      <c r="C1001" s="726"/>
      <c r="D1001" s="1247" t="s">
        <v>1623</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1080</v>
      </c>
      <c r="E1003" s="208"/>
      <c r="F1003" s="208"/>
      <c r="G1003" s="208"/>
      <c r="H1003" s="208"/>
      <c r="I1003" s="1301">
        <f>AM905</f>
        <v>71</v>
      </c>
      <c r="J1003" s="1302"/>
      <c r="K1003" s="51"/>
      <c r="L1003" s="208"/>
      <c r="M1003" s="208"/>
      <c r="N1003" s="208"/>
      <c r="O1003" s="208"/>
      <c r="P1003" s="208"/>
      <c r="Q1003" s="208"/>
      <c r="R1003" s="208"/>
      <c r="S1003" s="208"/>
      <c r="T1003" s="208"/>
      <c r="U1003" s="208"/>
      <c r="V1003" s="208"/>
      <c r="W1003" s="209" t="s">
        <v>1082</v>
      </c>
      <c r="X1003" s="1303">
        <f>AX614</f>
        <v>4</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6">
        <f>SUM(AD953:AK1003)</f>
        <v>49778201.340000004</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47"/>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7"/>
      <c r="AF1009" s="1547"/>
      <c r="AG1009" s="1547"/>
      <c r="AH1009" s="1547"/>
      <c r="AI1009" s="1547"/>
      <c r="AJ1009" s="1547"/>
      <c r="AK1009" s="1547"/>
      <c r="AL1009" s="105"/>
    </row>
    <row r="1010" spans="1:38" ht="12.75" customHeight="1">
      <c r="A1010" s="51"/>
      <c r="B1010" s="115"/>
      <c r="C1010" s="348"/>
      <c r="D1010" s="1547"/>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7"/>
      <c r="AF1010" s="1547"/>
      <c r="AG1010" s="1547"/>
      <c r="AH1010" s="1547"/>
      <c r="AI1010" s="1547"/>
      <c r="AJ1010" s="1547"/>
      <c r="AK1010" s="1547"/>
      <c r="AL1010" s="105"/>
    </row>
    <row r="1011" spans="1:38" ht="12.75" customHeight="1">
      <c r="A1011" s="51"/>
      <c r="B1011" s="115"/>
      <c r="C1011" s="348"/>
      <c r="D1011" s="1547"/>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7"/>
      <c r="AF1011" s="1547"/>
      <c r="AG1011" s="1547"/>
      <c r="AH1011" s="1547"/>
      <c r="AI1011" s="1547"/>
      <c r="AJ1011" s="1547"/>
      <c r="AK1011" s="1547"/>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5" t="s">
        <v>875</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1262</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1261</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1604</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1247</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1464</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1248</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1250</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1476</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1249</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110" zoomScaleNormal="110" zoomScaleSheetLayoutView="100" workbookViewId="0">
      <pane xSplit="2" ySplit="3" topLeftCell="C76" activePane="bottomRight" state="frozen"/>
      <selection pane="topRight" activeCell="C1" sqref="C1"/>
      <selection pane="bottomLeft" activeCell="A4" sqref="A4"/>
      <selection pane="bottomRight" activeCell="J2" sqref="J1:J10485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2" t="s">
        <v>672</v>
      </c>
      <c r="G1" s="1593"/>
      <c r="H1" s="1593"/>
      <c r="I1" s="1593"/>
      <c r="J1" s="1593"/>
      <c r="K1" s="1593"/>
      <c r="L1" s="1593"/>
      <c r="M1" s="1593"/>
      <c r="N1" s="1593"/>
      <c r="O1" s="1593"/>
      <c r="P1" s="1593"/>
      <c r="Q1" s="1593"/>
      <c r="R1" s="1594"/>
      <c r="S1" s="172"/>
      <c r="T1" s="171"/>
      <c r="U1" s="173"/>
    </row>
    <row r="2" spans="1:21" s="216" customFormat="1" ht="71.25" customHeight="1">
      <c r="A2" s="215"/>
      <c r="B2" s="216" t="s">
        <v>26</v>
      </c>
      <c r="C2" s="216" t="s">
        <v>406</v>
      </c>
      <c r="D2" s="216" t="s">
        <v>405</v>
      </c>
      <c r="E2" s="216" t="s">
        <v>27</v>
      </c>
      <c r="F2" s="217" t="str">
        <f>Application!B618&amp;Application!C618</f>
        <v>1)CalHFA - Perm Loan</v>
      </c>
      <c r="G2" s="217" t="str">
        <f>Application!B619&amp;Application!C619</f>
        <v>2)CalHFA - MIP Loan</v>
      </c>
      <c r="H2" s="217" t="str">
        <f>Application!B620&amp;Application!C620</f>
        <v>3)City of Folsom - Aff. Hsg. Loan</v>
      </c>
      <c r="I2" s="217" t="str">
        <f>Application!B621&amp;Application!C621</f>
        <v>4)County of Sacramento - Fee Waiver</v>
      </c>
      <c r="J2" s="217" t="str">
        <f>Application!B622&amp;Application!C622</f>
        <v>5)Pacific West Communities, Inc. - DDF</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1250000</v>
      </c>
      <c r="C4" s="225">
        <v>1250000</v>
      </c>
      <c r="D4" s="225"/>
      <c r="E4" s="225">
        <v>1250000</v>
      </c>
      <c r="F4" s="225"/>
      <c r="G4" s="225"/>
      <c r="H4" s="225"/>
      <c r="I4" s="225"/>
      <c r="J4" s="225"/>
      <c r="K4" s="225"/>
      <c r="L4" s="225"/>
      <c r="M4" s="225"/>
      <c r="N4" s="225"/>
      <c r="O4" s="225"/>
      <c r="P4" s="225"/>
      <c r="Q4" s="225"/>
      <c r="R4" s="916">
        <f>SUM(E4:Q4)</f>
        <v>1250000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3216</v>
      </c>
      <c r="C6" s="225">
        <v>3216</v>
      </c>
      <c r="D6" s="225"/>
      <c r="E6" s="225">
        <v>3216</v>
      </c>
      <c r="F6" s="225"/>
      <c r="G6" s="225"/>
      <c r="H6" s="225"/>
      <c r="I6" s="225"/>
      <c r="J6" s="225"/>
      <c r="K6" s="225"/>
      <c r="L6" s="225"/>
      <c r="M6" s="225"/>
      <c r="N6" s="225"/>
      <c r="O6" s="225"/>
      <c r="P6" s="225"/>
      <c r="Q6" s="225"/>
      <c r="R6" s="916">
        <f>SUM(E6:Q6)</f>
        <v>3216</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1253216</v>
      </c>
      <c r="C8" s="224">
        <f t="shared" ref="C8:Q8" si="0">SUM(C4:C7)</f>
        <v>1253216</v>
      </c>
      <c r="D8" s="224">
        <f t="shared" si="0"/>
        <v>0</v>
      </c>
      <c r="E8" s="224">
        <f t="shared" si="0"/>
        <v>1253216</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1253216</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1253216</v>
      </c>
      <c r="C12" s="224">
        <f t="shared" si="2"/>
        <v>1253216</v>
      </c>
      <c r="D12" s="224">
        <f t="shared" si="2"/>
        <v>0</v>
      </c>
      <c r="E12" s="224">
        <f t="shared" si="2"/>
        <v>1253216</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1253216</v>
      </c>
      <c r="S12" s="226"/>
      <c r="T12" s="226"/>
      <c r="U12" s="221"/>
    </row>
    <row r="13" spans="1:21" s="222" customFormat="1">
      <c r="A13" s="466" t="s">
        <v>1000</v>
      </c>
      <c r="B13" s="224">
        <f>SUM(C13+D13)</f>
        <v>381784</v>
      </c>
      <c r="C13" s="225">
        <v>381784</v>
      </c>
      <c r="D13" s="225"/>
      <c r="E13" s="225">
        <v>381784</v>
      </c>
      <c r="F13" s="225"/>
      <c r="G13" s="225"/>
      <c r="H13" s="225"/>
      <c r="I13" s="225"/>
      <c r="J13" s="225"/>
      <c r="K13" s="225"/>
      <c r="L13" s="225"/>
      <c r="M13" s="225"/>
      <c r="N13" s="225"/>
      <c r="O13" s="225"/>
      <c r="P13" s="225"/>
      <c r="Q13" s="225"/>
      <c r="R13" s="916">
        <f>SUM(E13:Q13)</f>
        <v>381784</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3096000</v>
      </c>
      <c r="C28" s="225">
        <v>3096000</v>
      </c>
      <c r="D28" s="225"/>
      <c r="E28" s="225">
        <v>64220</v>
      </c>
      <c r="F28" s="225">
        <v>3031780</v>
      </c>
      <c r="G28" s="225"/>
      <c r="H28" s="225"/>
      <c r="I28" s="225"/>
      <c r="J28" s="225"/>
      <c r="K28" s="225"/>
      <c r="L28" s="225"/>
      <c r="M28" s="225"/>
      <c r="N28" s="225"/>
      <c r="O28" s="225"/>
      <c r="P28" s="225"/>
      <c r="Q28" s="225"/>
      <c r="R28" s="916">
        <f t="shared" ref="R28:R35" si="7">SUM(E28:Q28)</f>
        <v>3096000</v>
      </c>
      <c r="S28" s="225">
        <f t="shared" ref="S28:S33" si="8">R28</f>
        <v>3096000</v>
      </c>
      <c r="T28" s="225"/>
      <c r="U28" s="221"/>
    </row>
    <row r="29" spans="1:21" s="222" customFormat="1">
      <c r="A29" s="223" t="s">
        <v>650</v>
      </c>
      <c r="B29" s="224">
        <f t="shared" si="6"/>
        <v>11798220</v>
      </c>
      <c r="C29" s="225">
        <v>11798220</v>
      </c>
      <c r="D29" s="225"/>
      <c r="E29" s="225"/>
      <c r="F29" s="225">
        <v>3768220</v>
      </c>
      <c r="G29" s="225">
        <v>3350000</v>
      </c>
      <c r="H29" s="225">
        <v>4680000</v>
      </c>
      <c r="I29" s="225"/>
      <c r="J29" s="225"/>
      <c r="K29" s="225"/>
      <c r="L29" s="225"/>
      <c r="M29" s="225"/>
      <c r="N29" s="225"/>
      <c r="O29" s="225"/>
      <c r="P29" s="225"/>
      <c r="Q29" s="225"/>
      <c r="R29" s="916">
        <f t="shared" si="7"/>
        <v>11798220</v>
      </c>
      <c r="S29" s="225">
        <f t="shared" si="8"/>
        <v>11798220</v>
      </c>
      <c r="T29" s="225"/>
      <c r="U29" s="221"/>
    </row>
    <row r="30" spans="1:21" s="222" customFormat="1">
      <c r="A30" s="223" t="s">
        <v>651</v>
      </c>
      <c r="B30" s="224">
        <f t="shared" si="6"/>
        <v>893653</v>
      </c>
      <c r="C30" s="225">
        <v>893653</v>
      </c>
      <c r="D30" s="225"/>
      <c r="E30" s="225">
        <v>893653</v>
      </c>
      <c r="F30" s="225"/>
      <c r="G30" s="225"/>
      <c r="H30" s="225"/>
      <c r="I30" s="225"/>
      <c r="J30" s="225"/>
      <c r="K30" s="225"/>
      <c r="L30" s="225"/>
      <c r="M30" s="225"/>
      <c r="N30" s="225"/>
      <c r="O30" s="225"/>
      <c r="P30" s="225"/>
      <c r="Q30" s="225"/>
      <c r="R30" s="916">
        <f t="shared" si="7"/>
        <v>893653</v>
      </c>
      <c r="S30" s="225">
        <f t="shared" si="8"/>
        <v>893653</v>
      </c>
      <c r="T30" s="225"/>
      <c r="U30" s="221"/>
    </row>
    <row r="31" spans="1:21" s="222" customFormat="1">
      <c r="A31" s="223" t="s">
        <v>144</v>
      </c>
      <c r="B31" s="224">
        <f t="shared" si="6"/>
        <v>297884</v>
      </c>
      <c r="C31" s="225">
        <v>297884</v>
      </c>
      <c r="D31" s="225"/>
      <c r="E31" s="225">
        <v>297884</v>
      </c>
      <c r="F31" s="225"/>
      <c r="G31" s="225"/>
      <c r="H31" s="225"/>
      <c r="I31" s="225"/>
      <c r="J31" s="225"/>
      <c r="K31" s="225"/>
      <c r="L31" s="225"/>
      <c r="M31" s="225"/>
      <c r="N31" s="225"/>
      <c r="O31" s="225"/>
      <c r="P31" s="225"/>
      <c r="Q31" s="225"/>
      <c r="R31" s="916">
        <f t="shared" si="7"/>
        <v>297884</v>
      </c>
      <c r="S31" s="225">
        <f t="shared" si="8"/>
        <v>297884</v>
      </c>
      <c r="T31" s="225"/>
      <c r="U31" s="221"/>
    </row>
    <row r="32" spans="1:21" s="222" customFormat="1">
      <c r="A32" s="223" t="s">
        <v>145</v>
      </c>
      <c r="B32" s="224">
        <f t="shared" si="6"/>
        <v>893653</v>
      </c>
      <c r="C32" s="225">
        <v>893653</v>
      </c>
      <c r="D32" s="225"/>
      <c r="E32" s="225">
        <v>893653</v>
      </c>
      <c r="F32" s="225"/>
      <c r="G32" s="225"/>
      <c r="H32" s="225"/>
      <c r="I32" s="225"/>
      <c r="J32" s="225"/>
      <c r="K32" s="225"/>
      <c r="L32" s="225"/>
      <c r="M32" s="225"/>
      <c r="N32" s="225"/>
      <c r="O32" s="225"/>
      <c r="P32" s="225"/>
      <c r="Q32" s="225"/>
      <c r="R32" s="916">
        <f t="shared" si="7"/>
        <v>893653</v>
      </c>
      <c r="S32" s="225">
        <f t="shared" si="8"/>
        <v>893653</v>
      </c>
      <c r="T32" s="225"/>
      <c r="U32" s="221"/>
    </row>
    <row r="33" spans="1:21" s="222" customFormat="1">
      <c r="A33" s="223" t="s">
        <v>146</v>
      </c>
      <c r="B33" s="224">
        <f t="shared" si="6"/>
        <v>249000</v>
      </c>
      <c r="C33" s="225">
        <v>249000</v>
      </c>
      <c r="D33" s="225"/>
      <c r="E33" s="225">
        <v>249000</v>
      </c>
      <c r="F33" s="225"/>
      <c r="G33" s="225"/>
      <c r="H33" s="225"/>
      <c r="I33" s="225"/>
      <c r="J33" s="225"/>
      <c r="K33" s="225"/>
      <c r="L33" s="225"/>
      <c r="M33" s="225"/>
      <c r="N33" s="225"/>
      <c r="O33" s="225"/>
      <c r="P33" s="225"/>
      <c r="Q33" s="225"/>
      <c r="R33" s="916">
        <f t="shared" si="7"/>
        <v>249000</v>
      </c>
      <c r="S33" s="225">
        <f t="shared" si="8"/>
        <v>249000</v>
      </c>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17228410</v>
      </c>
      <c r="C36" s="224">
        <f>SUM(C28:C35)</f>
        <v>17228410</v>
      </c>
      <c r="D36" s="224">
        <f t="shared" ref="D36:Q36" si="9">SUM(D28:D35)</f>
        <v>0</v>
      </c>
      <c r="E36" s="224">
        <f t="shared" si="9"/>
        <v>2398410</v>
      </c>
      <c r="F36" s="224">
        <f t="shared" si="9"/>
        <v>6800000</v>
      </c>
      <c r="G36" s="224">
        <f t="shared" si="9"/>
        <v>3350000</v>
      </c>
      <c r="H36" s="224">
        <f t="shared" si="9"/>
        <v>4680000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17228410</v>
      </c>
      <c r="S36" s="228">
        <f>SUM(S28:S35)</f>
        <v>17228410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400000</v>
      </c>
      <c r="C38" s="225">
        <v>400000</v>
      </c>
      <c r="D38" s="225"/>
      <c r="E38" s="225">
        <v>400000</v>
      </c>
      <c r="F38" s="225"/>
      <c r="G38" s="225"/>
      <c r="H38" s="225"/>
      <c r="I38" s="225"/>
      <c r="J38" s="225"/>
      <c r="K38" s="225"/>
      <c r="L38" s="225"/>
      <c r="M38" s="225"/>
      <c r="N38" s="225"/>
      <c r="O38" s="225"/>
      <c r="P38" s="225"/>
      <c r="Q38" s="225"/>
      <c r="R38" s="916">
        <f>SUM(E38:Q38)</f>
        <v>400000</v>
      </c>
      <c r="S38" s="225">
        <f>R38</f>
        <v>400000</v>
      </c>
      <c r="T38" s="225"/>
      <c r="U38" s="221"/>
    </row>
    <row r="39" spans="1:21" s="222" customFormat="1">
      <c r="A39" s="223" t="s">
        <v>153</v>
      </c>
      <c r="B39" s="224">
        <f>SUM(C39+D39)</f>
        <v>50000</v>
      </c>
      <c r="C39" s="225">
        <v>50000</v>
      </c>
      <c r="D39" s="225"/>
      <c r="E39" s="225">
        <v>50000</v>
      </c>
      <c r="F39" s="225"/>
      <c r="G39" s="225"/>
      <c r="H39" s="225"/>
      <c r="I39" s="225"/>
      <c r="J39" s="225"/>
      <c r="K39" s="225"/>
      <c r="L39" s="225"/>
      <c r="M39" s="225"/>
      <c r="N39" s="225"/>
      <c r="O39" s="225"/>
      <c r="P39" s="225"/>
      <c r="Q39" s="225"/>
      <c r="R39" s="916">
        <f>SUM(E39:Q39)</f>
        <v>50000</v>
      </c>
      <c r="S39" s="225">
        <f>R39</f>
        <v>50000</v>
      </c>
      <c r="T39" s="225"/>
      <c r="U39" s="221"/>
    </row>
    <row r="40" spans="1:21" s="222" customFormat="1">
      <c r="A40" s="227" t="s">
        <v>154</v>
      </c>
      <c r="B40" s="224">
        <f>SUM(C40:D40)</f>
        <v>450000</v>
      </c>
      <c r="C40" s="224">
        <f>SUM(C37:C39)</f>
        <v>450000</v>
      </c>
      <c r="D40" s="224">
        <f>SUM(D37:D39)</f>
        <v>0</v>
      </c>
      <c r="E40" s="224">
        <f t="shared" ref="E40:T40" si="10">SUM(E38:E39)</f>
        <v>450000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450000</v>
      </c>
      <c r="S40" s="228">
        <f t="shared" si="10"/>
        <v>450000</v>
      </c>
      <c r="T40" s="228">
        <f t="shared" si="10"/>
        <v>0</v>
      </c>
      <c r="U40" s="221"/>
    </row>
    <row r="41" spans="1:21" s="222" customFormat="1">
      <c r="A41" s="227" t="s">
        <v>155</v>
      </c>
      <c r="B41" s="224">
        <f>SUM(C41:D41)</f>
        <v>195000</v>
      </c>
      <c r="C41" s="225">
        <v>195000</v>
      </c>
      <c r="D41" s="225"/>
      <c r="E41" s="225">
        <v>195000</v>
      </c>
      <c r="F41" s="225"/>
      <c r="G41" s="225"/>
      <c r="H41" s="225"/>
      <c r="I41" s="225"/>
      <c r="J41" s="225"/>
      <c r="K41" s="225"/>
      <c r="L41" s="225"/>
      <c r="M41" s="225"/>
      <c r="N41" s="225"/>
      <c r="O41" s="225"/>
      <c r="P41" s="225"/>
      <c r="Q41" s="225"/>
      <c r="R41" s="916">
        <f>SUM(E41:Q41)</f>
        <v>195000</v>
      </c>
      <c r="S41" s="225">
        <f>R41</f>
        <v>195000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641250</v>
      </c>
      <c r="C43" s="225">
        <v>641250</v>
      </c>
      <c r="D43" s="225"/>
      <c r="E43" s="225">
        <v>641250</v>
      </c>
      <c r="F43" s="225"/>
      <c r="G43" s="225"/>
      <c r="H43" s="225"/>
      <c r="I43" s="225"/>
      <c r="J43" s="225"/>
      <c r="K43" s="225"/>
      <c r="L43" s="225"/>
      <c r="M43" s="225"/>
      <c r="N43" s="225"/>
      <c r="O43" s="225"/>
      <c r="P43" s="225"/>
      <c r="Q43" s="225"/>
      <c r="R43" s="916">
        <f t="shared" ref="R43:R52" si="12">SUM(E43:Q43)</f>
        <v>641250</v>
      </c>
      <c r="S43" s="225">
        <f>R43</f>
        <v>641250</v>
      </c>
      <c r="T43" s="225"/>
      <c r="U43" s="221"/>
    </row>
    <row r="44" spans="1:21" s="222" customFormat="1">
      <c r="A44" s="223" t="s">
        <v>158</v>
      </c>
      <c r="B44" s="224">
        <f t="shared" si="11"/>
        <v>190000</v>
      </c>
      <c r="C44" s="225">
        <v>190000</v>
      </c>
      <c r="D44" s="225"/>
      <c r="E44" s="225">
        <v>190000</v>
      </c>
      <c r="F44" s="225"/>
      <c r="G44" s="225"/>
      <c r="H44" s="225"/>
      <c r="I44" s="225"/>
      <c r="J44" s="225"/>
      <c r="K44" s="225"/>
      <c r="L44" s="225"/>
      <c r="M44" s="225"/>
      <c r="N44" s="225"/>
      <c r="O44" s="225"/>
      <c r="P44" s="225"/>
      <c r="Q44" s="225"/>
      <c r="R44" s="916">
        <f t="shared" si="12"/>
        <v>190000</v>
      </c>
      <c r="S44" s="225">
        <f>R44</f>
        <v>190000</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100000</v>
      </c>
      <c r="C47" s="225">
        <v>100000</v>
      </c>
      <c r="D47" s="225"/>
      <c r="E47" s="225">
        <v>100000</v>
      </c>
      <c r="F47" s="225"/>
      <c r="G47" s="225"/>
      <c r="H47" s="225"/>
      <c r="I47" s="225"/>
      <c r="J47" s="225"/>
      <c r="K47" s="225"/>
      <c r="L47" s="225"/>
      <c r="M47" s="225"/>
      <c r="N47" s="225"/>
      <c r="O47" s="225"/>
      <c r="P47" s="225"/>
      <c r="Q47" s="225"/>
      <c r="R47" s="916">
        <f t="shared" si="12"/>
        <v>100000</v>
      </c>
      <c r="S47" s="225">
        <f>R47</f>
        <v>100000</v>
      </c>
      <c r="T47" s="225"/>
      <c r="U47" s="221"/>
    </row>
    <row r="48" spans="1:21" s="222" customFormat="1">
      <c r="A48" s="223" t="s">
        <v>163</v>
      </c>
      <c r="B48" s="224">
        <f t="shared" si="11"/>
        <v>60000</v>
      </c>
      <c r="C48" s="225">
        <v>60000</v>
      </c>
      <c r="D48" s="225"/>
      <c r="E48" s="225">
        <v>60000</v>
      </c>
      <c r="F48" s="225"/>
      <c r="G48" s="225"/>
      <c r="H48" s="225"/>
      <c r="I48" s="225"/>
      <c r="J48" s="225"/>
      <c r="K48" s="225"/>
      <c r="L48" s="225"/>
      <c r="M48" s="225"/>
      <c r="N48" s="225"/>
      <c r="O48" s="225"/>
      <c r="P48" s="225"/>
      <c r="Q48" s="225"/>
      <c r="R48" s="916">
        <f t="shared" si="12"/>
        <v>60000</v>
      </c>
      <c r="S48" s="225">
        <f>R48</f>
        <v>60000</v>
      </c>
      <c r="T48" s="225"/>
      <c r="U48" s="221"/>
    </row>
    <row r="49" spans="1:21" s="222" customFormat="1">
      <c r="A49" s="457" t="s">
        <v>161</v>
      </c>
      <c r="B49" s="224">
        <f t="shared" si="11"/>
        <v>15000</v>
      </c>
      <c r="C49" s="225">
        <v>15000</v>
      </c>
      <c r="D49" s="225"/>
      <c r="E49" s="225">
        <v>15000</v>
      </c>
      <c r="F49" s="225"/>
      <c r="G49" s="225"/>
      <c r="H49" s="225"/>
      <c r="I49" s="225"/>
      <c r="J49" s="225"/>
      <c r="K49" s="225"/>
      <c r="L49" s="225"/>
      <c r="M49" s="225"/>
      <c r="N49" s="225"/>
      <c r="O49" s="225"/>
      <c r="P49" s="225"/>
      <c r="Q49" s="225"/>
      <c r="R49" s="916">
        <f t="shared" si="12"/>
        <v>15000</v>
      </c>
      <c r="S49" s="225">
        <f>R49</f>
        <v>15000</v>
      </c>
      <c r="T49" s="225"/>
      <c r="U49" s="221"/>
    </row>
    <row r="50" spans="1:21" s="222" customFormat="1">
      <c r="A50" s="223" t="s">
        <v>162</v>
      </c>
      <c r="B50" s="224">
        <f t="shared" si="11"/>
        <v>200000</v>
      </c>
      <c r="C50" s="225">
        <v>200000</v>
      </c>
      <c r="D50" s="225"/>
      <c r="E50" s="225">
        <v>200000</v>
      </c>
      <c r="F50" s="225"/>
      <c r="G50" s="225"/>
      <c r="H50" s="225"/>
      <c r="I50" s="225"/>
      <c r="J50" s="225"/>
      <c r="K50" s="225"/>
      <c r="L50" s="225"/>
      <c r="M50" s="225"/>
      <c r="N50" s="225"/>
      <c r="O50" s="225"/>
      <c r="P50" s="225"/>
      <c r="Q50" s="225"/>
      <c r="R50" s="916">
        <f t="shared" si="12"/>
        <v>200000</v>
      </c>
      <c r="S50" s="225">
        <f>R50</f>
        <v>200000</v>
      </c>
      <c r="T50" s="225"/>
      <c r="U50" s="221"/>
    </row>
    <row r="51" spans="1:21" s="222" customFormat="1">
      <c r="A51" s="955" t="s">
        <v>1801</v>
      </c>
      <c r="B51" s="224">
        <f t="shared" si="11"/>
        <v>100000</v>
      </c>
      <c r="C51" s="225">
        <v>100000</v>
      </c>
      <c r="D51" s="225"/>
      <c r="E51" s="225">
        <v>100000</v>
      </c>
      <c r="F51" s="225"/>
      <c r="G51" s="225"/>
      <c r="H51" s="225"/>
      <c r="I51" s="225"/>
      <c r="J51" s="225"/>
      <c r="K51" s="225"/>
      <c r="L51" s="225"/>
      <c r="M51" s="225"/>
      <c r="N51" s="225"/>
      <c r="O51" s="225"/>
      <c r="P51" s="225"/>
      <c r="Q51" s="225"/>
      <c r="R51" s="916">
        <f t="shared" si="12"/>
        <v>100000</v>
      </c>
      <c r="S51" s="225">
        <f>R51</f>
        <v>100000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1306250</v>
      </c>
      <c r="C53" s="228">
        <f t="shared" ref="C53:T53" si="13">SUM(C43:C52)</f>
        <v>1306250</v>
      </c>
      <c r="D53" s="228">
        <f t="shared" si="13"/>
        <v>0</v>
      </c>
      <c r="E53" s="228">
        <f t="shared" si="13"/>
        <v>1306250</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1306250</v>
      </c>
      <c r="S53" s="228">
        <f t="shared" si="13"/>
        <v>1306250</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68000</v>
      </c>
      <c r="C55" s="225">
        <v>68000</v>
      </c>
      <c r="D55" s="225"/>
      <c r="E55" s="225">
        <v>68000</v>
      </c>
      <c r="F55" s="225"/>
      <c r="G55" s="225"/>
      <c r="H55" s="225"/>
      <c r="I55" s="225"/>
      <c r="J55" s="225"/>
      <c r="K55" s="225"/>
      <c r="L55" s="225"/>
      <c r="M55" s="225"/>
      <c r="N55" s="225"/>
      <c r="O55" s="225"/>
      <c r="P55" s="225"/>
      <c r="Q55" s="225"/>
      <c r="R55" s="916">
        <f t="shared" ref="R55:R61" si="15">SUM(E55:Q55)</f>
        <v>68000</v>
      </c>
      <c r="S55" s="226"/>
      <c r="T55" s="226"/>
      <c r="U55" s="221"/>
    </row>
    <row r="56" spans="1:21" s="313" customFormat="1">
      <c r="A56" s="307" t="s">
        <v>159</v>
      </c>
      <c r="B56" s="314">
        <f t="shared" si="14"/>
        <v>15000</v>
      </c>
      <c r="C56" s="311">
        <v>15000</v>
      </c>
      <c r="D56" s="311"/>
      <c r="E56" s="311">
        <v>15000</v>
      </c>
      <c r="F56" s="311"/>
      <c r="G56" s="311"/>
      <c r="H56" s="311"/>
      <c r="I56" s="311"/>
      <c r="J56" s="311"/>
      <c r="K56" s="311"/>
      <c r="L56" s="311"/>
      <c r="M56" s="311"/>
      <c r="N56" s="311"/>
      <c r="O56" s="311"/>
      <c r="P56" s="311"/>
      <c r="Q56" s="311"/>
      <c r="R56" s="916">
        <f t="shared" si="15"/>
        <v>15000</v>
      </c>
      <c r="S56" s="315"/>
      <c r="T56" s="315"/>
      <c r="U56" s="312"/>
    </row>
    <row r="57" spans="1:21" s="222" customFormat="1">
      <c r="A57" s="223" t="s">
        <v>163</v>
      </c>
      <c r="B57" s="224">
        <f t="shared" si="14"/>
        <v>10000</v>
      </c>
      <c r="C57" s="225">
        <v>10000</v>
      </c>
      <c r="D57" s="225"/>
      <c r="E57" s="225">
        <v>10000</v>
      </c>
      <c r="F57" s="225"/>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5" t="s">
        <v>1802</v>
      </c>
      <c r="B60" s="224">
        <f t="shared" si="14"/>
        <v>70000</v>
      </c>
      <c r="C60" s="225">
        <v>70000</v>
      </c>
      <c r="D60" s="225"/>
      <c r="E60" s="225">
        <v>70000</v>
      </c>
      <c r="F60" s="225"/>
      <c r="G60" s="225"/>
      <c r="H60" s="225"/>
      <c r="I60" s="225"/>
      <c r="J60" s="225"/>
      <c r="K60" s="225"/>
      <c r="L60" s="225"/>
      <c r="M60" s="225"/>
      <c r="N60" s="225"/>
      <c r="O60" s="225"/>
      <c r="P60" s="225"/>
      <c r="Q60" s="225"/>
      <c r="R60" s="916">
        <f t="shared" si="15"/>
        <v>70000</v>
      </c>
      <c r="S60" s="226"/>
      <c r="T60" s="226"/>
      <c r="U60" s="221"/>
    </row>
    <row r="61" spans="1:21" s="222" customFormat="1">
      <c r="A61" s="955" t="s">
        <v>1803</v>
      </c>
      <c r="B61" s="224">
        <f t="shared" si="14"/>
        <v>58500</v>
      </c>
      <c r="C61" s="225">
        <v>58500</v>
      </c>
      <c r="D61" s="225"/>
      <c r="E61" s="225">
        <v>58500</v>
      </c>
      <c r="F61" s="225"/>
      <c r="G61" s="225"/>
      <c r="H61" s="225"/>
      <c r="I61" s="225"/>
      <c r="J61" s="225"/>
      <c r="K61" s="225"/>
      <c r="L61" s="225"/>
      <c r="M61" s="225"/>
      <c r="N61" s="225"/>
      <c r="O61" s="225"/>
      <c r="P61" s="225"/>
      <c r="Q61" s="225"/>
      <c r="R61" s="916">
        <f t="shared" si="15"/>
        <v>58500</v>
      </c>
      <c r="S61" s="226"/>
      <c r="T61" s="226"/>
      <c r="U61" s="221"/>
    </row>
    <row r="62" spans="1:21" s="222" customFormat="1" ht="13.7" customHeight="1">
      <c r="A62" s="227" t="s">
        <v>320</v>
      </c>
      <c r="B62" s="224">
        <f>SUM(C62:D62)</f>
        <v>221500</v>
      </c>
      <c r="C62" s="224">
        <f t="shared" ref="C62:Q62" si="16">SUM(C55:C61)</f>
        <v>221500</v>
      </c>
      <c r="D62" s="224">
        <f t="shared" si="16"/>
        <v>0</v>
      </c>
      <c r="E62" s="224">
        <f t="shared" si="16"/>
        <v>221500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221500</v>
      </c>
      <c r="S62" s="226"/>
      <c r="T62" s="226"/>
      <c r="U62" s="221"/>
    </row>
    <row r="63" spans="1:21" s="222" customFormat="1">
      <c r="A63" s="233" t="s">
        <v>321</v>
      </c>
      <c r="B63" s="224">
        <f>SUM(B8+B11+B13+B14+B15+B25+B26+B36+B40+B41+B53+B62)</f>
        <v>21036160</v>
      </c>
      <c r="C63" s="224">
        <f t="shared" ref="C63:Q63" si="17">SUM(C8+C11+C13+C14+C15+C25+C26+C36+C40+C41+C53+C62)</f>
        <v>21036160</v>
      </c>
      <c r="D63" s="224">
        <f t="shared" si="17"/>
        <v>0</v>
      </c>
      <c r="E63" s="224">
        <f t="shared" si="17"/>
        <v>6206160</v>
      </c>
      <c r="F63" s="224">
        <f t="shared" si="17"/>
        <v>6800000</v>
      </c>
      <c r="G63" s="224">
        <f t="shared" si="17"/>
        <v>3350000</v>
      </c>
      <c r="H63" s="224">
        <f t="shared" si="17"/>
        <v>4680000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21036160</v>
      </c>
      <c r="S63" s="224">
        <f>SUM(S10+S13+S14+S15+S25+S26+S36+S40+S41+S53)</f>
        <v>19179660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1804</v>
      </c>
      <c r="B66" s="224">
        <f>SUM(C66+D66)</f>
        <v>60000</v>
      </c>
      <c r="C66" s="225">
        <v>60000</v>
      </c>
      <c r="D66" s="225"/>
      <c r="E66" s="225">
        <v>60000</v>
      </c>
      <c r="F66" s="225"/>
      <c r="G66" s="225"/>
      <c r="H66" s="225"/>
      <c r="I66" s="225"/>
      <c r="J66" s="225"/>
      <c r="K66" s="225"/>
      <c r="L66" s="225"/>
      <c r="M66" s="225"/>
      <c r="N66" s="225"/>
      <c r="O66" s="225"/>
      <c r="P66" s="225"/>
      <c r="Q66" s="225"/>
      <c r="R66" s="916">
        <f>SUM(E66:Q66)</f>
        <v>60000</v>
      </c>
      <c r="S66" s="225">
        <f>R66</f>
        <v>60000</v>
      </c>
      <c r="T66" s="225"/>
      <c r="U66" s="221"/>
    </row>
    <row r="67" spans="1:21" s="222" customFormat="1">
      <c r="A67" s="227" t="s">
        <v>652</v>
      </c>
      <c r="B67" s="224">
        <f>SUM(C67:D67)</f>
        <v>60000</v>
      </c>
      <c r="C67" s="224">
        <f>SUM(C64:C66)</f>
        <v>60000</v>
      </c>
      <c r="D67" s="224">
        <f>SUM(D64:D66)</f>
        <v>0</v>
      </c>
      <c r="E67" s="224">
        <f t="shared" ref="E67:T67" si="18">SUM(E65:E66)</f>
        <v>60000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60000</v>
      </c>
      <c r="S67" s="228">
        <f>SUM(S65:S66)</f>
        <v>60000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100000</v>
      </c>
      <c r="C69" s="225">
        <v>100000</v>
      </c>
      <c r="D69" s="225"/>
      <c r="E69" s="225">
        <v>100000</v>
      </c>
      <c r="F69" s="225"/>
      <c r="G69" s="225"/>
      <c r="H69" s="225"/>
      <c r="I69" s="225"/>
      <c r="J69" s="225"/>
      <c r="K69" s="225"/>
      <c r="L69" s="225"/>
      <c r="M69" s="225"/>
      <c r="N69" s="225"/>
      <c r="O69" s="225"/>
      <c r="P69" s="225"/>
      <c r="Q69" s="225"/>
      <c r="R69" s="916">
        <f>SUM(E69:Q69)</f>
        <v>100000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192651</v>
      </c>
      <c r="C72" s="225">
        <v>192651</v>
      </c>
      <c r="D72" s="225"/>
      <c r="E72" s="225">
        <v>192651</v>
      </c>
      <c r="F72" s="225"/>
      <c r="G72" s="225"/>
      <c r="H72" s="225"/>
      <c r="I72" s="225"/>
      <c r="J72" s="225"/>
      <c r="K72" s="225"/>
      <c r="L72" s="225"/>
      <c r="M72" s="225"/>
      <c r="N72" s="225"/>
      <c r="O72" s="225"/>
      <c r="P72" s="225"/>
      <c r="Q72" s="225"/>
      <c r="R72" s="916">
        <f>SUM(E72:Q72)</f>
        <v>192651</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292651</v>
      </c>
      <c r="C74" s="224">
        <f>SUM(C69:C73)</f>
        <v>292651</v>
      </c>
      <c r="D74" s="224">
        <f>SUM(D69:D73)</f>
        <v>0</v>
      </c>
      <c r="E74" s="224">
        <f t="shared" ref="E74:Q74" si="19">SUM(E69:E73)</f>
        <v>292651</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292651</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980000</v>
      </c>
      <c r="C76" s="225">
        <v>980000</v>
      </c>
      <c r="D76" s="225"/>
      <c r="E76" s="225">
        <v>980000</v>
      </c>
      <c r="F76" s="225"/>
      <c r="G76" s="225"/>
      <c r="H76" s="225"/>
      <c r="I76" s="225"/>
      <c r="J76" s="225"/>
      <c r="K76" s="225"/>
      <c r="L76" s="225"/>
      <c r="M76" s="225"/>
      <c r="N76" s="225"/>
      <c r="O76" s="225"/>
      <c r="P76" s="225"/>
      <c r="Q76" s="225"/>
      <c r="R76" s="916">
        <f>SUM(E76:Q76)</f>
        <v>980000</v>
      </c>
      <c r="S76" s="225">
        <f>R76</f>
        <v>980000</v>
      </c>
      <c r="T76" s="225"/>
      <c r="U76" s="221"/>
    </row>
    <row r="77" spans="1:21" s="222" customFormat="1">
      <c r="A77" s="457" t="s">
        <v>63</v>
      </c>
      <c r="B77" s="224">
        <f>SUM(C77:D77)</f>
        <v>200000</v>
      </c>
      <c r="C77" s="225">
        <v>200000</v>
      </c>
      <c r="D77" s="225"/>
      <c r="E77" s="225">
        <v>200000</v>
      </c>
      <c r="F77" s="225"/>
      <c r="G77" s="225"/>
      <c r="H77" s="225"/>
      <c r="I77" s="225"/>
      <c r="J77" s="225"/>
      <c r="K77" s="225"/>
      <c r="L77" s="225"/>
      <c r="M77" s="225"/>
      <c r="N77" s="225"/>
      <c r="O77" s="225"/>
      <c r="P77" s="225"/>
      <c r="Q77" s="225"/>
      <c r="R77" s="916">
        <f>SUM(E77:Q77)</f>
        <v>200000</v>
      </c>
      <c r="S77" s="225">
        <f>R77</f>
        <v>200000</v>
      </c>
      <c r="T77" s="225"/>
      <c r="U77" s="221"/>
    </row>
    <row r="78" spans="1:21" s="222" customFormat="1">
      <c r="A78" s="227" t="s">
        <v>1466</v>
      </c>
      <c r="B78" s="224">
        <f>SUM(C78:D78)</f>
        <v>1180000</v>
      </c>
      <c r="C78" s="890">
        <f>SUM(C76:C77)</f>
        <v>1180000</v>
      </c>
      <c r="D78" s="890">
        <f t="shared" ref="D78:T78" si="20">SUM(D76:D77)</f>
        <v>0</v>
      </c>
      <c r="E78" s="890">
        <f t="shared" si="20"/>
        <v>1180000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1180000</v>
      </c>
      <c r="S78" s="890">
        <f t="shared" si="20"/>
        <v>1180000</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42276</v>
      </c>
      <c r="C80" s="225">
        <v>42276</v>
      </c>
      <c r="D80" s="225"/>
      <c r="E80" s="225">
        <v>42276</v>
      </c>
      <c r="F80" s="225"/>
      <c r="G80" s="225"/>
      <c r="H80" s="225"/>
      <c r="I80" s="225"/>
      <c r="J80" s="225"/>
      <c r="K80" s="225"/>
      <c r="L80" s="225"/>
      <c r="M80" s="225"/>
      <c r="N80" s="225"/>
      <c r="O80" s="225"/>
      <c r="P80" s="225"/>
      <c r="Q80" s="225"/>
      <c r="R80" s="916">
        <f t="shared" ref="R80:R94" si="22">SUM(E80:Q80)</f>
        <v>42276</v>
      </c>
      <c r="S80" s="226"/>
      <c r="T80" s="226"/>
      <c r="U80" s="221"/>
    </row>
    <row r="81" spans="1:21" s="222" customFormat="1">
      <c r="A81" s="223" t="s">
        <v>845</v>
      </c>
      <c r="B81" s="224">
        <f t="shared" si="21"/>
        <v>5000</v>
      </c>
      <c r="C81" s="225">
        <v>5000</v>
      </c>
      <c r="D81" s="225"/>
      <c r="E81" s="225">
        <v>5000</v>
      </c>
      <c r="F81" s="225"/>
      <c r="G81" s="225"/>
      <c r="H81" s="225"/>
      <c r="I81" s="225"/>
      <c r="J81" s="225"/>
      <c r="K81" s="225"/>
      <c r="L81" s="225"/>
      <c r="M81" s="225"/>
      <c r="N81" s="225"/>
      <c r="O81" s="225"/>
      <c r="P81" s="225"/>
      <c r="Q81" s="225"/>
      <c r="R81" s="916">
        <f t="shared" si="22"/>
        <v>5000</v>
      </c>
      <c r="S81" s="225">
        <f>R81</f>
        <v>5000</v>
      </c>
      <c r="T81" s="225"/>
      <c r="U81" s="221"/>
    </row>
    <row r="82" spans="1:21" s="222" customFormat="1">
      <c r="A82" s="223" t="s">
        <v>846</v>
      </c>
      <c r="B82" s="224">
        <f t="shared" si="21"/>
        <v>2352233</v>
      </c>
      <c r="C82" s="225">
        <v>2352233</v>
      </c>
      <c r="D82" s="225"/>
      <c r="E82" s="225">
        <v>2230688</v>
      </c>
      <c r="F82" s="225"/>
      <c r="G82" s="225"/>
      <c r="H82" s="225"/>
      <c r="I82" s="225">
        <v>121545</v>
      </c>
      <c r="J82" s="225"/>
      <c r="K82" s="225"/>
      <c r="L82" s="225"/>
      <c r="M82" s="225"/>
      <c r="N82" s="225"/>
      <c r="O82" s="225"/>
      <c r="P82" s="225"/>
      <c r="Q82" s="225"/>
      <c r="R82" s="916">
        <f t="shared" si="22"/>
        <v>2352233</v>
      </c>
      <c r="S82" s="225">
        <f>R82</f>
        <v>2352233</v>
      </c>
      <c r="T82" s="225"/>
      <c r="U82" s="221"/>
    </row>
    <row r="83" spans="1:21" s="222" customFormat="1">
      <c r="A83" s="223" t="s">
        <v>847</v>
      </c>
      <c r="B83" s="224">
        <f t="shared" si="21"/>
        <v>300000</v>
      </c>
      <c r="C83" s="225">
        <v>300000</v>
      </c>
      <c r="D83" s="225"/>
      <c r="E83" s="225">
        <v>300000</v>
      </c>
      <c r="F83" s="225"/>
      <c r="G83" s="225"/>
      <c r="H83" s="225"/>
      <c r="I83" s="225"/>
      <c r="J83" s="225"/>
      <c r="K83" s="225"/>
      <c r="L83" s="225"/>
      <c r="M83" s="225"/>
      <c r="N83" s="225"/>
      <c r="O83" s="225"/>
      <c r="P83" s="225"/>
      <c r="Q83" s="225"/>
      <c r="R83" s="916">
        <f t="shared" si="22"/>
        <v>300000</v>
      </c>
      <c r="S83" s="225">
        <f>R83</f>
        <v>300000</v>
      </c>
      <c r="T83" s="225"/>
      <c r="U83" s="221"/>
    </row>
    <row r="84" spans="1:21" s="222" customFormat="1">
      <c r="A84" s="223" t="s">
        <v>848</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101389</v>
      </c>
      <c r="C85" s="225">
        <v>101389</v>
      </c>
      <c r="D85" s="225"/>
      <c r="E85" s="225">
        <v>101389</v>
      </c>
      <c r="F85" s="225"/>
      <c r="G85" s="225"/>
      <c r="H85" s="225"/>
      <c r="I85" s="225"/>
      <c r="J85" s="225"/>
      <c r="K85" s="225"/>
      <c r="L85" s="225"/>
      <c r="M85" s="225"/>
      <c r="N85" s="225"/>
      <c r="O85" s="225"/>
      <c r="P85" s="225"/>
      <c r="Q85" s="225"/>
      <c r="R85" s="916">
        <f t="shared" si="22"/>
        <v>101389</v>
      </c>
      <c r="S85" s="226"/>
      <c r="T85" s="226"/>
      <c r="U85" s="221"/>
    </row>
    <row r="86" spans="1:21" s="222" customFormat="1">
      <c r="A86" s="223" t="s">
        <v>850</v>
      </c>
      <c r="B86" s="224">
        <f t="shared" si="21"/>
        <v>50000</v>
      </c>
      <c r="C86" s="225">
        <v>50000</v>
      </c>
      <c r="D86" s="225"/>
      <c r="E86" s="225">
        <v>50000</v>
      </c>
      <c r="F86" s="225"/>
      <c r="G86" s="225"/>
      <c r="H86" s="225"/>
      <c r="I86" s="225"/>
      <c r="J86" s="225"/>
      <c r="K86" s="225"/>
      <c r="L86" s="225"/>
      <c r="M86" s="225"/>
      <c r="N86" s="225"/>
      <c r="O86" s="225"/>
      <c r="P86" s="225"/>
      <c r="Q86" s="225"/>
      <c r="R86" s="916">
        <f t="shared" si="22"/>
        <v>50000</v>
      </c>
      <c r="S86" s="225">
        <f>R86</f>
        <v>50000</v>
      </c>
      <c r="T86" s="225"/>
      <c r="U86" s="221"/>
    </row>
    <row r="87" spans="1:21" s="222" customFormat="1">
      <c r="A87" s="223" t="s">
        <v>851</v>
      </c>
      <c r="B87" s="224">
        <f t="shared" si="21"/>
        <v>10000</v>
      </c>
      <c r="C87" s="225">
        <v>10000</v>
      </c>
      <c r="D87" s="225"/>
      <c r="E87" s="225">
        <v>10000</v>
      </c>
      <c r="F87" s="225"/>
      <c r="G87" s="225"/>
      <c r="H87" s="225"/>
      <c r="I87" s="225"/>
      <c r="J87" s="225"/>
      <c r="K87" s="225"/>
      <c r="L87" s="225"/>
      <c r="M87" s="225"/>
      <c r="N87" s="225"/>
      <c r="O87" s="225"/>
      <c r="P87" s="225"/>
      <c r="Q87" s="225"/>
      <c r="R87" s="916">
        <f t="shared" si="22"/>
        <v>10000</v>
      </c>
      <c r="S87" s="225">
        <f>R87</f>
        <v>10000</v>
      </c>
      <c r="T87" s="225"/>
      <c r="U87" s="221"/>
    </row>
    <row r="88" spans="1:21" s="222" customFormat="1">
      <c r="A88" s="234" t="s">
        <v>404</v>
      </c>
      <c r="B88" s="224">
        <f t="shared" si="21"/>
        <v>10000</v>
      </c>
      <c r="C88" s="225">
        <v>10000</v>
      </c>
      <c r="D88" s="225"/>
      <c r="E88" s="225">
        <v>10000</v>
      </c>
      <c r="F88" s="225"/>
      <c r="G88" s="225"/>
      <c r="H88" s="225"/>
      <c r="I88" s="225"/>
      <c r="J88" s="225"/>
      <c r="K88" s="225"/>
      <c r="L88" s="225"/>
      <c r="M88" s="225"/>
      <c r="N88" s="225"/>
      <c r="O88" s="225"/>
      <c r="P88" s="225"/>
      <c r="Q88" s="225"/>
      <c r="R88" s="916">
        <f t="shared" si="22"/>
        <v>10000</v>
      </c>
      <c r="S88" s="225">
        <f>R88</f>
        <v>10000</v>
      </c>
      <c r="T88" s="225"/>
      <c r="U88" s="221"/>
    </row>
    <row r="89" spans="1:21" s="222" customFormat="1">
      <c r="A89" s="889" t="s">
        <v>1468</v>
      </c>
      <c r="B89" s="224">
        <f t="shared" si="21"/>
        <v>10000</v>
      </c>
      <c r="C89" s="225">
        <v>10000</v>
      </c>
      <c r="D89" s="225"/>
      <c r="E89" s="225">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230" t="s">
        <v>37</v>
      </c>
      <c r="B90" s="224">
        <f t="shared" si="21"/>
        <v>0</v>
      </c>
      <c r="C90" s="225"/>
      <c r="D90" s="225"/>
      <c r="E90" s="225"/>
      <c r="F90" s="225"/>
      <c r="G90" s="225"/>
      <c r="H90" s="225"/>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852</v>
      </c>
      <c r="B95" s="224">
        <f>SUM(C95:D95)</f>
        <v>2880898</v>
      </c>
      <c r="C95" s="224">
        <f t="shared" ref="C95:Q95" si="23">SUM(C80:C94)</f>
        <v>2880898</v>
      </c>
      <c r="D95" s="224">
        <f t="shared" si="23"/>
        <v>0</v>
      </c>
      <c r="E95" s="224">
        <f t="shared" si="23"/>
        <v>2759353</v>
      </c>
      <c r="F95" s="224">
        <f t="shared" si="23"/>
        <v>0</v>
      </c>
      <c r="G95" s="224">
        <f t="shared" si="23"/>
        <v>0</v>
      </c>
      <c r="H95" s="224">
        <f t="shared" si="23"/>
        <v>0</v>
      </c>
      <c r="I95" s="224">
        <f t="shared" si="23"/>
        <v>121545</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2880898</v>
      </c>
      <c r="S95" s="228">
        <f>SUM(S81:S84,S86:S94)</f>
        <v>2737233</v>
      </c>
      <c r="T95" s="224">
        <f>SUM(T81:T84,T86:T94)</f>
        <v>0</v>
      </c>
      <c r="U95" s="221"/>
    </row>
    <row r="96" spans="1:21" s="222" customFormat="1">
      <c r="A96" s="227" t="s">
        <v>853</v>
      </c>
      <c r="B96" s="224">
        <f>SUM(C96:D96)</f>
        <v>25449709</v>
      </c>
      <c r="C96" s="224">
        <f>SUM(C63+C67+C74+C78+C95)</f>
        <v>25449709</v>
      </c>
      <c r="D96" s="224">
        <f t="shared" ref="D96:R96" si="24">SUM(D63+D67+D74+D78+D95)</f>
        <v>0</v>
      </c>
      <c r="E96" s="224">
        <f t="shared" si="24"/>
        <v>10498164</v>
      </c>
      <c r="F96" s="224">
        <f t="shared" si="24"/>
        <v>6800000</v>
      </c>
      <c r="G96" s="224">
        <f t="shared" si="24"/>
        <v>3350000</v>
      </c>
      <c r="H96" s="224">
        <f t="shared" si="24"/>
        <v>4680000</v>
      </c>
      <c r="I96" s="224">
        <f t="shared" si="24"/>
        <v>121545</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25449709</v>
      </c>
      <c r="S96" s="224">
        <f>SUM(S63+S67+S78+S95)</f>
        <v>23156893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3473533</v>
      </c>
      <c r="C98" s="225">
        <v>3473533</v>
      </c>
      <c r="D98" s="225"/>
      <c r="E98" s="225">
        <v>2393533</v>
      </c>
      <c r="F98" s="225"/>
      <c r="G98" s="225"/>
      <c r="H98" s="225"/>
      <c r="I98" s="225"/>
      <c r="J98" s="225">
        <v>1080000</v>
      </c>
      <c r="K98" s="225"/>
      <c r="L98" s="225"/>
      <c r="M98" s="225"/>
      <c r="N98" s="225"/>
      <c r="O98" s="225"/>
      <c r="P98" s="225"/>
      <c r="Q98" s="225"/>
      <c r="R98" s="916">
        <f t="shared" ref="R98:R103" si="26">SUM(E98:Q98)</f>
        <v>3473533</v>
      </c>
      <c r="S98" s="225">
        <f>R98</f>
        <v>3473533</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3473533</v>
      </c>
      <c r="C104" s="224">
        <f t="shared" ref="C104:T104" si="27">SUM(C98:C103)</f>
        <v>3473533</v>
      </c>
      <c r="D104" s="224">
        <f t="shared" si="27"/>
        <v>0</v>
      </c>
      <c r="E104" s="224">
        <f t="shared" si="27"/>
        <v>2393533</v>
      </c>
      <c r="F104" s="224">
        <f t="shared" si="27"/>
        <v>0</v>
      </c>
      <c r="G104" s="224">
        <f t="shared" si="27"/>
        <v>0</v>
      </c>
      <c r="H104" s="224">
        <f t="shared" si="27"/>
        <v>0</v>
      </c>
      <c r="I104" s="224">
        <f t="shared" si="27"/>
        <v>0</v>
      </c>
      <c r="J104" s="224">
        <f t="shared" si="27"/>
        <v>1080000</v>
      </c>
      <c r="K104" s="224">
        <f t="shared" si="27"/>
        <v>0</v>
      </c>
      <c r="L104" s="224">
        <f t="shared" si="27"/>
        <v>0</v>
      </c>
      <c r="M104" s="224">
        <f t="shared" si="27"/>
        <v>0</v>
      </c>
      <c r="N104" s="224">
        <f t="shared" si="27"/>
        <v>0</v>
      </c>
      <c r="O104" s="224">
        <f t="shared" si="27"/>
        <v>0</v>
      </c>
      <c r="P104" s="224">
        <f t="shared" si="27"/>
        <v>0</v>
      </c>
      <c r="Q104" s="224">
        <f t="shared" si="27"/>
        <v>0</v>
      </c>
      <c r="R104" s="558">
        <f>SUM(R98:R103)</f>
        <v>3473533</v>
      </c>
      <c r="S104" s="228">
        <f t="shared" si="27"/>
        <v>3473533</v>
      </c>
      <c r="T104" s="228">
        <f t="shared" si="27"/>
        <v>0</v>
      </c>
      <c r="U104" s="221"/>
    </row>
    <row r="105" spans="1:21" s="222" customFormat="1">
      <c r="A105" s="227" t="s">
        <v>861</v>
      </c>
      <c r="B105" s="228">
        <f>SUM(C105:D105)</f>
        <v>28923242</v>
      </c>
      <c r="C105" s="228">
        <f t="shared" ref="C105:R105" si="28">SUM(C96+C104)</f>
        <v>28923242</v>
      </c>
      <c r="D105" s="228">
        <f t="shared" si="28"/>
        <v>0</v>
      </c>
      <c r="E105" s="228">
        <f t="shared" si="28"/>
        <v>12891697</v>
      </c>
      <c r="F105" s="228">
        <f t="shared" si="28"/>
        <v>6800000</v>
      </c>
      <c r="G105" s="228">
        <f t="shared" si="28"/>
        <v>3350000</v>
      </c>
      <c r="H105" s="228">
        <f t="shared" si="28"/>
        <v>4680000</v>
      </c>
      <c r="I105" s="228">
        <f t="shared" si="28"/>
        <v>121545</v>
      </c>
      <c r="J105" s="228">
        <f t="shared" si="28"/>
        <v>1080000</v>
      </c>
      <c r="K105" s="228">
        <f t="shared" si="28"/>
        <v>0</v>
      </c>
      <c r="L105" s="228">
        <f t="shared" si="28"/>
        <v>0</v>
      </c>
      <c r="M105" s="228">
        <f t="shared" si="28"/>
        <v>0</v>
      </c>
      <c r="N105" s="228">
        <f t="shared" si="28"/>
        <v>0</v>
      </c>
      <c r="O105" s="228">
        <f t="shared" si="28"/>
        <v>0</v>
      </c>
      <c r="P105" s="228">
        <f t="shared" si="28"/>
        <v>0</v>
      </c>
      <c r="Q105" s="228">
        <f t="shared" si="28"/>
        <v>0</v>
      </c>
      <c r="R105" s="558">
        <f t="shared" si="28"/>
        <v>28923242</v>
      </c>
      <c r="S105" s="228">
        <f>S96+S104</f>
        <v>26630426</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26630426</v>
      </c>
      <c r="T107" s="242">
        <f>T105+T106</f>
        <v>0</v>
      </c>
    </row>
    <row r="108" spans="1:21" s="310" customFormat="1">
      <c r="A108" s="241" t="s">
        <v>973</v>
      </c>
      <c r="B108" s="236"/>
      <c r="C108" s="236"/>
      <c r="D108" s="236"/>
      <c r="E108" s="481">
        <f>Application!AG631</f>
        <v>12891697</v>
      </c>
      <c r="F108" s="481">
        <f>Application!AG618</f>
        <v>6800000</v>
      </c>
      <c r="G108" s="481">
        <f>Application!AG619</f>
        <v>3350000</v>
      </c>
      <c r="H108" s="481">
        <f>Application!AG620</f>
        <v>4680000</v>
      </c>
      <c r="I108" s="481">
        <f>Application!AG621</f>
        <v>121545</v>
      </c>
      <c r="J108" s="481">
        <f>Application!AG622</f>
        <v>1080000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598" t="s">
        <v>1133</v>
      </c>
      <c r="E122" s="1598"/>
      <c r="F122" s="1598"/>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1" t="s">
        <v>1490</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1135</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1136</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595"/>
      <c r="E128" s="1595"/>
      <c r="F128" s="1595"/>
      <c r="G128" s="1595"/>
      <c r="H128" s="1595"/>
      <c r="I128" s="534"/>
      <c r="J128" s="1596"/>
      <c r="K128" s="1596"/>
      <c r="L128" s="534"/>
      <c r="M128" s="534"/>
      <c r="N128" s="534"/>
      <c r="O128" s="534"/>
      <c r="P128" s="534"/>
      <c r="Q128" s="534"/>
      <c r="R128" s="534"/>
      <c r="S128" s="534"/>
      <c r="T128" s="535"/>
      <c r="U128" s="537"/>
    </row>
    <row r="129" spans="1:21" ht="12.75">
      <c r="A129" s="534" t="s">
        <v>319</v>
      </c>
      <c r="B129" s="544"/>
      <c r="C129" s="534"/>
      <c r="D129" s="1597" t="s">
        <v>1140</v>
      </c>
      <c r="E129" s="1597"/>
      <c r="F129" s="1597"/>
      <c r="G129" s="1597"/>
      <c r="H129" s="1597"/>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74"/>
      <c r="E131" s="1574"/>
      <c r="F131" s="1574"/>
      <c r="G131" s="1574"/>
      <c r="H131" s="1574"/>
      <c r="I131" s="534"/>
      <c r="J131" s="1574"/>
      <c r="K131" s="1574"/>
      <c r="L131" s="1574"/>
      <c r="M131" s="1574"/>
      <c r="N131" s="534"/>
      <c r="O131" s="534"/>
      <c r="P131" s="534"/>
      <c r="Q131" s="534"/>
      <c r="R131" s="534"/>
      <c r="S131" s="534"/>
      <c r="T131" s="535"/>
      <c r="U131" s="537"/>
    </row>
    <row r="132" spans="1:21" ht="12" customHeight="1">
      <c r="A132" s="548"/>
      <c r="B132" s="534"/>
      <c r="C132" s="534"/>
      <c r="D132" s="1603" t="s">
        <v>1143</v>
      </c>
      <c r="E132" s="1603"/>
      <c r="F132" s="1603"/>
      <c r="G132" s="1603"/>
      <c r="H132" s="1603"/>
      <c r="I132" s="534"/>
      <c r="J132" s="1603" t="s">
        <v>1144</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596"/>
      <c r="F138" s="1596"/>
      <c r="G138" s="534"/>
      <c r="H138" s="534"/>
      <c r="I138" s="534"/>
      <c r="J138" s="534"/>
      <c r="K138" s="534"/>
      <c r="L138" s="534"/>
      <c r="M138" s="534"/>
      <c r="N138" s="534"/>
      <c r="O138" s="534"/>
      <c r="P138" s="534"/>
      <c r="Q138" s="534"/>
      <c r="R138" s="534"/>
      <c r="S138" s="534"/>
      <c r="T138" s="541"/>
      <c r="U138" s="542"/>
    </row>
    <row r="139" spans="1:21" ht="12.75">
      <c r="A139" s="1599" t="s">
        <v>1147</v>
      </c>
      <c r="B139" s="1600"/>
      <c r="C139" s="1600"/>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5" zoomScaleNormal="100" zoomScaleSheetLayoutView="100" workbookViewId="0">
      <selection activeCell="D20" sqref="D2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1493</v>
      </c>
      <c r="B1" s="1613"/>
      <c r="C1" s="1613"/>
      <c r="D1" s="1613"/>
      <c r="E1" s="1613"/>
      <c r="F1" s="1613"/>
      <c r="G1" s="1613"/>
      <c r="H1" s="1613"/>
      <c r="I1" s="1613"/>
      <c r="J1" s="1614"/>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1250000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3216</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1253216</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1253216</v>
      </c>
      <c r="C12" s="589">
        <f>SUM(C8+C11)</f>
        <v>0</v>
      </c>
      <c r="D12" s="589">
        <f>SUM(D8+D11)</f>
        <v>0</v>
      </c>
      <c r="E12" s="591"/>
      <c r="F12" s="591"/>
      <c r="G12" s="591"/>
      <c r="H12" s="591"/>
      <c r="I12" s="591"/>
      <c r="J12" s="591"/>
      <c r="K12" s="587"/>
    </row>
    <row r="13" spans="1:11" s="588" customFormat="1">
      <c r="A13" s="594" t="s">
        <v>1000</v>
      </c>
      <c r="B13" s="589">
        <f>'Sources and Uses Budget'!C13</f>
        <v>381784</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3096000</v>
      </c>
      <c r="C28" s="590"/>
      <c r="D28" s="590"/>
      <c r="E28" s="589">
        <f>'Sources and Uses Budget'!S28</f>
        <v>3096000</v>
      </c>
      <c r="F28" s="590"/>
      <c r="G28" s="590"/>
      <c r="H28" s="589">
        <f>'Sources and Uses Budget'!T28</f>
        <v>0</v>
      </c>
      <c r="I28" s="590"/>
      <c r="J28" s="590"/>
      <c r="K28" s="587"/>
    </row>
    <row r="29" spans="1:11" s="588" customFormat="1">
      <c r="A29" s="223" t="s">
        <v>650</v>
      </c>
      <c r="B29" s="589">
        <f>'Sources and Uses Budget'!C29</f>
        <v>11798220</v>
      </c>
      <c r="C29" s="590"/>
      <c r="D29" s="590"/>
      <c r="E29" s="589">
        <f>'Sources and Uses Budget'!S29</f>
        <v>11798220</v>
      </c>
      <c r="F29" s="590"/>
      <c r="G29" s="590"/>
      <c r="H29" s="589">
        <f>'Sources and Uses Budget'!T29</f>
        <v>0</v>
      </c>
      <c r="I29" s="590"/>
      <c r="J29" s="590"/>
      <c r="K29" s="587"/>
    </row>
    <row r="30" spans="1:11" s="588" customFormat="1">
      <c r="A30" s="223" t="s">
        <v>651</v>
      </c>
      <c r="B30" s="589">
        <f>'Sources and Uses Budget'!C30</f>
        <v>893653</v>
      </c>
      <c r="C30" s="590"/>
      <c r="D30" s="590"/>
      <c r="E30" s="589">
        <f>'Sources and Uses Budget'!S30</f>
        <v>893653</v>
      </c>
      <c r="F30" s="590"/>
      <c r="G30" s="590"/>
      <c r="H30" s="589">
        <f>'Sources and Uses Budget'!T30</f>
        <v>0</v>
      </c>
      <c r="I30" s="590"/>
      <c r="J30" s="590"/>
      <c r="K30" s="587"/>
    </row>
    <row r="31" spans="1:11" s="588" customFormat="1">
      <c r="A31" s="223" t="s">
        <v>144</v>
      </c>
      <c r="B31" s="589">
        <f>'Sources and Uses Budget'!C31</f>
        <v>297884</v>
      </c>
      <c r="C31" s="590"/>
      <c r="D31" s="590"/>
      <c r="E31" s="589">
        <f>'Sources and Uses Budget'!S31</f>
        <v>297884</v>
      </c>
      <c r="F31" s="590"/>
      <c r="G31" s="590"/>
      <c r="H31" s="589">
        <f>'Sources and Uses Budget'!T31</f>
        <v>0</v>
      </c>
      <c r="I31" s="590"/>
      <c r="J31" s="590"/>
      <c r="K31" s="587"/>
    </row>
    <row r="32" spans="1:11" s="588" customFormat="1">
      <c r="A32" s="223" t="s">
        <v>145</v>
      </c>
      <c r="B32" s="589">
        <f>'Sources and Uses Budget'!C32</f>
        <v>893653</v>
      </c>
      <c r="C32" s="590"/>
      <c r="D32" s="590"/>
      <c r="E32" s="589">
        <f>'Sources and Uses Budget'!S32</f>
        <v>893653</v>
      </c>
      <c r="F32" s="590"/>
      <c r="G32" s="590"/>
      <c r="H32" s="589">
        <f>'Sources and Uses Budget'!T32</f>
        <v>0</v>
      </c>
      <c r="I32" s="590"/>
      <c r="J32" s="590"/>
      <c r="K32" s="587"/>
    </row>
    <row r="33" spans="1:11" s="588" customFormat="1">
      <c r="A33" s="223" t="s">
        <v>146</v>
      </c>
      <c r="B33" s="589">
        <f>'Sources and Uses Budget'!C33</f>
        <v>249000</v>
      </c>
      <c r="C33" s="590"/>
      <c r="D33" s="590"/>
      <c r="E33" s="589">
        <f>'Sources and Uses Budget'!S33</f>
        <v>249000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17228410</v>
      </c>
      <c r="C36" s="589">
        <f>SUM(C28:C35)</f>
        <v>0</v>
      </c>
      <c r="D36" s="589">
        <f>SUM(D28:D35)</f>
        <v>0</v>
      </c>
      <c r="E36" s="589">
        <f>'Sources and Uses Budget'!S36</f>
        <v>17228410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400000</v>
      </c>
      <c r="C38" s="590"/>
      <c r="D38" s="590"/>
      <c r="E38" s="589">
        <f>'Sources and Uses Budget'!S38</f>
        <v>400000</v>
      </c>
      <c r="F38" s="590"/>
      <c r="G38" s="590"/>
      <c r="H38" s="589">
        <f>'Sources and Uses Budget'!T38</f>
        <v>0</v>
      </c>
      <c r="I38" s="590"/>
      <c r="J38" s="590"/>
      <c r="K38" s="587"/>
    </row>
    <row r="39" spans="1:11" s="588" customFormat="1">
      <c r="A39" s="592" t="s">
        <v>153</v>
      </c>
      <c r="B39" s="589">
        <f>'Sources and Uses Budget'!C39</f>
        <v>50000</v>
      </c>
      <c r="C39" s="590"/>
      <c r="D39" s="590"/>
      <c r="E39" s="589">
        <f>'Sources and Uses Budget'!S39</f>
        <v>50000</v>
      </c>
      <c r="F39" s="590"/>
      <c r="G39" s="590"/>
      <c r="H39" s="589">
        <f>'Sources and Uses Budget'!T39</f>
        <v>0</v>
      </c>
      <c r="I39" s="590"/>
      <c r="J39" s="590"/>
      <c r="K39" s="587"/>
    </row>
    <row r="40" spans="1:11" s="588" customFormat="1">
      <c r="A40" s="593" t="s">
        <v>154</v>
      </c>
      <c r="B40" s="589">
        <f>'Sources and Uses Budget'!C40</f>
        <v>450000</v>
      </c>
      <c r="C40" s="589">
        <f>SUM(C37:C39)</f>
        <v>0</v>
      </c>
      <c r="D40" s="589">
        <f>SUM(D37:D39)</f>
        <v>0</v>
      </c>
      <c r="E40" s="589">
        <f>'Sources and Uses Budget'!S40</f>
        <v>450000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195000</v>
      </c>
      <c r="C41" s="590"/>
      <c r="D41" s="590"/>
      <c r="E41" s="589">
        <f>'Sources and Uses Budget'!S41</f>
        <v>195000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641250</v>
      </c>
      <c r="C43" s="590"/>
      <c r="D43" s="590"/>
      <c r="E43" s="589">
        <f>'Sources and Uses Budget'!S43</f>
        <v>641250</v>
      </c>
      <c r="F43" s="590"/>
      <c r="G43" s="590"/>
      <c r="H43" s="589">
        <f>'Sources and Uses Budget'!T43</f>
        <v>0</v>
      </c>
      <c r="I43" s="590"/>
      <c r="J43" s="590"/>
      <c r="K43" s="587"/>
    </row>
    <row r="44" spans="1:11" s="588" customFormat="1">
      <c r="A44" s="592" t="s">
        <v>158</v>
      </c>
      <c r="B44" s="589">
        <f>'Sources and Uses Budget'!C44</f>
        <v>190000</v>
      </c>
      <c r="C44" s="590"/>
      <c r="D44" s="590"/>
      <c r="E44" s="589">
        <f>'Sources and Uses Budget'!S44</f>
        <v>190000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100000</v>
      </c>
      <c r="C47" s="590"/>
      <c r="D47" s="590"/>
      <c r="E47" s="589">
        <f>'Sources and Uses Budget'!S47</f>
        <v>100000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15000</v>
      </c>
      <c r="C49" s="590"/>
      <c r="D49" s="590"/>
      <c r="E49" s="589">
        <f>'Sources and Uses Budget'!S49</f>
        <v>15000</v>
      </c>
      <c r="F49" s="590"/>
      <c r="G49" s="590"/>
      <c r="H49" s="589">
        <f>'Sources and Uses Budget'!T49</f>
        <v>0</v>
      </c>
      <c r="I49" s="590"/>
      <c r="J49" s="590"/>
      <c r="K49" s="587"/>
    </row>
    <row r="50" spans="1:11" s="588" customFormat="1">
      <c r="A50" s="592" t="s">
        <v>162</v>
      </c>
      <c r="B50" s="589">
        <f>'Sources and Uses Budget'!C50</f>
        <v>200000</v>
      </c>
      <c r="C50" s="590"/>
      <c r="D50" s="590"/>
      <c r="E50" s="589">
        <f>'Sources and Uses Budget'!S50</f>
        <v>200000</v>
      </c>
      <c r="F50" s="590"/>
      <c r="G50" s="590"/>
      <c r="H50" s="589">
        <f>'Sources and Uses Budget'!T50</f>
        <v>0</v>
      </c>
      <c r="I50" s="590"/>
      <c r="J50" s="590"/>
      <c r="K50" s="587"/>
    </row>
    <row r="51" spans="1:11" s="588" customFormat="1">
      <c r="A51" s="595" t="str">
        <f>'Sources and Uses Budget'!$A60</f>
        <v>Bond Counsel</v>
      </c>
      <c r="B51" s="589">
        <f>'Sources and Uses Budget'!C51</f>
        <v>100000</v>
      </c>
      <c r="C51" s="590"/>
      <c r="D51" s="590"/>
      <c r="E51" s="589">
        <f>'Sources and Uses Budget'!S51</f>
        <v>100000</v>
      </c>
      <c r="F51" s="590"/>
      <c r="G51" s="590"/>
      <c r="H51" s="589">
        <f>'Sources and Uses Budget'!T51</f>
        <v>0</v>
      </c>
      <c r="I51" s="590"/>
      <c r="J51" s="590"/>
      <c r="K51" s="587"/>
    </row>
    <row r="52" spans="1:11" s="588" customFormat="1">
      <c r="A52" s="595" t="str">
        <f>'Sources and Uses Budget'!$A61</f>
        <v>CalHFA MIP Loan Fees &amp; Costs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1306250</v>
      </c>
      <c r="C53" s="596">
        <f>SUM(C43:C52)</f>
        <v>0</v>
      </c>
      <c r="D53" s="596">
        <f>SUM(D43:D52)</f>
        <v>0</v>
      </c>
      <c r="E53" s="589">
        <f>'Sources and Uses Budget'!S53</f>
        <v>1306250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68000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70000</v>
      </c>
      <c r="C60" s="590"/>
      <c r="D60" s="590"/>
      <c r="E60" s="591"/>
      <c r="F60" s="591"/>
      <c r="G60" s="591"/>
      <c r="H60" s="591"/>
      <c r="I60" s="591"/>
      <c r="J60" s="591"/>
      <c r="K60" s="587"/>
    </row>
    <row r="61" spans="1:11" s="588" customFormat="1">
      <c r="A61" s="595" t="str">
        <f>'Sources and Uses Budget'!$A61</f>
        <v>CalHFA MIP Loan Fees &amp; Costs</v>
      </c>
      <c r="B61" s="589">
        <f>'Sources and Uses Budget'!C61</f>
        <v>58500</v>
      </c>
      <c r="C61" s="590"/>
      <c r="D61" s="590"/>
      <c r="E61" s="591"/>
      <c r="F61" s="591"/>
      <c r="G61" s="591"/>
      <c r="H61" s="591"/>
      <c r="I61" s="591"/>
      <c r="J61" s="591"/>
      <c r="K61" s="587"/>
    </row>
    <row r="62" spans="1:11" s="588" customFormat="1" ht="13.7" customHeight="1">
      <c r="A62" s="593" t="s">
        <v>320</v>
      </c>
      <c r="B62" s="589">
        <f>'Sources and Uses Budget'!C62</f>
        <v>221500</v>
      </c>
      <c r="C62" s="589">
        <f>SUM(C55:C61)</f>
        <v>0</v>
      </c>
      <c r="D62" s="589">
        <f>SUM(D55:D61)</f>
        <v>0</v>
      </c>
      <c r="E62" s="591"/>
      <c r="F62" s="591"/>
      <c r="G62" s="591"/>
      <c r="H62" s="591"/>
      <c r="I62" s="591"/>
      <c r="J62" s="591"/>
      <c r="K62" s="587"/>
    </row>
    <row r="63" spans="1:11" s="588" customFormat="1">
      <c r="A63" s="600" t="s">
        <v>321</v>
      </c>
      <c r="B63" s="589">
        <f>'Sources and Uses Budget'!C63</f>
        <v>21036160</v>
      </c>
      <c r="C63" s="589">
        <f>SUM(C8+C11+C13+C14+C15+C25+C26+C36+C40+C41+C53+C62)</f>
        <v>0</v>
      </c>
      <c r="D63" s="589">
        <f>SUM(D8+D11+D13+D14+D15+D25+D26+D36+D40+D41+D53+D62)</f>
        <v>0</v>
      </c>
      <c r="E63" s="589">
        <f>'Sources and Uses Budget'!S63</f>
        <v>19179660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60000</v>
      </c>
      <c r="C66" s="590"/>
      <c r="D66" s="590"/>
      <c r="E66" s="589">
        <f>'Sources and Uses Budget'!S66</f>
        <v>60000</v>
      </c>
      <c r="F66" s="590"/>
      <c r="G66" s="590"/>
      <c r="H66" s="589">
        <f>'Sources and Uses Budget'!T66</f>
        <v>0</v>
      </c>
      <c r="I66" s="590"/>
      <c r="J66" s="590"/>
      <c r="K66" s="587"/>
    </row>
    <row r="67" spans="1:11" s="588" customFormat="1">
      <c r="A67" s="593" t="s">
        <v>652</v>
      </c>
      <c r="B67" s="589">
        <f>'Sources and Uses Budget'!C67</f>
        <v>60000</v>
      </c>
      <c r="C67" s="589">
        <f>SUM(C64:C66)</f>
        <v>0</v>
      </c>
      <c r="D67" s="589">
        <f>SUM(D64:D66)</f>
        <v>0</v>
      </c>
      <c r="E67" s="589">
        <f>'Sources and Uses Budget'!S67</f>
        <v>60000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100000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656</v>
      </c>
      <c r="B72" s="589">
        <f>'Sources and Uses Budget'!C72</f>
        <v>192651</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292651</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980000</v>
      </c>
      <c r="C76" s="590"/>
      <c r="D76" s="590"/>
      <c r="E76" s="589">
        <f>'Sources and Uses Budget'!S76</f>
        <v>980000</v>
      </c>
      <c r="F76" s="590"/>
      <c r="G76" s="590"/>
      <c r="H76" s="589">
        <f>'Sources and Uses Budget'!T76</f>
        <v>0</v>
      </c>
      <c r="I76" s="590"/>
      <c r="J76" s="590"/>
      <c r="K76" s="587"/>
    </row>
    <row r="77" spans="1:11" s="588" customFormat="1">
      <c r="A77" s="592" t="s">
        <v>63</v>
      </c>
      <c r="B77" s="589">
        <f>'Sources and Uses Budget'!C77</f>
        <v>200000</v>
      </c>
      <c r="C77" s="590"/>
      <c r="D77" s="590"/>
      <c r="E77" s="589">
        <f>'Sources and Uses Budget'!S77</f>
        <v>200000</v>
      </c>
      <c r="F77" s="590"/>
      <c r="G77" s="590"/>
      <c r="H77" s="589">
        <f>'Sources and Uses Budget'!T77</f>
        <v>0</v>
      </c>
      <c r="I77" s="590"/>
      <c r="J77" s="590"/>
      <c r="K77" s="587"/>
    </row>
    <row r="78" spans="1:11" s="588" customFormat="1">
      <c r="A78" s="593" t="s">
        <v>1466</v>
      </c>
      <c r="B78" s="589">
        <f>'Sources and Uses Budget'!C78</f>
        <v>1180000</v>
      </c>
      <c r="C78" s="589">
        <f>SUM(C76:C77)</f>
        <v>0</v>
      </c>
      <c r="D78" s="589">
        <f>SUM(D76:D77)</f>
        <v>0</v>
      </c>
      <c r="E78" s="589">
        <f>'Sources and Uses Budget'!S78</f>
        <v>1180000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42276</v>
      </c>
      <c r="C80" s="590"/>
      <c r="D80" s="590"/>
      <c r="E80" s="591"/>
      <c r="F80" s="591"/>
      <c r="G80" s="591"/>
      <c r="H80" s="591"/>
      <c r="I80" s="591"/>
      <c r="J80" s="591"/>
      <c r="K80" s="587"/>
    </row>
    <row r="81" spans="1:11" s="588" customFormat="1">
      <c r="A81" s="223" t="s">
        <v>845</v>
      </c>
      <c r="B81" s="589">
        <f>'Sources and Uses Budget'!C81</f>
        <v>5000</v>
      </c>
      <c r="C81" s="590"/>
      <c r="D81" s="590"/>
      <c r="E81" s="589">
        <f>'Sources and Uses Budget'!S81</f>
        <v>5000</v>
      </c>
      <c r="F81" s="590"/>
      <c r="G81" s="590"/>
      <c r="H81" s="589">
        <f>'Sources and Uses Budget'!T81</f>
        <v>0</v>
      </c>
      <c r="I81" s="590"/>
      <c r="J81" s="590"/>
      <c r="K81" s="587"/>
    </row>
    <row r="82" spans="1:11" s="588" customFormat="1">
      <c r="A82" s="223" t="s">
        <v>846</v>
      </c>
      <c r="B82" s="589">
        <f>'Sources and Uses Budget'!C82</f>
        <v>2352233</v>
      </c>
      <c r="C82" s="590"/>
      <c r="D82" s="590"/>
      <c r="E82" s="589">
        <f>'Sources and Uses Budget'!S82</f>
        <v>2352233</v>
      </c>
      <c r="F82" s="590"/>
      <c r="G82" s="590"/>
      <c r="H82" s="589">
        <f>'Sources and Uses Budget'!T82</f>
        <v>0</v>
      </c>
      <c r="I82" s="590"/>
      <c r="J82" s="590"/>
      <c r="K82" s="587"/>
    </row>
    <row r="83" spans="1:11" s="588" customFormat="1">
      <c r="A83" s="223" t="s">
        <v>847</v>
      </c>
      <c r="B83" s="589">
        <f>'Sources and Uses Budget'!C83</f>
        <v>300000</v>
      </c>
      <c r="C83" s="590"/>
      <c r="D83" s="590"/>
      <c r="E83" s="589">
        <f>'Sources and Uses Budget'!S83</f>
        <v>300000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101389</v>
      </c>
      <c r="C85" s="590"/>
      <c r="D85" s="590"/>
      <c r="E85" s="591"/>
      <c r="F85" s="591"/>
      <c r="G85" s="591"/>
      <c r="H85" s="591"/>
      <c r="I85" s="591"/>
      <c r="J85" s="591"/>
      <c r="K85" s="587"/>
    </row>
    <row r="86" spans="1:11" s="588" customFormat="1">
      <c r="A86" s="223" t="s">
        <v>850</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2880898</v>
      </c>
      <c r="C95" s="589">
        <f>SUM(C80:C94)</f>
        <v>0</v>
      </c>
      <c r="D95" s="589">
        <f>SUM(D80:D94)</f>
        <v>0</v>
      </c>
      <c r="E95" s="589">
        <f>'Sources and Uses Budget'!S95</f>
        <v>2737233</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25449709</v>
      </c>
      <c r="C96" s="589">
        <f>SUM(C63+C67+C74+C78+C95)</f>
        <v>0</v>
      </c>
      <c r="D96" s="589">
        <f>SUM(D63+D67+D74+D78+D95)</f>
        <v>0</v>
      </c>
      <c r="E96" s="589">
        <f>'Sources and Uses Budget'!S96</f>
        <v>23156893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3473533</v>
      </c>
      <c r="C98" s="590"/>
      <c r="D98" s="590"/>
      <c r="E98" s="589">
        <f>'Sources and Uses Budget'!S98</f>
        <v>3473533</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3473533</v>
      </c>
      <c r="C104" s="589">
        <f>SUM(C98:C103)</f>
        <v>0</v>
      </c>
      <c r="D104" s="589">
        <f>SUM(D98:D103)</f>
        <v>0</v>
      </c>
      <c r="E104" s="589">
        <f>'Sources and Uses Budget'!S104</f>
        <v>3473533</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28923242</v>
      </c>
      <c r="C105" s="596">
        <f>SUM(C96+C104)</f>
        <v>0</v>
      </c>
      <c r="D105" s="596">
        <f>SUM(D96+D104)</f>
        <v>0</v>
      </c>
      <c r="E105" s="589">
        <f>'Sources and Uses Budget'!S105</f>
        <v>26630426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26630426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2" t="s">
        <v>1598</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DDA/QCT
Building(s)</v>
      </c>
      <c r="U7" s="1649"/>
      <c r="V7" s="1649"/>
      <c r="W7" s="1649"/>
      <c r="X7" s="1649"/>
      <c r="Y7" s="1649" t="str">
        <f>IF(T25=100%," ",'Sources and Basis Breakdown'!G2)</f>
        <v>30% PVC for New Const/
Rehabilitation
NON-DDA/
NON-QCT Building(s)</v>
      </c>
      <c r="Z7" s="1649"/>
      <c r="AA7" s="1649"/>
      <c r="AB7" s="1649"/>
      <c r="AC7" s="1649"/>
      <c r="AD7" s="1649" t="str">
        <f xml:space="preserve"> IF(T25=100%, 'Sources and Basis Breakdown'!J2,'Sources and Basis Breakdown'!I2)</f>
        <v>30% PVC for Acquisition
DDA/QCT Building(s)</v>
      </c>
      <c r="AE7" s="1649"/>
      <c r="AF7" s="1649"/>
      <c r="AG7" s="1649"/>
      <c r="AH7" s="1649"/>
      <c r="AI7" s="1649" t="str">
        <f>IF(T25=100%," ",'Sources and Basis Breakdown'!J2)</f>
        <v>30% PVC for Acquisition
NON-DDA/
NON-QCT Building(s)</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74">
        <f>IF('Sources and Basis Breakdown'!F107=0,'Sources and Basis Breakdown'!E107,'Sources and Basis Breakdown'!F107)</f>
        <v>26630426</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0</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8" t="s">
        <v>544</v>
      </c>
      <c r="C12" s="1679"/>
      <c r="D12" s="1679"/>
      <c r="E12" s="1679"/>
      <c r="F12" s="1679"/>
      <c r="G12" s="1679"/>
      <c r="H12" s="1679"/>
      <c r="I12" s="1679"/>
      <c r="J12" s="1679"/>
      <c r="K12" s="1679"/>
      <c r="L12" s="1679"/>
      <c r="M12" s="1679"/>
      <c r="N12" s="1679"/>
      <c r="O12" s="1679"/>
      <c r="P12" s="1679"/>
      <c r="Q12" s="1679"/>
      <c r="R12" s="1679"/>
      <c r="S12" s="1680"/>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1" t="s">
        <v>545</v>
      </c>
      <c r="D13" s="1681"/>
      <c r="E13" s="1681"/>
      <c r="F13" s="1681"/>
      <c r="G13" s="1681"/>
      <c r="H13" s="1681"/>
      <c r="I13" s="1681"/>
      <c r="J13" s="1681"/>
      <c r="K13" s="1681"/>
      <c r="L13" s="1681"/>
      <c r="M13" s="1681"/>
      <c r="N13" s="1681"/>
      <c r="O13" s="1681"/>
      <c r="P13" s="1681"/>
      <c r="Q13" s="1681"/>
      <c r="R13" s="1681"/>
      <c r="S13" s="1682"/>
      <c r="T13" s="1670">
        <v>121545</v>
      </c>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1" t="s">
        <v>546</v>
      </c>
      <c r="D14" s="1681"/>
      <c r="E14" s="1681"/>
      <c r="F14" s="1681"/>
      <c r="G14" s="1681"/>
      <c r="H14" s="1681"/>
      <c r="I14" s="1681"/>
      <c r="J14" s="1681"/>
      <c r="K14" s="1681"/>
      <c r="L14" s="1681"/>
      <c r="M14" s="1681"/>
      <c r="N14" s="1681"/>
      <c r="O14" s="1681"/>
      <c r="P14" s="1681"/>
      <c r="Q14" s="1681"/>
      <c r="R14" s="1681"/>
      <c r="S14" s="1682"/>
      <c r="T14" s="1668"/>
      <c r="U14" s="1669"/>
      <c r="V14" s="1669"/>
      <c r="W14" s="1669"/>
      <c r="X14" s="1669"/>
      <c r="Y14" s="1668"/>
      <c r="Z14" s="1669"/>
      <c r="AA14" s="1669"/>
      <c r="AB14" s="1669"/>
      <c r="AC14" s="1669"/>
      <c r="AD14" s="1669"/>
      <c r="AE14" s="1669"/>
      <c r="AF14" s="1669"/>
      <c r="AG14" s="1669"/>
      <c r="AH14" s="1669"/>
      <c r="AI14" s="1669"/>
      <c r="AJ14" s="1669"/>
      <c r="AK14" s="1669"/>
      <c r="AL14" s="1669"/>
      <c r="AM14" s="166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1" t="s">
        <v>547</v>
      </c>
      <c r="D15" s="1681"/>
      <c r="E15" s="1681"/>
      <c r="F15" s="1681"/>
      <c r="G15" s="1681"/>
      <c r="H15" s="1681"/>
      <c r="I15" s="1681"/>
      <c r="J15" s="1681"/>
      <c r="K15" s="1681"/>
      <c r="L15" s="1681"/>
      <c r="M15" s="1681"/>
      <c r="N15" s="1681"/>
      <c r="O15" s="1681"/>
      <c r="P15" s="1681"/>
      <c r="Q15" s="1681"/>
      <c r="R15" s="1681"/>
      <c r="S15" s="1682"/>
      <c r="T15" s="1668"/>
      <c r="U15" s="1669"/>
      <c r="V15" s="1669"/>
      <c r="W15" s="1669"/>
      <c r="X15" s="1669"/>
      <c r="Y15" s="1668"/>
      <c r="Z15" s="1669"/>
      <c r="AA15" s="1669"/>
      <c r="AB15" s="1669"/>
      <c r="AC15" s="1669"/>
      <c r="AD15" s="1669"/>
      <c r="AE15" s="1669"/>
      <c r="AF15" s="1669"/>
      <c r="AG15" s="1669"/>
      <c r="AH15" s="1669"/>
      <c r="AI15" s="1669"/>
      <c r="AJ15" s="1669"/>
      <c r="AK15" s="1669"/>
      <c r="AL15" s="1669"/>
      <c r="AM15" s="166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1" t="s">
        <v>887</v>
      </c>
      <c r="D16" s="1681"/>
      <c r="E16" s="1681"/>
      <c r="F16" s="1681"/>
      <c r="G16" s="1681"/>
      <c r="H16" s="1681"/>
      <c r="I16" s="1681"/>
      <c r="J16" s="1681"/>
      <c r="K16" s="1681"/>
      <c r="L16" s="1681"/>
      <c r="M16" s="1681"/>
      <c r="N16" s="1681"/>
      <c r="O16" s="1681"/>
      <c r="P16" s="1681"/>
      <c r="Q16" s="1681"/>
      <c r="R16" s="1681"/>
      <c r="S16" s="1682"/>
      <c r="T16" s="1668"/>
      <c r="U16" s="1669"/>
      <c r="V16" s="1669"/>
      <c r="W16" s="1669"/>
      <c r="X16" s="1669"/>
      <c r="Y16" s="1668"/>
      <c r="Z16" s="1669"/>
      <c r="AA16" s="1669"/>
      <c r="AB16" s="1669"/>
      <c r="AC16" s="1669"/>
      <c r="AD16" s="1669"/>
      <c r="AE16" s="1669"/>
      <c r="AF16" s="1669"/>
      <c r="AG16" s="1669"/>
      <c r="AH16" s="1669"/>
      <c r="AI16" s="1669"/>
      <c r="AJ16" s="1669"/>
      <c r="AK16" s="1669"/>
      <c r="AL16" s="1669"/>
      <c r="AM16" s="166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1" t="s">
        <v>548</v>
      </c>
      <c r="D17" s="1681"/>
      <c r="E17" s="1681"/>
      <c r="F17" s="1681"/>
      <c r="G17" s="1681"/>
      <c r="H17" s="1681"/>
      <c r="I17" s="1681"/>
      <c r="J17" s="1681"/>
      <c r="K17" s="1681"/>
      <c r="L17" s="1681"/>
      <c r="M17" s="1681"/>
      <c r="N17" s="1681"/>
      <c r="O17" s="1681"/>
      <c r="P17" s="1681"/>
      <c r="Q17" s="1681"/>
      <c r="R17" s="1681"/>
      <c r="S17" s="1682"/>
      <c r="T17" s="1668"/>
      <c r="U17" s="1669"/>
      <c r="V17" s="1669"/>
      <c r="W17" s="1669"/>
      <c r="X17" s="1669"/>
      <c r="Y17" s="1668"/>
      <c r="Z17" s="1669"/>
      <c r="AA17" s="1669"/>
      <c r="AB17" s="1669"/>
      <c r="AC17" s="1669"/>
      <c r="AD17" s="1669"/>
      <c r="AE17" s="1669"/>
      <c r="AF17" s="1669"/>
      <c r="AG17" s="1669"/>
      <c r="AH17" s="1669"/>
      <c r="AI17" s="1669"/>
      <c r="AJ17" s="1669"/>
      <c r="AK17" s="1669"/>
      <c r="AL17" s="1669"/>
      <c r="AM17" s="166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6" t="s">
        <v>1069</v>
      </c>
      <c r="D18" s="1676"/>
      <c r="E18" s="1676"/>
      <c r="F18" s="1676"/>
      <c r="G18" s="1676"/>
      <c r="H18" s="1676"/>
      <c r="I18" s="1676"/>
      <c r="J18" s="1676"/>
      <c r="K18" s="1676"/>
      <c r="L18" s="1676"/>
      <c r="M18" s="1676"/>
      <c r="N18" s="1676"/>
      <c r="O18" s="1676"/>
      <c r="P18" s="1676"/>
      <c r="Q18" s="1676"/>
      <c r="R18" s="1676"/>
      <c r="S18" s="1677"/>
      <c r="T18" s="1668"/>
      <c r="U18" s="1669"/>
      <c r="V18" s="1669"/>
      <c r="W18" s="1669"/>
      <c r="X18" s="1669"/>
      <c r="Y18" s="1668"/>
      <c r="Z18" s="1669"/>
      <c r="AA18" s="1669"/>
      <c r="AB18" s="1669"/>
      <c r="AC18" s="1669"/>
      <c r="AD18" s="1669"/>
      <c r="AE18" s="1669"/>
      <c r="AF18" s="1669"/>
      <c r="AG18" s="1669"/>
      <c r="AH18" s="1669"/>
      <c r="AI18" s="1669"/>
      <c r="AJ18" s="1669"/>
      <c r="AK18" s="1669"/>
      <c r="AL18" s="1669"/>
      <c r="AM18" s="166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6" t="s">
        <v>1069</v>
      </c>
      <c r="D19" s="1676"/>
      <c r="E19" s="1676"/>
      <c r="F19" s="1676"/>
      <c r="G19" s="1676"/>
      <c r="H19" s="1676"/>
      <c r="I19" s="1676"/>
      <c r="J19" s="1676"/>
      <c r="K19" s="1676"/>
      <c r="L19" s="1676"/>
      <c r="M19" s="1676"/>
      <c r="N19" s="1676"/>
      <c r="O19" s="1676"/>
      <c r="P19" s="1676"/>
      <c r="Q19" s="1676"/>
      <c r="R19" s="1676"/>
      <c r="S19" s="1677"/>
      <c r="T19" s="1668"/>
      <c r="U19" s="1669"/>
      <c r="V19" s="1669"/>
      <c r="W19" s="1669"/>
      <c r="X19" s="1669"/>
      <c r="Y19" s="1668"/>
      <c r="Z19" s="1669"/>
      <c r="AA19" s="1669"/>
      <c r="AB19" s="1669"/>
      <c r="AC19" s="1669"/>
      <c r="AD19" s="1669"/>
      <c r="AE19" s="1669"/>
      <c r="AF19" s="1669"/>
      <c r="AG19" s="1669"/>
      <c r="AH19" s="1669"/>
      <c r="AI19" s="1669"/>
      <c r="AJ19" s="1669"/>
      <c r="AK19" s="1669"/>
      <c r="AL19" s="1669"/>
      <c r="AM19" s="166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48">
        <f>SUM(T13:X19)</f>
        <v>121545</v>
      </c>
      <c r="U20" s="1651"/>
      <c r="V20" s="1651"/>
      <c r="W20" s="1651"/>
      <c r="X20" s="1651"/>
      <c r="Y20" s="1648">
        <f>SUM(Y13:AC19)</f>
        <v>0</v>
      </c>
      <c r="Z20" s="1651"/>
      <c r="AA20" s="1651"/>
      <c r="AB20" s="1651"/>
      <c r="AC20" s="1651"/>
      <c r="AD20" s="1646">
        <f>SUM(AD13:AH19)</f>
        <v>0</v>
      </c>
      <c r="AE20" s="1647"/>
      <c r="AF20" s="1647"/>
      <c r="AG20" s="1647"/>
      <c r="AH20" s="1648"/>
      <c r="AI20" s="1646">
        <f>SUM(AI13:AM19)</f>
        <v>0</v>
      </c>
      <c r="AJ20" s="1647"/>
      <c r="AK20" s="1647"/>
      <c r="AL20" s="1647"/>
      <c r="AM20" s="164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1550</v>
      </c>
      <c r="C21" s="1631"/>
      <c r="D21" s="1631"/>
      <c r="E21" s="1631"/>
      <c r="F21" s="1631"/>
      <c r="G21" s="1631"/>
      <c r="H21" s="1631"/>
      <c r="I21" s="1631"/>
      <c r="J21" s="1631"/>
      <c r="K21" s="1631"/>
      <c r="L21" s="1631"/>
      <c r="M21" s="1631"/>
      <c r="N21" s="1631"/>
      <c r="O21" s="1631"/>
      <c r="P21" s="1631"/>
      <c r="Q21" s="1631"/>
      <c r="R21" s="1631"/>
      <c r="S21" s="1632"/>
      <c r="T21" s="1668"/>
      <c r="U21" s="1669"/>
      <c r="V21" s="1669"/>
      <c r="W21" s="1669"/>
      <c r="X21" s="1669"/>
      <c r="Y21" s="1668"/>
      <c r="Z21" s="1669"/>
      <c r="AA21" s="1669"/>
      <c r="AB21" s="1669"/>
      <c r="AC21" s="1669"/>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64">
        <f>(T20+T21)*-1</f>
        <v>-121545</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5" t="s">
        <v>551</v>
      </c>
      <c r="C23" s="1686"/>
      <c r="D23" s="1686"/>
      <c r="E23" s="1686"/>
      <c r="F23" s="1686"/>
      <c r="G23" s="1686"/>
      <c r="H23" s="1686"/>
      <c r="I23" s="1686"/>
      <c r="J23" s="1686"/>
      <c r="K23" s="1686"/>
      <c r="L23" s="1686"/>
      <c r="M23" s="1686"/>
      <c r="N23" s="1686"/>
      <c r="O23" s="1686"/>
      <c r="P23" s="1686"/>
      <c r="Q23" s="1686"/>
      <c r="R23" s="1686"/>
      <c r="S23" s="1687"/>
      <c r="T23" s="1648">
        <f>T11+T22</f>
        <v>26508881</v>
      </c>
      <c r="U23" s="1651"/>
      <c r="V23" s="1651"/>
      <c r="W23" s="1651"/>
      <c r="X23" s="1651"/>
      <c r="Y23" s="1648">
        <f>Y11+Y22</f>
        <v>0</v>
      </c>
      <c r="Z23" s="1651"/>
      <c r="AA23" s="1651"/>
      <c r="AB23" s="1651"/>
      <c r="AC23" s="1651"/>
      <c r="AD23" s="1648">
        <f>AD11+AD22</f>
        <v>0</v>
      </c>
      <c r="AE23" s="1651"/>
      <c r="AF23" s="1651"/>
      <c r="AG23" s="1651"/>
      <c r="AH23" s="1651"/>
      <c r="AI23" s="1648">
        <f>AI11+AI22</f>
        <v>0</v>
      </c>
      <c r="AJ23" s="1651"/>
      <c r="AK23" s="1651"/>
      <c r="AL23" s="1651"/>
      <c r="AM23" s="165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1070</v>
      </c>
      <c r="C24" s="1631"/>
      <c r="D24" s="1631"/>
      <c r="E24" s="1631"/>
      <c r="F24" s="1631"/>
      <c r="G24" s="1631"/>
      <c r="H24" s="1631"/>
      <c r="I24" s="1631"/>
      <c r="J24" s="1631"/>
      <c r="K24" s="1631"/>
      <c r="L24" s="1631"/>
      <c r="M24" s="1631"/>
      <c r="N24" s="1631"/>
      <c r="O24" s="1631"/>
      <c r="P24" s="1631"/>
      <c r="Q24" s="1631"/>
      <c r="R24" s="1631"/>
      <c r="S24" s="1632"/>
      <c r="T24" s="1646">
        <f>Application!AD1004</f>
        <v>49778201.340000004</v>
      </c>
      <c r="U24" s="1647"/>
      <c r="V24" s="1647"/>
      <c r="W24" s="1647"/>
      <c r="X24" s="1647"/>
      <c r="Y24" s="1647"/>
      <c r="Z24" s="1647"/>
      <c r="AA24" s="1647"/>
      <c r="AB24" s="1647"/>
      <c r="AC24" s="1647"/>
      <c r="AD24" s="1647"/>
      <c r="AE24" s="1647"/>
      <c r="AF24" s="1647"/>
      <c r="AG24" s="1647"/>
      <c r="AH24" s="1647"/>
      <c r="AI24" s="1647"/>
      <c r="AJ24" s="1647"/>
      <c r="AK24" s="1647"/>
      <c r="AL24" s="1647"/>
      <c r="AM24" s="164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9" t="s">
        <v>1551</v>
      </c>
      <c r="C25" s="1690"/>
      <c r="D25" s="1690"/>
      <c r="E25" s="1690"/>
      <c r="F25" s="1690"/>
      <c r="G25" s="1690"/>
      <c r="H25" s="1690"/>
      <c r="I25" s="1690"/>
      <c r="J25" s="1690"/>
      <c r="K25" s="1690"/>
      <c r="L25" s="1690"/>
      <c r="M25" s="1690"/>
      <c r="N25" s="1690"/>
      <c r="O25" s="1690"/>
      <c r="P25" s="1690"/>
      <c r="Q25" s="1690"/>
      <c r="R25" s="1690"/>
      <c r="S25" s="1691"/>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62">
        <f>T23*T25</f>
        <v>34461545.300000004</v>
      </c>
      <c r="U26" s="1663"/>
      <c r="V26" s="1663"/>
      <c r="W26" s="1663"/>
      <c r="X26" s="1663"/>
      <c r="Y26" s="1662">
        <f>Y23*Y25</f>
        <v>0</v>
      </c>
      <c r="Z26" s="1663"/>
      <c r="AA26" s="1663"/>
      <c r="AB26" s="1663"/>
      <c r="AC26" s="1663"/>
      <c r="AD26" s="1662">
        <f>AD23*AD25</f>
        <v>0</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2" t="s">
        <v>461</v>
      </c>
      <c r="C27" s="1693"/>
      <c r="D27" s="1693"/>
      <c r="E27" s="1693"/>
      <c r="F27" s="1693"/>
      <c r="G27" s="1693"/>
      <c r="H27" s="1693"/>
      <c r="I27" s="1693"/>
      <c r="J27" s="1693"/>
      <c r="K27" s="1693"/>
      <c r="L27" s="1693"/>
      <c r="M27" s="1693"/>
      <c r="N27" s="1693"/>
      <c r="O27" s="1693"/>
      <c r="P27" s="1693"/>
      <c r="Q27" s="1693"/>
      <c r="R27" s="1693"/>
      <c r="S27" s="1694"/>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28">
        <f>IF(ISERROR((T26*T27)),0,(T26*T27))</f>
        <v>34461545.300000004</v>
      </c>
      <c r="U28" s="1629"/>
      <c r="V28" s="1629"/>
      <c r="W28" s="1629"/>
      <c r="X28" s="1629"/>
      <c r="Y28" s="1628">
        <f>IF(ISERROR((Y26*Y27)),0,(Y26*Y27))</f>
        <v>0</v>
      </c>
      <c r="Z28" s="1629"/>
      <c r="AA28" s="1629"/>
      <c r="AB28" s="1629"/>
      <c r="AC28" s="1629"/>
      <c r="AD28" s="1628">
        <f>IF(ISERROR((AD26*AD27)),0,(AD26*AD27))</f>
        <v>0</v>
      </c>
      <c r="AE28" s="1629"/>
      <c r="AF28" s="1629"/>
      <c r="AG28" s="1629"/>
      <c r="AH28" s="1629"/>
      <c r="AI28" s="1628">
        <f>IF(ISERROR((AI26*AI27)),0,(AI26*AI27))</f>
        <v>0</v>
      </c>
      <c r="AJ28" s="1629"/>
      <c r="AK28" s="1629"/>
      <c r="AL28" s="1629"/>
      <c r="AM28" s="162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46">
        <f>T28+Y28+AD28+AI28</f>
        <v>34461545.300000004</v>
      </c>
      <c r="U29" s="1647"/>
      <c r="V29" s="1647"/>
      <c r="W29" s="1647"/>
      <c r="X29" s="1647"/>
      <c r="Y29" s="1647"/>
      <c r="Z29" s="1647"/>
      <c r="AA29" s="1647"/>
      <c r="AB29" s="1647"/>
      <c r="AC29" s="1647"/>
      <c r="AD29" s="1647"/>
      <c r="AE29" s="1647"/>
      <c r="AF29" s="1647"/>
      <c r="AG29" s="1647"/>
      <c r="AH29" s="1647"/>
      <c r="AI29" s="1647"/>
      <c r="AJ29" s="1647"/>
      <c r="AK29" s="1647"/>
      <c r="AL29" s="1647"/>
      <c r="AM29" s="164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1555</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1552</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1385</v>
      </c>
      <c r="Z35" s="1649"/>
      <c r="AA35" s="1649"/>
      <c r="AB35" s="1649"/>
      <c r="AC35" s="1649"/>
      <c r="AD35" s="1650" t="s">
        <v>394</v>
      </c>
      <c r="AE35" s="1650"/>
      <c r="AF35" s="1650"/>
      <c r="AG35" s="1650"/>
      <c r="AH35" s="165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50"/>
      <c r="AE36" s="1650"/>
      <c r="AF36" s="1650"/>
      <c r="AG36" s="1650"/>
      <c r="AH36" s="165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50"/>
      <c r="AE37" s="1650"/>
      <c r="AF37" s="1650"/>
      <c r="AG37" s="1650"/>
      <c r="AH37" s="165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51">
        <f>IF(T24&gt;=(T23+Y23+AD23+AI23),T28+Y28,0)</f>
        <v>34461545.300000004</v>
      </c>
      <c r="Z38" s="1651"/>
      <c r="AA38" s="1651"/>
      <c r="AB38" s="1651"/>
      <c r="AC38" s="1651"/>
      <c r="AD38" s="1651">
        <f>IF(T24&gt;=(T23+Y23+AD23+AI23),AD28+AI28,0)</f>
        <v>0</v>
      </c>
      <c r="AE38" s="1651"/>
      <c r="AF38" s="1651"/>
      <c r="AG38" s="1651"/>
      <c r="AH38" s="165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1553</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52">
        <v>3.2399999999999998E-2</v>
      </c>
      <c r="Z39" s="1652"/>
      <c r="AA39" s="1652"/>
      <c r="AB39" s="1652"/>
      <c r="AC39" s="1652"/>
      <c r="AD39" s="1652">
        <v>3.2399999999999998E-2</v>
      </c>
      <c r="AE39" s="1652"/>
      <c r="AF39" s="1652"/>
      <c r="AG39" s="1652"/>
      <c r="AH39" s="165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692</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51">
        <f>ROUND(Y38*Y39,0)</f>
        <v>1116554</v>
      </c>
      <c r="Z40" s="1651"/>
      <c r="AA40" s="1651"/>
      <c r="AB40" s="1651"/>
      <c r="AC40" s="1651"/>
      <c r="AD40" s="1648">
        <f>ROUND(AD38*AD39,0)</f>
        <v>0</v>
      </c>
      <c r="AE40" s="1651"/>
      <c r="AF40" s="1651"/>
      <c r="AG40" s="1651"/>
      <c r="AH40" s="165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693</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95">
        <f>Y40+AD40</f>
        <v>1116554</v>
      </c>
      <c r="Z41" s="1696"/>
      <c r="AA41" s="1696"/>
      <c r="AB41" s="1696"/>
      <c r="AC41" s="1696"/>
      <c r="AD41" s="1696"/>
      <c r="AE41" s="1696"/>
      <c r="AF41" s="1696"/>
      <c r="AG41" s="1696"/>
      <c r="AH41" s="169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8" t="s">
        <v>1554</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1585</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28923242</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16031545</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12891697</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4">
        <f>0.9999*0.9</f>
        <v>0.89990999999999999</v>
      </c>
      <c r="AC50" s="1625"/>
      <c r="AD50" s="1625"/>
      <c r="AE50" s="1625"/>
      <c r="AF50" s="162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8" t="s">
        <v>1181</v>
      </c>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14325540</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1432554</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2">
        <f>(IF((Y41&lt;AB55),Y41,AB55))</f>
        <v>1116554</v>
      </c>
      <c r="AC56" s="1643"/>
      <c r="AD56" s="1643"/>
      <c r="AE56" s="1643"/>
      <c r="AF56" s="164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10047981</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0">
        <f>AB49-AB57</f>
        <v>2843716</v>
      </c>
      <c r="AC59" s="1620"/>
      <c r="AD59" s="1620"/>
      <c r="AE59" s="1620"/>
      <c r="AF59" s="162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33" t="s">
        <v>1100</v>
      </c>
      <c r="Z63" s="1633"/>
      <c r="AA63" s="1633"/>
      <c r="AB63" s="1633"/>
      <c r="AC63" s="1633"/>
      <c r="AD63" s="1633" t="s">
        <v>394</v>
      </c>
      <c r="AE63" s="1633"/>
      <c r="AF63" s="1633"/>
      <c r="AG63" s="1633"/>
      <c r="AH63" s="163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34">
        <f>IF(OR(Application!M350="yes",Application!AF204="yes"),(T23*T27)+Y28,0)</f>
        <v>26508881</v>
      </c>
      <c r="Z64" s="1635"/>
      <c r="AA64" s="1635"/>
      <c r="AB64" s="1635"/>
      <c r="AC64" s="1636"/>
      <c r="AD64" s="1634">
        <f>IF(AND(Application!AF204="yes",Application!M353="yes"),AD28+AI28,0)</f>
        <v>0</v>
      </c>
      <c r="AE64" s="1635"/>
      <c r="AF64" s="1635"/>
      <c r="AG64" s="1635"/>
      <c r="AH64" s="163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7" t="s">
        <v>1535</v>
      </c>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7"/>
      <c r="F66" s="1637"/>
      <c r="G66" s="1637"/>
      <c r="H66" s="1637"/>
      <c r="I66" s="1637"/>
      <c r="J66" s="1637"/>
      <c r="K66" s="1637"/>
      <c r="L66" s="1637"/>
      <c r="M66" s="1637"/>
      <c r="N66" s="1637"/>
      <c r="O66" s="1637"/>
      <c r="P66" s="1637"/>
      <c r="Q66" s="1637"/>
      <c r="R66" s="1637"/>
      <c r="S66" s="1637"/>
      <c r="T66" s="1637"/>
      <c r="U66" s="1637"/>
      <c r="V66" s="1637"/>
      <c r="W66" s="1637"/>
      <c r="X66" s="1637"/>
      <c r="Y66" s="1637"/>
      <c r="Z66" s="1637"/>
      <c r="AA66" s="1637"/>
      <c r="AB66" s="1637"/>
      <c r="AC66" s="1637"/>
      <c r="AD66" s="1637"/>
      <c r="AE66" s="1637"/>
      <c r="AF66" s="1637"/>
      <c r="AG66" s="1637"/>
      <c r="AH66" s="163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1">
        <f>IF(Application!AF204="yes",0.75,0.3)</f>
        <v>0.3</v>
      </c>
      <c r="Z67" s="1621"/>
      <c r="AA67" s="1621"/>
      <c r="AB67" s="1621"/>
      <c r="AC67" s="1621"/>
      <c r="AD67" s="1621">
        <f>IF(Application!AF204="yes",0.75,0.3)</f>
        <v>0.3</v>
      </c>
      <c r="AE67" s="1621"/>
      <c r="AF67" s="1621"/>
      <c r="AG67" s="1621"/>
      <c r="AH67" s="162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22">
        <f>ROUND(Y64*Y67,0)</f>
        <v>7952664</v>
      </c>
      <c r="Z68" s="1623"/>
      <c r="AA68" s="1623"/>
      <c r="AB68" s="1623"/>
      <c r="AC68" s="1623"/>
      <c r="AD68" s="1622" t="str">
        <f>IF(Application!D210="At-Risk",AD64*AD67,"$0")</f>
        <v>$0</v>
      </c>
      <c r="AE68" s="1623"/>
      <c r="AF68" s="1623"/>
      <c r="AG68" s="1623"/>
      <c r="AH68" s="162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4">
        <f>0.9999*0.72000019</f>
        <v>0.71992818998100006</v>
      </c>
      <c r="AC71" s="1625"/>
      <c r="AD71" s="1625"/>
      <c r="AE71" s="1625"/>
      <c r="AF71" s="162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7" t="s">
        <v>1538</v>
      </c>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7"/>
      <c r="F73" s="1627"/>
      <c r="G73" s="1627"/>
      <c r="H73" s="1627"/>
      <c r="I73" s="1627"/>
      <c r="J73" s="1627"/>
      <c r="K73" s="1627"/>
      <c r="L73" s="1627"/>
      <c r="M73" s="1627"/>
      <c r="N73" s="1627"/>
      <c r="O73" s="1627"/>
      <c r="P73" s="1627"/>
      <c r="Q73" s="1627"/>
      <c r="R73" s="1627"/>
      <c r="S73" s="1627"/>
      <c r="T73" s="1627"/>
      <c r="U73" s="1627"/>
      <c r="V73" s="1627"/>
      <c r="W73" s="1627"/>
      <c r="X73" s="1627"/>
      <c r="Y73" s="1627"/>
      <c r="Z73" s="1627"/>
      <c r="AA73" s="162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7"/>
      <c r="F74" s="1627"/>
      <c r="G74" s="1627"/>
      <c r="H74" s="1627"/>
      <c r="I74" s="1627"/>
      <c r="J74" s="1627"/>
      <c r="K74" s="1627"/>
      <c r="L74" s="1627"/>
      <c r="M74" s="1627"/>
      <c r="N74" s="1627"/>
      <c r="O74" s="1627"/>
      <c r="P74" s="1627"/>
      <c r="Q74" s="1627"/>
      <c r="R74" s="1627"/>
      <c r="S74" s="1627"/>
      <c r="T74" s="1627"/>
      <c r="U74" s="1627"/>
      <c r="V74" s="1627"/>
      <c r="W74" s="1627"/>
      <c r="X74" s="1627"/>
      <c r="Y74" s="1627"/>
      <c r="Z74" s="1627"/>
      <c r="AA74" s="162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5">
        <f>ROUND(IF(ISERROR((AB59/AB71)),0,(AB59/AB71)),0)</f>
        <v>3950000</v>
      </c>
      <c r="AC76" s="1615"/>
      <c r="AD76" s="1615"/>
      <c r="AE76" s="1615"/>
      <c r="AF76" s="161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6">
        <f>IF((Y68+AD68&lt;AB76),Y68+AD68,AB76)</f>
        <v>3950000</v>
      </c>
      <c r="AC77" s="1617"/>
      <c r="AD77" s="1617"/>
      <c r="AE77" s="1617"/>
      <c r="AF77" s="161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9">
        <f>AB77*AB71</f>
        <v>2843716.35042495</v>
      </c>
      <c r="AC78" s="1619"/>
      <c r="AD78" s="1619"/>
      <c r="AE78" s="1619"/>
      <c r="AF78" s="161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0">
        <f>AB49-(AB57+AB78)</f>
        <v>-0.35042494907975197</v>
      </c>
      <c r="AC80" s="1620"/>
      <c r="AD80" s="1620"/>
      <c r="AE80" s="1620"/>
      <c r="AF80" s="162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1586</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1584</v>
      </c>
    </row>
    <row r="86" spans="1:98" ht="12.75">
      <c r="D86" s="344" t="s">
        <v>1640</v>
      </c>
      <c r="AB86" s="1684">
        <f>IF(A61="$500M State Credit",AB77/(Application!AG424-Application!AG425),"N/A")</f>
        <v>54861.111111111109</v>
      </c>
      <c r="AC86" s="1684"/>
      <c r="AD86" s="1684"/>
      <c r="AE86" s="1684"/>
      <c r="AF86" s="1684"/>
    </row>
    <row r="87" spans="1:98" ht="13.5" thickBot="1">
      <c r="D87" s="344" t="s">
        <v>1641</v>
      </c>
      <c r="AB87" s="1683">
        <f>IF(A61="$500M State Credit",(Application!AG424-Application!AG425)/AB77,"N/A")</f>
        <v>1.8227848101265824E-5</v>
      </c>
      <c r="AC87" s="1683"/>
      <c r="AD87" s="1683"/>
      <c r="AE87" s="1683"/>
      <c r="AF87" s="168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D18" sqref="D1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868140</v>
      </c>
      <c r="G4" s="366">
        <f>E4*$C$4</f>
        <v>889843.49999999988</v>
      </c>
      <c r="I4" s="366">
        <f>G4*$C$4</f>
        <v>912089.58749999979</v>
      </c>
      <c r="K4" s="366">
        <f>I4*$C$4</f>
        <v>934891.82718749973</v>
      </c>
      <c r="M4" s="366">
        <f>K4*$C$4</f>
        <v>958264.12286718714</v>
      </c>
      <c r="O4" s="366">
        <f>M4*$C$4</f>
        <v>982220.72593886673</v>
      </c>
      <c r="Q4" s="366">
        <f>O4*$C$4</f>
        <v>1006776.2440873383</v>
      </c>
      <c r="S4" s="366">
        <f>Q4*$C$4</f>
        <v>1031945.6501895217</v>
      </c>
      <c r="U4" s="366">
        <f>S4*$C$4</f>
        <v>1057744.2914442597</v>
      </c>
      <c r="W4" s="366">
        <f>U4*$C$4</f>
        <v>1084187.898730366</v>
      </c>
      <c r="Y4" s="366">
        <f>W4*$C$4</f>
        <v>1111292.5961986252</v>
      </c>
      <c r="AA4" s="366">
        <f>Y4*$C$4</f>
        <v>1139074.9111035906</v>
      </c>
      <c r="AC4" s="366">
        <f>AA4*$C$4</f>
        <v>1167551.7838811802</v>
      </c>
      <c r="AE4" s="366">
        <f>AC4*$C$4</f>
        <v>1196740.5784782097</v>
      </c>
      <c r="AG4" s="366">
        <f>AE4*$C$4</f>
        <v>1226659.0929401647</v>
      </c>
    </row>
    <row r="5" spans="1:34" s="350" customFormat="1" ht="14.25">
      <c r="B5" s="350" t="s">
        <v>924</v>
      </c>
      <c r="C5" s="391">
        <f>IF(Application!$D$210="Special Needs",0.1,0.05)</f>
        <v>0.05</v>
      </c>
      <c r="E5" s="368">
        <f>-E4*$C$5</f>
        <v>-43407</v>
      </c>
      <c r="F5" s="368"/>
      <c r="G5" s="368">
        <f>-G4*$C$5</f>
        <v>-44492.174999999996</v>
      </c>
      <c r="H5" s="368"/>
      <c r="I5" s="368">
        <f>-I4*$C$5</f>
        <v>-45604.479374999995</v>
      </c>
      <c r="J5" s="368"/>
      <c r="K5" s="368">
        <f>-K4*$C$5</f>
        <v>-46744.591359374986</v>
      </c>
      <c r="L5" s="368"/>
      <c r="M5" s="368">
        <f>-M4*$C$5</f>
        <v>-47913.206143359363</v>
      </c>
      <c r="N5" s="368"/>
      <c r="O5" s="368">
        <f>-O4*$C$5</f>
        <v>-49111.036296943341</v>
      </c>
      <c r="P5" s="368"/>
      <c r="Q5" s="368">
        <f>-Q4*$C$5</f>
        <v>-50338.812204366921</v>
      </c>
      <c r="R5" s="368"/>
      <c r="S5" s="368">
        <f>-S4*$C$5</f>
        <v>-51597.282509476092</v>
      </c>
      <c r="T5" s="368"/>
      <c r="U5" s="368">
        <f>-U4*$C$5</f>
        <v>-52887.214572212986</v>
      </c>
      <c r="V5" s="368"/>
      <c r="W5" s="368">
        <f>-W4*$C$5</f>
        <v>-54209.394936518307</v>
      </c>
      <c r="X5" s="368"/>
      <c r="Y5" s="368">
        <f>-Y4*$C$5</f>
        <v>-55564.629809931263</v>
      </c>
      <c r="Z5" s="368"/>
      <c r="AA5" s="368">
        <f>-AA4*$C$5</f>
        <v>-56953.745555179536</v>
      </c>
      <c r="AB5" s="368"/>
      <c r="AC5" s="368">
        <f>-AC4*$C$5</f>
        <v>-58377.589194059015</v>
      </c>
      <c r="AD5" s="368"/>
      <c r="AE5" s="368">
        <f>-AE4*$C$5</f>
        <v>-59837.02892391049</v>
      </c>
      <c r="AF5" s="368"/>
      <c r="AG5" s="368">
        <f>-AG4*$C$5</f>
        <v>-61332.954647008242</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10800</v>
      </c>
      <c r="F8" s="369"/>
      <c r="G8" s="369">
        <f>E8*$C$8</f>
        <v>11069.999999999998</v>
      </c>
      <c r="H8" s="369"/>
      <c r="I8" s="369">
        <f>G8*$C$8</f>
        <v>11346.749999999996</v>
      </c>
      <c r="J8" s="369"/>
      <c r="K8" s="369">
        <f>I8*$C$8</f>
        <v>11630.418749999995</v>
      </c>
      <c r="L8" s="369"/>
      <c r="M8" s="369">
        <f>K8*$C$8</f>
        <v>11921.179218749994</v>
      </c>
      <c r="N8" s="369"/>
      <c r="O8" s="369">
        <f>M8*$C$8</f>
        <v>12219.208699218743</v>
      </c>
      <c r="P8" s="369"/>
      <c r="Q8" s="369">
        <f>O8*$C$8</f>
        <v>12524.688916699211</v>
      </c>
      <c r="R8" s="369"/>
      <c r="S8" s="369">
        <f>Q8*$C$8</f>
        <v>12837.80613961669</v>
      </c>
      <c r="T8" s="369"/>
      <c r="U8" s="369">
        <f>S8*$C$8</f>
        <v>13158.751293107107</v>
      </c>
      <c r="V8" s="369"/>
      <c r="W8" s="369">
        <f>U8*$C$8</f>
        <v>13487.720075434783</v>
      </c>
      <c r="X8" s="369"/>
      <c r="Y8" s="369">
        <f>W8*$C$8</f>
        <v>13824.913077320651</v>
      </c>
      <c r="Z8" s="369"/>
      <c r="AA8" s="369">
        <f>Y8*$C$8</f>
        <v>14170.535904253666</v>
      </c>
      <c r="AB8" s="369"/>
      <c r="AC8" s="369">
        <f>AA8*$C$8</f>
        <v>14524.799301860006</v>
      </c>
      <c r="AD8" s="369"/>
      <c r="AE8" s="369">
        <f>AC8*$C$8</f>
        <v>14887.919284406506</v>
      </c>
      <c r="AF8" s="369"/>
      <c r="AG8" s="369">
        <f>AE8*$C$8</f>
        <v>15260.117266516667</v>
      </c>
    </row>
    <row r="9" spans="1:34" s="350" customFormat="1" ht="14.25">
      <c r="B9" s="350" t="s">
        <v>924</v>
      </c>
      <c r="C9" s="391">
        <f>IF(Application!$D$210="Special Needs",0.1,0.05)</f>
        <v>0.05</v>
      </c>
      <c r="E9" s="388">
        <f>-E8*$C$9</f>
        <v>-540</v>
      </c>
      <c r="F9" s="368"/>
      <c r="G9" s="388">
        <f>-G8*$C$9</f>
        <v>-553.49999999999989</v>
      </c>
      <c r="H9" s="368"/>
      <c r="I9" s="388">
        <f>-I8*$C$9</f>
        <v>-567.33749999999986</v>
      </c>
      <c r="J9" s="368"/>
      <c r="K9" s="388">
        <f>-K8*$C$9</f>
        <v>-581.52093749999983</v>
      </c>
      <c r="L9" s="368"/>
      <c r="M9" s="388">
        <f>-M8*$C$9</f>
        <v>-596.05896093749971</v>
      </c>
      <c r="N9" s="368"/>
      <c r="O9" s="388">
        <f>-O8*$C$9</f>
        <v>-610.96043496093716</v>
      </c>
      <c r="P9" s="368"/>
      <c r="Q9" s="388">
        <f>-Q8*$C$9</f>
        <v>-626.23444583496064</v>
      </c>
      <c r="R9" s="368"/>
      <c r="S9" s="388">
        <f>-S8*$C$9</f>
        <v>-641.89030698083457</v>
      </c>
      <c r="T9" s="368"/>
      <c r="U9" s="388">
        <f>-U8*$C$9</f>
        <v>-657.93756465535535</v>
      </c>
      <c r="V9" s="368"/>
      <c r="W9" s="388">
        <f>-W8*$C$9</f>
        <v>-674.38600377173918</v>
      </c>
      <c r="X9" s="368"/>
      <c r="Y9" s="388">
        <f>-Y8*$C$9</f>
        <v>-691.24565386603263</v>
      </c>
      <c r="Z9" s="368"/>
      <c r="AA9" s="388">
        <f>-AA8*$C$9</f>
        <v>-708.52679521268328</v>
      </c>
      <c r="AB9" s="368"/>
      <c r="AC9" s="388">
        <f>-AC8*$C$9</f>
        <v>-726.23996509300036</v>
      </c>
      <c r="AD9" s="368"/>
      <c r="AE9" s="388">
        <f>-AE8*$C$9</f>
        <v>-744.39596422032537</v>
      </c>
      <c r="AF9" s="368"/>
      <c r="AG9" s="388">
        <f>-AG8*$C$9</f>
        <v>-763.00586332583339</v>
      </c>
    </row>
    <row r="10" spans="1:34" s="370" customFormat="1" ht="15">
      <c r="A10" s="370" t="s">
        <v>946</v>
      </c>
      <c r="C10" s="361"/>
      <c r="E10" s="370">
        <f>SUM(E4:E9)</f>
        <v>834993</v>
      </c>
      <c r="G10" s="370">
        <f>SUM(G4:G9)</f>
        <v>855867.82499999984</v>
      </c>
      <c r="I10" s="370">
        <f>SUM(I4:I9)</f>
        <v>877264.52062499977</v>
      </c>
      <c r="K10" s="370">
        <f>SUM(K4:K9)</f>
        <v>899196.13364062458</v>
      </c>
      <c r="M10" s="370">
        <f>SUM(M4:M9)</f>
        <v>921676.03698164027</v>
      </c>
      <c r="O10" s="370">
        <f>SUM(O4:O9)</f>
        <v>944717.93790618121</v>
      </c>
      <c r="Q10" s="370">
        <f>SUM(Q4:Q9)</f>
        <v>968335.8863538357</v>
      </c>
      <c r="S10" s="370">
        <f>SUM(S4:S9)</f>
        <v>992544.28351268149</v>
      </c>
      <c r="U10" s="370">
        <f>SUM(U4:U9)</f>
        <v>1017357.8906004984</v>
      </c>
      <c r="W10" s="370">
        <f>SUM(W4:W9)</f>
        <v>1042791.8378655107</v>
      </c>
      <c r="Y10" s="370">
        <f>SUM(Y4:Y9)</f>
        <v>1068861.6338121486</v>
      </c>
      <c r="AA10" s="370">
        <f>SUM(AA4:AA9)</f>
        <v>1095583.1746574522</v>
      </c>
      <c r="AC10" s="370">
        <f>SUM(AC4:AC9)</f>
        <v>1122972.7540238881</v>
      </c>
      <c r="AE10" s="370">
        <f>SUM(AE4:AE9)</f>
        <v>1151047.0728744853</v>
      </c>
      <c r="AG10" s="370">
        <f>SUM(AG4:AG9)</f>
        <v>1179823.2496963472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15990</v>
      </c>
      <c r="G14" s="366">
        <f>E14*$C$13</f>
        <v>16549.649999999998</v>
      </c>
      <c r="I14" s="366">
        <f>G14*$C$13</f>
        <v>17128.887749999998</v>
      </c>
      <c r="K14" s="366">
        <f>I14*$C$13</f>
        <v>17728.398821249997</v>
      </c>
      <c r="M14" s="366">
        <f>K14*$C$13</f>
        <v>18348.892779993745</v>
      </c>
      <c r="O14" s="366">
        <f>M14*$C$13</f>
        <v>18991.104027293524</v>
      </c>
      <c r="Q14" s="366">
        <f>O14*$C$13</f>
        <v>19655.792668248796</v>
      </c>
      <c r="S14" s="366">
        <f>Q14*$C$13</f>
        <v>20343.745411637501</v>
      </c>
      <c r="U14" s="366">
        <f>S14*$C$13</f>
        <v>21055.776501044813</v>
      </c>
      <c r="W14" s="366">
        <f>U14*$C$13</f>
        <v>21792.728678581381</v>
      </c>
      <c r="Y14" s="366">
        <f>W14*$C$13</f>
        <v>22555.474182331727</v>
      </c>
      <c r="AA14" s="366">
        <f>Y14*$C$13</f>
        <v>23344.915778713337</v>
      </c>
      <c r="AC14" s="366">
        <f>AA14*$C$13</f>
        <v>24161.987830968301</v>
      </c>
      <c r="AE14" s="366">
        <f>AC14*$C$13</f>
        <v>25007.657405052189</v>
      </c>
      <c r="AG14" s="366">
        <f>AE14*$C$13</f>
        <v>25882.925414229012</v>
      </c>
    </row>
    <row r="15" spans="1:34" s="350" customFormat="1" ht="14.25">
      <c r="A15" s="350" t="s">
        <v>368</v>
      </c>
      <c r="C15" s="380"/>
      <c r="E15" s="369">
        <f>Application!W829</f>
        <v>33000</v>
      </c>
      <c r="F15" s="369"/>
      <c r="G15" s="369">
        <f t="shared" ref="G15:AG20" si="0">E15*$C$13</f>
        <v>34155</v>
      </c>
      <c r="H15" s="369"/>
      <c r="I15" s="369">
        <f t="shared" si="0"/>
        <v>35350.424999999996</v>
      </c>
      <c r="J15" s="369"/>
      <c r="K15" s="369">
        <f t="shared" si="0"/>
        <v>36587.689874999989</v>
      </c>
      <c r="L15" s="369"/>
      <c r="M15" s="369">
        <f t="shared" si="0"/>
        <v>37868.259020624988</v>
      </c>
      <c r="N15" s="369"/>
      <c r="O15" s="369">
        <f t="shared" si="0"/>
        <v>39193.648086346861</v>
      </c>
      <c r="P15" s="369"/>
      <c r="Q15" s="369">
        <f t="shared" si="0"/>
        <v>40565.425769368994</v>
      </c>
      <c r="R15" s="369"/>
      <c r="S15" s="369">
        <f t="shared" si="0"/>
        <v>41985.215671296908</v>
      </c>
      <c r="T15" s="369"/>
      <c r="U15" s="369">
        <f t="shared" si="0"/>
        <v>43454.698219792299</v>
      </c>
      <c r="V15" s="369"/>
      <c r="W15" s="369">
        <f t="shared" si="0"/>
        <v>44975.612657485028</v>
      </c>
      <c r="X15" s="369"/>
      <c r="Y15" s="369">
        <f t="shared" si="0"/>
        <v>46549.759100497002</v>
      </c>
      <c r="Z15" s="369"/>
      <c r="AA15" s="369">
        <f t="shared" si="0"/>
        <v>48179.000669014393</v>
      </c>
      <c r="AB15" s="369"/>
      <c r="AC15" s="369">
        <f t="shared" si="0"/>
        <v>49865.265692429894</v>
      </c>
      <c r="AD15" s="369"/>
      <c r="AE15" s="369">
        <f t="shared" si="0"/>
        <v>51610.549991664935</v>
      </c>
      <c r="AF15" s="369"/>
      <c r="AG15" s="369">
        <f t="shared" si="0"/>
        <v>53416.919241373202</v>
      </c>
    </row>
    <row r="16" spans="1:34" s="350" customFormat="1" ht="14.25">
      <c r="A16" s="350" t="s">
        <v>610</v>
      </c>
      <c r="C16" s="380"/>
      <c r="E16" s="369">
        <f>Application!W835</f>
        <v>54800</v>
      </c>
      <c r="F16" s="369"/>
      <c r="G16" s="369">
        <f t="shared" si="0"/>
        <v>56717.999999999993</v>
      </c>
      <c r="H16" s="369"/>
      <c r="I16" s="369">
        <f t="shared" si="0"/>
        <v>58703.12999999999</v>
      </c>
      <c r="J16" s="369"/>
      <c r="K16" s="369">
        <f t="shared" si="0"/>
        <v>60757.739549999984</v>
      </c>
      <c r="L16" s="369"/>
      <c r="M16" s="369">
        <f t="shared" si="0"/>
        <v>62884.260434249976</v>
      </c>
      <c r="N16" s="369"/>
      <c r="O16" s="369">
        <f t="shared" si="0"/>
        <v>65085.209549448722</v>
      </c>
      <c r="P16" s="369"/>
      <c r="Q16" s="369">
        <f t="shared" si="0"/>
        <v>67363.191883679421</v>
      </c>
      <c r="R16" s="369"/>
      <c r="S16" s="369">
        <f t="shared" si="0"/>
        <v>69720.903599608195</v>
      </c>
      <c r="T16" s="369"/>
      <c r="U16" s="369">
        <f t="shared" si="0"/>
        <v>72161.13522559448</v>
      </c>
      <c r="V16" s="369"/>
      <c r="W16" s="369">
        <f t="shared" si="0"/>
        <v>74686.774958490278</v>
      </c>
      <c r="X16" s="369"/>
      <c r="Y16" s="369">
        <f t="shared" si="0"/>
        <v>77300.812082037432</v>
      </c>
      <c r="Z16" s="369"/>
      <c r="AA16" s="369">
        <f t="shared" si="0"/>
        <v>80006.340504908731</v>
      </c>
      <c r="AB16" s="369"/>
      <c r="AC16" s="369">
        <f t="shared" si="0"/>
        <v>82806.562422580537</v>
      </c>
      <c r="AD16" s="369"/>
      <c r="AE16" s="369">
        <f t="shared" si="0"/>
        <v>85704.792107370842</v>
      </c>
      <c r="AF16" s="369"/>
      <c r="AG16" s="369">
        <f t="shared" si="0"/>
        <v>88704.459831128814</v>
      </c>
    </row>
    <row r="17" spans="1:33" s="350" customFormat="1" ht="14.25">
      <c r="A17" s="350" t="s">
        <v>928</v>
      </c>
      <c r="C17" s="380"/>
      <c r="E17" s="369">
        <f>Application!W840</f>
        <v>87160</v>
      </c>
      <c r="F17" s="369"/>
      <c r="G17" s="369">
        <f t="shared" si="0"/>
        <v>90210.599999999991</v>
      </c>
      <c r="H17" s="369"/>
      <c r="I17" s="369">
        <f t="shared" si="0"/>
        <v>93367.97099999999</v>
      </c>
      <c r="J17" s="369"/>
      <c r="K17" s="369">
        <f t="shared" si="0"/>
        <v>96635.849984999979</v>
      </c>
      <c r="L17" s="369"/>
      <c r="M17" s="369">
        <f t="shared" si="0"/>
        <v>100018.10473447497</v>
      </c>
      <c r="N17" s="369"/>
      <c r="O17" s="369">
        <f t="shared" si="0"/>
        <v>103518.73840018158</v>
      </c>
      <c r="P17" s="369"/>
      <c r="Q17" s="369">
        <f t="shared" si="0"/>
        <v>107141.89424418793</v>
      </c>
      <c r="R17" s="369"/>
      <c r="S17" s="369">
        <f t="shared" si="0"/>
        <v>110891.8605427345</v>
      </c>
      <c r="T17" s="369"/>
      <c r="U17" s="369">
        <f t="shared" si="0"/>
        <v>114773.0756617302</v>
      </c>
      <c r="V17" s="369"/>
      <c r="W17" s="369">
        <f t="shared" si="0"/>
        <v>118790.13330989075</v>
      </c>
      <c r="X17" s="369"/>
      <c r="Y17" s="369">
        <f t="shared" si="0"/>
        <v>122947.78797573692</v>
      </c>
      <c r="Z17" s="369"/>
      <c r="AA17" s="369">
        <f t="shared" si="0"/>
        <v>127250.9605548877</v>
      </c>
      <c r="AB17" s="369"/>
      <c r="AC17" s="369">
        <f t="shared" si="0"/>
        <v>131704.74417430875</v>
      </c>
      <c r="AD17" s="369"/>
      <c r="AE17" s="369">
        <f t="shared" si="0"/>
        <v>136314.41022040954</v>
      </c>
      <c r="AF17" s="369"/>
      <c r="AG17" s="369">
        <f t="shared" si="0"/>
        <v>141085.41457812386</v>
      </c>
    </row>
    <row r="18" spans="1:33" s="350" customFormat="1" ht="14.25">
      <c r="A18" s="350" t="s">
        <v>162</v>
      </c>
      <c r="C18" s="380"/>
      <c r="E18" s="369">
        <f>Application!W841</f>
        <v>14400</v>
      </c>
      <c r="F18" s="369"/>
      <c r="G18" s="369">
        <f t="shared" si="0"/>
        <v>14903.999999999998</v>
      </c>
      <c r="H18" s="369"/>
      <c r="I18" s="369">
        <f t="shared" si="0"/>
        <v>15425.639999999998</v>
      </c>
      <c r="J18" s="369"/>
      <c r="K18" s="369">
        <f t="shared" si="0"/>
        <v>15965.537399999996</v>
      </c>
      <c r="L18" s="369"/>
      <c r="M18" s="369">
        <f t="shared" si="0"/>
        <v>16524.331208999993</v>
      </c>
      <c r="N18" s="369"/>
      <c r="O18" s="369">
        <f t="shared" si="0"/>
        <v>17102.68280131499</v>
      </c>
      <c r="P18" s="369"/>
      <c r="Q18" s="369">
        <f t="shared" si="0"/>
        <v>17701.276699361013</v>
      </c>
      <c r="R18" s="369"/>
      <c r="S18" s="369">
        <f t="shared" si="0"/>
        <v>18320.821383838647</v>
      </c>
      <c r="T18" s="369"/>
      <c r="U18" s="369">
        <f t="shared" si="0"/>
        <v>18962.050132272998</v>
      </c>
      <c r="V18" s="369"/>
      <c r="W18" s="369">
        <f t="shared" si="0"/>
        <v>19625.721886902553</v>
      </c>
      <c r="X18" s="369"/>
      <c r="Y18" s="369">
        <f t="shared" si="0"/>
        <v>20312.622152944139</v>
      </c>
      <c r="Z18" s="369"/>
      <c r="AA18" s="369">
        <f t="shared" si="0"/>
        <v>21023.563928297182</v>
      </c>
      <c r="AB18" s="369"/>
      <c r="AC18" s="369">
        <f t="shared" si="0"/>
        <v>21759.388665787581</v>
      </c>
      <c r="AD18" s="369"/>
      <c r="AE18" s="369">
        <f t="shared" si="0"/>
        <v>22520.967269090146</v>
      </c>
      <c r="AF18" s="369"/>
      <c r="AG18" s="369">
        <f t="shared" si="0"/>
        <v>23309.201123508301</v>
      </c>
    </row>
    <row r="19" spans="1:33" s="350" customFormat="1" ht="14.25">
      <c r="A19" s="350" t="s">
        <v>423</v>
      </c>
      <c r="C19" s="380"/>
      <c r="E19" s="369">
        <f>Application!W850</f>
        <v>128300</v>
      </c>
      <c r="F19" s="369"/>
      <c r="G19" s="369">
        <f t="shared" si="0"/>
        <v>132790.5</v>
      </c>
      <c r="H19" s="369"/>
      <c r="I19" s="369">
        <f t="shared" si="0"/>
        <v>137438.16749999998</v>
      </c>
      <c r="J19" s="369"/>
      <c r="K19" s="369">
        <f t="shared" si="0"/>
        <v>142248.50336249996</v>
      </c>
      <c r="L19" s="369"/>
      <c r="M19" s="369">
        <f t="shared" si="0"/>
        <v>147227.20098018745</v>
      </c>
      <c r="N19" s="369"/>
      <c r="O19" s="369">
        <f t="shared" si="0"/>
        <v>152380.15301449399</v>
      </c>
      <c r="P19" s="369"/>
      <c r="Q19" s="369">
        <f t="shared" si="0"/>
        <v>157713.45837000126</v>
      </c>
      <c r="R19" s="369"/>
      <c r="S19" s="369">
        <f t="shared" si="0"/>
        <v>163233.42941295129</v>
      </c>
      <c r="T19" s="369"/>
      <c r="U19" s="369">
        <f t="shared" si="0"/>
        <v>168946.59944240458</v>
      </c>
      <c r="V19" s="369"/>
      <c r="W19" s="369">
        <f t="shared" si="0"/>
        <v>174859.73042288874</v>
      </c>
      <c r="X19" s="369"/>
      <c r="Y19" s="369">
        <f t="shared" si="0"/>
        <v>180979.82098768983</v>
      </c>
      <c r="Z19" s="369"/>
      <c r="AA19" s="369">
        <f t="shared" si="0"/>
        <v>187314.11472225896</v>
      </c>
      <c r="AB19" s="369"/>
      <c r="AC19" s="369">
        <f t="shared" si="0"/>
        <v>193870.10873753802</v>
      </c>
      <c r="AD19" s="369"/>
      <c r="AE19" s="369">
        <f t="shared" si="0"/>
        <v>200655.56254335184</v>
      </c>
      <c r="AF19" s="369"/>
      <c r="AG19" s="369">
        <f t="shared" si="0"/>
        <v>207678.50723236913</v>
      </c>
    </row>
    <row r="20" spans="1:33" s="350" customFormat="1" ht="14.25">
      <c r="A20" s="373" t="s">
        <v>1805</v>
      </c>
      <c r="B20" s="373"/>
      <c r="C20" s="380"/>
      <c r="E20" s="379">
        <f>Application!W857</f>
        <v>1150</v>
      </c>
      <c r="F20" s="369"/>
      <c r="G20" s="379">
        <f t="shared" si="0"/>
        <v>1190.25</v>
      </c>
      <c r="H20" s="369"/>
      <c r="I20" s="379">
        <f t="shared" si="0"/>
        <v>1231.9087499999998</v>
      </c>
      <c r="J20" s="369"/>
      <c r="K20" s="379">
        <f t="shared" si="0"/>
        <v>1275.0255562499997</v>
      </c>
      <c r="L20" s="369"/>
      <c r="M20" s="379">
        <f t="shared" si="0"/>
        <v>1319.6514507187496</v>
      </c>
      <c r="N20" s="369"/>
      <c r="O20" s="379">
        <f t="shared" si="0"/>
        <v>1365.8392514939057</v>
      </c>
      <c r="P20" s="369"/>
      <c r="Q20" s="379">
        <f t="shared" si="0"/>
        <v>1413.6436252961923</v>
      </c>
      <c r="R20" s="369"/>
      <c r="S20" s="379">
        <f t="shared" si="0"/>
        <v>1463.121152181559</v>
      </c>
      <c r="T20" s="369"/>
      <c r="U20" s="379">
        <f t="shared" si="0"/>
        <v>1514.3303925079133</v>
      </c>
      <c r="V20" s="369"/>
      <c r="W20" s="379">
        <f t="shared" si="0"/>
        <v>1567.3319562456902</v>
      </c>
      <c r="X20" s="369"/>
      <c r="Y20" s="379">
        <f t="shared" si="0"/>
        <v>1622.1885747142892</v>
      </c>
      <c r="Z20" s="369"/>
      <c r="AA20" s="379">
        <f t="shared" si="0"/>
        <v>1678.9651748292893</v>
      </c>
      <c r="AB20" s="369"/>
      <c r="AC20" s="379">
        <f t="shared" si="0"/>
        <v>1737.7289559483143</v>
      </c>
      <c r="AD20" s="369"/>
      <c r="AE20" s="379">
        <f t="shared" si="0"/>
        <v>1798.5494694065051</v>
      </c>
      <c r="AF20" s="369"/>
      <c r="AG20" s="379">
        <f t="shared" si="0"/>
        <v>1861.4987008357325</v>
      </c>
    </row>
    <row r="21" spans="1:33" s="370" customFormat="1" ht="15">
      <c r="A21" s="370" t="s">
        <v>929</v>
      </c>
      <c r="C21" s="380"/>
      <c r="E21" s="370">
        <f>SUM(E14:E20)</f>
        <v>334800</v>
      </c>
      <c r="G21" s="370">
        <f>SUM(G14:G20)</f>
        <v>346518</v>
      </c>
      <c r="I21" s="370">
        <f>SUM(I14:I20)</f>
        <v>358646.12999999995</v>
      </c>
      <c r="K21" s="370">
        <f>SUM(K14:K20)</f>
        <v>371198.74454999994</v>
      </c>
      <c r="M21" s="370">
        <f>SUM(M14:M20)</f>
        <v>384190.70060924988</v>
      </c>
      <c r="O21" s="370">
        <f>SUM(O14:O20)</f>
        <v>397637.37513057358</v>
      </c>
      <c r="Q21" s="370">
        <f>SUM(Q14:Q20)</f>
        <v>411554.68326014362</v>
      </c>
      <c r="S21" s="370">
        <f>SUM(S14:S20)</f>
        <v>425959.0971742486</v>
      </c>
      <c r="U21" s="370">
        <f>SUM(U14:U20)</f>
        <v>440867.66557534726</v>
      </c>
      <c r="W21" s="370">
        <f>SUM(W14:W20)</f>
        <v>456298.03387048445</v>
      </c>
      <c r="Y21" s="370">
        <f>SUM(Y14:Y20)</f>
        <v>472268.46505595132</v>
      </c>
      <c r="AA21" s="370">
        <f>SUM(AA14:AA20)</f>
        <v>488797.86133290961</v>
      </c>
      <c r="AC21" s="370">
        <f>SUM(AC14:AC20)</f>
        <v>505905.78647956142</v>
      </c>
      <c r="AE21" s="370">
        <f>SUM(AE14:AE20)</f>
        <v>523612.48900634592</v>
      </c>
      <c r="AG21" s="370">
        <f>SUM(AG14:AG20)</f>
        <v>541938.92612156807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16000</v>
      </c>
      <c r="F24" s="369"/>
      <c r="G24" s="369">
        <f>E24*$C$24</f>
        <v>16560</v>
      </c>
      <c r="H24" s="369"/>
      <c r="I24" s="369">
        <f>G24*$C$24</f>
        <v>17139.599999999999</v>
      </c>
      <c r="J24" s="369"/>
      <c r="K24" s="369">
        <f>I24*$C$24</f>
        <v>17739.485999999997</v>
      </c>
      <c r="L24" s="369"/>
      <c r="M24" s="369">
        <f>K24*$C$24</f>
        <v>18360.368009999995</v>
      </c>
      <c r="N24" s="369"/>
      <c r="O24" s="369">
        <f>M24*$C$24</f>
        <v>19002.980890349994</v>
      </c>
      <c r="P24" s="369"/>
      <c r="Q24" s="369">
        <f>O24*$C$24</f>
        <v>19668.085221512243</v>
      </c>
      <c r="R24" s="369"/>
      <c r="S24" s="369">
        <f>Q24*$C$24</f>
        <v>20356.468204265169</v>
      </c>
      <c r="T24" s="369"/>
      <c r="U24" s="369">
        <f>S24*$C$24</f>
        <v>21068.944591414449</v>
      </c>
      <c r="V24" s="369"/>
      <c r="W24" s="369">
        <f>U24*$C$24</f>
        <v>21806.357652113951</v>
      </c>
      <c r="X24" s="369"/>
      <c r="Y24" s="369">
        <f>W24*$C$24</f>
        <v>22569.580169937937</v>
      </c>
      <c r="Z24" s="369"/>
      <c r="AA24" s="369">
        <f>Y24*$C$24</f>
        <v>23359.515475885764</v>
      </c>
      <c r="AB24" s="369"/>
      <c r="AC24" s="369">
        <f>AA24*$C$24</f>
        <v>24177.098517541763</v>
      </c>
      <c r="AD24" s="369"/>
      <c r="AE24" s="369">
        <f>AC24*$C$24</f>
        <v>25023.296965655722</v>
      </c>
      <c r="AF24" s="369"/>
      <c r="AG24" s="369">
        <f>AE24*$C$24</f>
        <v>25899.112359453669</v>
      </c>
    </row>
    <row r="25" spans="1:33" s="350" customFormat="1" ht="14.25">
      <c r="A25" s="350" t="s">
        <v>932</v>
      </c>
      <c r="C25" s="392"/>
      <c r="E25" s="369">
        <f>Application!AC867</f>
        <v>18000</v>
      </c>
      <c r="F25" s="369"/>
      <c r="G25" s="369">
        <f>$E$25</f>
        <v>18000</v>
      </c>
      <c r="H25" s="369"/>
      <c r="I25" s="369">
        <f>$E$25</f>
        <v>18000</v>
      </c>
      <c r="J25" s="369"/>
      <c r="K25" s="369">
        <f>$E$25</f>
        <v>18000</v>
      </c>
      <c r="L25" s="369"/>
      <c r="M25" s="369">
        <f>$E$25</f>
        <v>18000</v>
      </c>
      <c r="N25" s="369"/>
      <c r="O25" s="369">
        <f>$E$25</f>
        <v>18000</v>
      </c>
      <c r="P25" s="369"/>
      <c r="Q25" s="369">
        <f>$E$25</f>
        <v>18000</v>
      </c>
      <c r="R25" s="369"/>
      <c r="S25" s="369">
        <f>$E$25</f>
        <v>18000</v>
      </c>
      <c r="T25" s="369"/>
      <c r="U25" s="369">
        <f>$E$25</f>
        <v>18000</v>
      </c>
      <c r="V25" s="369"/>
      <c r="W25" s="369">
        <f>$E$25</f>
        <v>18000</v>
      </c>
      <c r="X25" s="369"/>
      <c r="Y25" s="369">
        <f>$E$25</f>
        <v>18000</v>
      </c>
      <c r="Z25" s="369"/>
      <c r="AA25" s="369">
        <f>$E$25</f>
        <v>18000</v>
      </c>
      <c r="AB25" s="369"/>
      <c r="AC25" s="369">
        <f>$E$25</f>
        <v>18000</v>
      </c>
      <c r="AD25" s="369"/>
      <c r="AE25" s="369">
        <f>$E$25</f>
        <v>18000</v>
      </c>
      <c r="AF25" s="369"/>
      <c r="AG25" s="369">
        <f>$E$25</f>
        <v>18000</v>
      </c>
    </row>
    <row r="26" spans="1:33" s="350" customFormat="1" ht="14.25">
      <c r="A26" s="350" t="s">
        <v>930</v>
      </c>
      <c r="C26" s="390">
        <v>1.02</v>
      </c>
      <c r="E26" s="369">
        <f>Application!AC868</f>
        <v>5900</v>
      </c>
      <c r="F26" s="369"/>
      <c r="G26" s="369">
        <f>E26*$C$26</f>
        <v>6018</v>
      </c>
      <c r="H26" s="369"/>
      <c r="I26" s="369">
        <f>G26*$C$26</f>
        <v>6138.36</v>
      </c>
      <c r="J26" s="369"/>
      <c r="K26" s="369">
        <f>I26*$C$26</f>
        <v>6261.1271999999999</v>
      </c>
      <c r="L26" s="369"/>
      <c r="M26" s="369">
        <f>K26*$C$26</f>
        <v>6386.3497440000001</v>
      </c>
      <c r="N26" s="369"/>
      <c r="O26" s="369">
        <f>M26*$C$26</f>
        <v>6514.0767388800004</v>
      </c>
      <c r="P26" s="369"/>
      <c r="Q26" s="369">
        <f>O26*$C$26</f>
        <v>6644.3582736576009</v>
      </c>
      <c r="R26" s="369"/>
      <c r="S26" s="369">
        <f>Q26*$C$26</f>
        <v>6777.2454391307529</v>
      </c>
      <c r="T26" s="369"/>
      <c r="U26" s="369">
        <f>S26*$C$26</f>
        <v>6912.7903479133684</v>
      </c>
      <c r="V26" s="369"/>
      <c r="W26" s="369">
        <f>U26*$C$26</f>
        <v>7051.0461548716357</v>
      </c>
      <c r="X26" s="369"/>
      <c r="Y26" s="369">
        <f>W26*$C$26</f>
        <v>7192.0670779690681</v>
      </c>
      <c r="Z26" s="369"/>
      <c r="AA26" s="369">
        <f>Y26*$C$26</f>
        <v>7335.9084195284495</v>
      </c>
      <c r="AB26" s="369"/>
      <c r="AC26" s="369">
        <f>AA26*$C$26</f>
        <v>7482.6265879190187</v>
      </c>
      <c r="AD26" s="369"/>
      <c r="AE26" s="369">
        <f>AC26*$C$26</f>
        <v>7632.2791196773987</v>
      </c>
      <c r="AF26" s="369"/>
      <c r="AG26" s="369">
        <f>AE26*$C$26</f>
        <v>7784.9247020709472</v>
      </c>
    </row>
    <row r="27" spans="1:33" s="350" customFormat="1" ht="14.25">
      <c r="A27" s="373" t="str">
        <f>Application!E869</f>
        <v>Annual Issuer Fees</v>
      </c>
      <c r="B27" s="373"/>
      <c r="C27" s="509">
        <v>1.0349999999999999</v>
      </c>
      <c r="E27" s="369">
        <f>Application!AC869</f>
        <v>10500</v>
      </c>
      <c r="F27" s="369"/>
      <c r="G27" s="369">
        <f>E27*$C$27</f>
        <v>10867.5</v>
      </c>
      <c r="H27" s="369"/>
      <c r="I27" s="369">
        <f>G27*$C$27</f>
        <v>11247.862499999999</v>
      </c>
      <c r="J27" s="369"/>
      <c r="K27" s="369">
        <f>I27*$C$27</f>
        <v>11641.537687499998</v>
      </c>
      <c r="L27" s="369"/>
      <c r="M27" s="369">
        <f>K27*$C$27</f>
        <v>12048.991506562497</v>
      </c>
      <c r="N27" s="369"/>
      <c r="O27" s="369">
        <f>M27*$C$27</f>
        <v>12470.706209292184</v>
      </c>
      <c r="P27" s="369"/>
      <c r="Q27" s="369">
        <f>O27*$C$27</f>
        <v>12907.18092661741</v>
      </c>
      <c r="R27" s="369"/>
      <c r="S27" s="369">
        <f>Q27*$C$27</f>
        <v>13358.932259049017</v>
      </c>
      <c r="T27" s="369"/>
      <c r="U27" s="369">
        <f>S27*$C$27</f>
        <v>13826.494888115732</v>
      </c>
      <c r="V27" s="369"/>
      <c r="W27" s="369">
        <f>U27*$C$27</f>
        <v>14310.422209199782</v>
      </c>
      <c r="X27" s="369"/>
      <c r="Y27" s="369">
        <f>W27*$C$27</f>
        <v>14811.286986521773</v>
      </c>
      <c r="Z27" s="369"/>
      <c r="AA27" s="369">
        <f>Y27*$C$27</f>
        <v>15329.682031050033</v>
      </c>
      <c r="AB27" s="369"/>
      <c r="AC27" s="369">
        <f>AA27*$C$27</f>
        <v>15866.220902136783</v>
      </c>
      <c r="AD27" s="369"/>
      <c r="AE27" s="369">
        <f>AC27*$C$27</f>
        <v>16421.538633711571</v>
      </c>
      <c r="AF27" s="369"/>
      <c r="AG27" s="369">
        <f>AE27*$C$27</f>
        <v>16996.292485891474</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385200</v>
      </c>
      <c r="G30" s="370">
        <f>SUM(G21:G28)</f>
        <v>397963.5</v>
      </c>
      <c r="I30" s="370">
        <f>SUM(I21:I28)</f>
        <v>411171.9524999999</v>
      </c>
      <c r="K30" s="370">
        <f>SUM(K21:K28)</f>
        <v>424840.89543749992</v>
      </c>
      <c r="M30" s="370">
        <f>SUM(M21:M28)</f>
        <v>438986.40986981237</v>
      </c>
      <c r="O30" s="370">
        <f>SUM(O21:O28)</f>
        <v>453625.13896909577</v>
      </c>
      <c r="Q30" s="370">
        <f>SUM(Q21:Q28)</f>
        <v>468774.30768193089</v>
      </c>
      <c r="S30" s="370">
        <f>SUM(S21:S28)</f>
        <v>484451.74307669356</v>
      </c>
      <c r="U30" s="370">
        <f>SUM(U21:U28)</f>
        <v>500675.89540279086</v>
      </c>
      <c r="W30" s="370">
        <f>SUM(W21:W28)</f>
        <v>517465.85988666984</v>
      </c>
      <c r="Y30" s="370">
        <f>SUM(Y21:Y28)</f>
        <v>534841.39929038007</v>
      </c>
      <c r="AA30" s="370">
        <f>SUM(AA21:AA28)</f>
        <v>552822.96725937375</v>
      </c>
      <c r="AC30" s="370">
        <f>SUM(AC21:AC28)</f>
        <v>571431.73248715897</v>
      </c>
      <c r="AE30" s="370">
        <f>SUM(AE21:AE28)</f>
        <v>590689.60372539051</v>
      </c>
      <c r="AG30" s="370">
        <f>SUM(AG21:AG28)</f>
        <v>610619.25566898426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449793</v>
      </c>
      <c r="G32" s="370">
        <f>G10-G30</f>
        <v>457904.32499999984</v>
      </c>
      <c r="I32" s="370">
        <f>I10-I30</f>
        <v>466092.56812499987</v>
      </c>
      <c r="K32" s="370">
        <f>K10-K30</f>
        <v>474355.23820312467</v>
      </c>
      <c r="M32" s="370">
        <f>M10-M30</f>
        <v>482689.6271118279</v>
      </c>
      <c r="O32" s="370">
        <f>O10-O30</f>
        <v>491092.79893708543</v>
      </c>
      <c r="Q32" s="370">
        <f>Q10-Q30</f>
        <v>499561.5786719048</v>
      </c>
      <c r="S32" s="370">
        <f>S10-S30</f>
        <v>508092.54043598793</v>
      </c>
      <c r="U32" s="370">
        <f>U10-U30</f>
        <v>516681.99519770755</v>
      </c>
      <c r="W32" s="370">
        <f>W10-W30</f>
        <v>525325.97797884094</v>
      </c>
      <c r="Y32" s="370">
        <f>Y10-Y30</f>
        <v>534020.23452176852</v>
      </c>
      <c r="AA32" s="370">
        <f>AA10-AA30</f>
        <v>542760.2073980784</v>
      </c>
      <c r="AC32" s="370">
        <f>AC10-AC30</f>
        <v>551541.02153672918</v>
      </c>
      <c r="AE32" s="370">
        <f>AE10-AE30</f>
        <v>560357.46914909477</v>
      </c>
      <c r="AG32" s="370">
        <f>AG10-AG30</f>
        <v>569203.9940273629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 Perm Loan</v>
      </c>
      <c r="B35" s="373"/>
      <c r="C35" s="367"/>
      <c r="E35" s="369">
        <f>Application!AB618</f>
        <v>385404</v>
      </c>
      <c r="F35" s="369"/>
      <c r="G35" s="369">
        <f>$E$35</f>
        <v>385404</v>
      </c>
      <c r="H35" s="369"/>
      <c r="I35" s="369">
        <f>$E$35</f>
        <v>385404</v>
      </c>
      <c r="J35" s="369"/>
      <c r="K35" s="369">
        <f>$E$35</f>
        <v>385404</v>
      </c>
      <c r="L35" s="369"/>
      <c r="M35" s="369">
        <f>$E$35</f>
        <v>385404</v>
      </c>
      <c r="N35" s="369"/>
      <c r="O35" s="369">
        <f>$E$35</f>
        <v>385404</v>
      </c>
      <c r="P35" s="369"/>
      <c r="Q35" s="369">
        <f>$E$35</f>
        <v>385404</v>
      </c>
      <c r="R35" s="369"/>
      <c r="S35" s="369">
        <f>$E$35</f>
        <v>385404</v>
      </c>
      <c r="T35" s="369"/>
      <c r="U35" s="369">
        <f>$E$35</f>
        <v>385404</v>
      </c>
      <c r="V35" s="369"/>
      <c r="W35" s="369">
        <f>$E$35</f>
        <v>385404</v>
      </c>
      <c r="X35" s="369"/>
      <c r="Y35" s="369">
        <f>$E$35</f>
        <v>385404</v>
      </c>
      <c r="Z35" s="369"/>
      <c r="AA35" s="369">
        <f>$E$35</f>
        <v>385404</v>
      </c>
      <c r="AB35" s="369"/>
      <c r="AC35" s="369">
        <f>$E$35</f>
        <v>385404</v>
      </c>
      <c r="AD35" s="369"/>
      <c r="AE35" s="369">
        <f>$E$35</f>
        <v>385404</v>
      </c>
      <c r="AF35" s="369"/>
      <c r="AG35" s="369">
        <f>$E$35</f>
        <v>385404</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385404</v>
      </c>
      <c r="G38" s="370">
        <f>SUM(G35:G37)</f>
        <v>385404</v>
      </c>
      <c r="I38" s="370">
        <f>SUM(I35:I37)</f>
        <v>385404</v>
      </c>
      <c r="K38" s="370">
        <f>SUM(K35:K37)</f>
        <v>385404</v>
      </c>
      <c r="M38" s="370">
        <f>SUM(M35:M37)</f>
        <v>385404</v>
      </c>
      <c r="O38" s="370">
        <f>SUM(O35:O37)</f>
        <v>385404</v>
      </c>
      <c r="Q38" s="370">
        <f>SUM(Q35:Q37)</f>
        <v>385404</v>
      </c>
      <c r="S38" s="370">
        <f>SUM(S35:S37)</f>
        <v>385404</v>
      </c>
      <c r="U38" s="370">
        <f>SUM(U35:U37)</f>
        <v>385404</v>
      </c>
      <c r="W38" s="370">
        <f>SUM(W35:W37)</f>
        <v>385404</v>
      </c>
      <c r="Y38" s="370">
        <f>SUM(Y35:Y37)</f>
        <v>385404</v>
      </c>
      <c r="AA38" s="370">
        <f>SUM(AA35:AA37)</f>
        <v>385404</v>
      </c>
      <c r="AC38" s="370">
        <f>SUM(AC35:AC37)</f>
        <v>385404</v>
      </c>
      <c r="AE38" s="370">
        <f>SUM(AE35:AE37)</f>
        <v>385404</v>
      </c>
      <c r="AG38" s="370">
        <f>SUM(AG35:AG37)</f>
        <v>385404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64389</v>
      </c>
      <c r="G40" s="370">
        <f>G32-G38</f>
        <v>72500.324999999837</v>
      </c>
      <c r="I40" s="370">
        <f>I32-I38</f>
        <v>80688.568124999874</v>
      </c>
      <c r="K40" s="370">
        <f>K32-K38</f>
        <v>88951.238203124667</v>
      </c>
      <c r="M40" s="370">
        <f>M32-M38</f>
        <v>97285.627111827896</v>
      </c>
      <c r="O40" s="370">
        <f>O32-O38</f>
        <v>105688.79893708543</v>
      </c>
      <c r="Q40" s="370">
        <f>Q32-Q38</f>
        <v>114157.5786719048</v>
      </c>
      <c r="S40" s="370">
        <f>S32-S38</f>
        <v>122688.54043598793</v>
      </c>
      <c r="U40" s="370">
        <f>U32-U38</f>
        <v>131277.99519770755</v>
      </c>
      <c r="W40" s="370">
        <f>W32-W38</f>
        <v>139921.97797884094</v>
      </c>
      <c r="Y40" s="370">
        <f>Y32-Y38</f>
        <v>148616.23452176852</v>
      </c>
      <c r="AA40" s="370">
        <f>AA32-AA38</f>
        <v>157356.2073980784</v>
      </c>
      <c r="AC40" s="370">
        <f>AC32-AC38</f>
        <v>166137.02153672918</v>
      </c>
      <c r="AE40" s="370">
        <f>AE32-AE38</f>
        <v>174953.46914909477</v>
      </c>
      <c r="AG40" s="370">
        <f>AG32-AG38</f>
        <v>183799.9940273629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7.3257560243020006E-2</v>
      </c>
      <c r="G42" s="374">
        <f>G40/(G4+G6+G8)</f>
        <v>8.0474235317818915E-2</v>
      </c>
      <c r="I42" s="374">
        <f>I40/(I4+I6+I8)</f>
        <v>8.7378593248178191E-2</v>
      </c>
      <c r="K42" s="374">
        <f>K40/(K4+K6+K8)</f>
        <v>9.3976912412683272E-2</v>
      </c>
      <c r="M42" s="374">
        <f>M40/(M4+M6+M8)</f>
        <v>0.10027530503983097</v>
      </c>
      <c r="O42" s="374">
        <f>O40/(O4+O6+O8)</f>
        <v>0.10627972113323225</v>
      </c>
      <c r="Q42" s="374">
        <f>Q40/(Q4+Q6+Q8)</f>
        <v>0.11199595229984216</v>
      </c>
      <c r="S42" s="374">
        <f>S40/(S4+S6+S8)</f>
        <v>0.11742963548356314</v>
      </c>
      <c r="U42" s="374">
        <f>U40/(U4+U6+U8)</f>
        <v>0.12258625660652153</v>
      </c>
      <c r="W42" s="374">
        <f>W40/(W4+W6+W8)</f>
        <v>0.12747115412025539</v>
      </c>
      <c r="Y42" s="374">
        <f>Y40/(Y4+Y6+Y8)</f>
        <v>0.13208952246899835</v>
      </c>
      <c r="AA42" s="374">
        <f>AA40/(AA4+AA6+AA8)</f>
        <v>0.13644641546719072</v>
      </c>
      <c r="AC42" s="374">
        <f>AC40/(AC4+AC6+AC8)</f>
        <v>0.14054674959329896</v>
      </c>
      <c r="AE42" s="374">
        <f>AE40/(AE4+AE6+AE8)</f>
        <v>0.1443953072019703</v>
      </c>
      <c r="AG42" s="374">
        <f>AG40/(AG4+AG6+AG8)</f>
        <v>0.14799673965649884</v>
      </c>
    </row>
    <row r="43" spans="1:35" s="374" customFormat="1" ht="14.25">
      <c r="A43" s="374" t="s">
        <v>938</v>
      </c>
      <c r="C43" s="367"/>
      <c r="E43" s="374">
        <f>E40/E38</f>
        <v>0.16706884204626832</v>
      </c>
      <c r="G43" s="374">
        <f>G40/G38</f>
        <v>0.18811513372979999</v>
      </c>
      <c r="I43" s="374">
        <f>I40/I38</f>
        <v>0.20936100332378457</v>
      </c>
      <c r="K43" s="374">
        <f>K40/K38</f>
        <v>0.23079998703470817</v>
      </c>
      <c r="M43" s="374">
        <f>M40/M38</f>
        <v>0.25242505815151867</v>
      </c>
      <c r="O43" s="374">
        <f>O40/O38</f>
        <v>0.2742285989172023</v>
      </c>
      <c r="Q43" s="374">
        <f>Q40/Q38</f>
        <v>0.29620237120503368</v>
      </c>
      <c r="S43" s="374">
        <f>S40/S38</f>
        <v>0.31833748595237188</v>
      </c>
      <c r="U43" s="374">
        <f>U40/U38</f>
        <v>0.34062437130311973</v>
      </c>
      <c r="W43" s="374">
        <f>W40/W38</f>
        <v>0.36305273940810406</v>
      </c>
      <c r="Y43" s="374">
        <f>Y40/Y38</f>
        <v>0.38561155183072443</v>
      </c>
      <c r="AA43" s="374">
        <f>AA40/AA38</f>
        <v>0.40828898350322884</v>
      </c>
      <c r="AC43" s="374">
        <f>AC40/AC38</f>
        <v>0.43107238517692908</v>
      </c>
      <c r="AE43" s="374">
        <f>AE40/AE38</f>
        <v>0.45394824430751829</v>
      </c>
      <c r="AG43" s="374">
        <f>AG40/AG38</f>
        <v>0.47690214431444122</v>
      </c>
    </row>
    <row r="44" spans="1:35" s="375" customFormat="1" ht="14.25">
      <c r="A44" s="375" t="s">
        <v>936</v>
      </c>
      <c r="C44" s="376"/>
      <c r="E44" s="375">
        <f>E32/E38</f>
        <v>1.1670688420462683</v>
      </c>
      <c r="G44" s="375">
        <f>G32/G38</f>
        <v>1.1881151337297999</v>
      </c>
      <c r="I44" s="375">
        <f>I32/I38</f>
        <v>1.2093610033237845</v>
      </c>
      <c r="K44" s="375">
        <f>K32/K38</f>
        <v>1.2307999870347082</v>
      </c>
      <c r="M44" s="375">
        <f>M32/M38</f>
        <v>1.2524250581515186</v>
      </c>
      <c r="O44" s="375">
        <f>O32/O38</f>
        <v>1.2742285989172022</v>
      </c>
      <c r="Q44" s="375">
        <f>Q32/Q38</f>
        <v>1.2962023712050337</v>
      </c>
      <c r="S44" s="375">
        <f>S32/S38</f>
        <v>1.318337485952372</v>
      </c>
      <c r="U44" s="375">
        <f>U32/U38</f>
        <v>1.3406243713031196</v>
      </c>
      <c r="W44" s="375">
        <f>W32/W38</f>
        <v>1.363052739408104</v>
      </c>
      <c r="Y44" s="375">
        <f>Y32/Y38</f>
        <v>1.3856115518307244</v>
      </c>
      <c r="AA44" s="375">
        <f>AA32/AA38</f>
        <v>1.4082889835032288</v>
      </c>
      <c r="AC44" s="375">
        <f>AC32/AC38</f>
        <v>1.4310723851769291</v>
      </c>
      <c r="AE44" s="375">
        <f>AE32/AE38</f>
        <v>1.4539482443075182</v>
      </c>
      <c r="AG44" s="375">
        <f>AG32/AG38</f>
        <v>1.4769021443144412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7200</v>
      </c>
      <c r="G47" s="255">
        <v>7200</v>
      </c>
      <c r="I47" s="255">
        <v>7200</v>
      </c>
      <c r="K47" s="255">
        <v>7200</v>
      </c>
      <c r="M47" s="255">
        <v>7200</v>
      </c>
      <c r="O47" s="255">
        <v>7200</v>
      </c>
      <c r="Q47" s="255">
        <v>7200</v>
      </c>
      <c r="S47" s="255">
        <v>7200</v>
      </c>
      <c r="U47" s="255">
        <v>7200</v>
      </c>
      <c r="W47" s="255">
        <v>7200</v>
      </c>
      <c r="Y47" s="255">
        <v>7200</v>
      </c>
      <c r="AA47" s="255">
        <v>7200</v>
      </c>
      <c r="AC47" s="255">
        <v>7200</v>
      </c>
      <c r="AE47" s="255">
        <v>7200</v>
      </c>
      <c r="AG47" s="255">
        <v>7200</v>
      </c>
    </row>
    <row r="48" spans="1:35" s="152" customFormat="1">
      <c r="A48" s="152" t="s">
        <v>941</v>
      </c>
      <c r="C48" s="394"/>
      <c r="E48" s="384">
        <v>5000</v>
      </c>
      <c r="F48" s="363"/>
      <c r="G48" s="956">
        <v>5000</v>
      </c>
      <c r="H48" s="363"/>
      <c r="I48" s="956">
        <v>5000</v>
      </c>
      <c r="J48" s="363"/>
      <c r="K48" s="956">
        <v>5000</v>
      </c>
      <c r="L48" s="363"/>
      <c r="M48" s="956">
        <v>5000</v>
      </c>
      <c r="N48" s="363"/>
      <c r="O48" s="956">
        <v>5000</v>
      </c>
      <c r="P48" s="363"/>
      <c r="Q48" s="956">
        <v>5000</v>
      </c>
      <c r="R48" s="363"/>
      <c r="S48" s="956">
        <v>5000</v>
      </c>
      <c r="T48" s="363"/>
      <c r="U48" s="956">
        <v>5000</v>
      </c>
      <c r="V48" s="363"/>
      <c r="W48" s="956">
        <v>5000</v>
      </c>
      <c r="X48" s="363"/>
      <c r="Y48" s="956">
        <v>5000</v>
      </c>
      <c r="Z48" s="363"/>
      <c r="AA48" s="956">
        <v>5000</v>
      </c>
      <c r="AB48" s="363"/>
      <c r="AC48" s="956">
        <v>5000</v>
      </c>
      <c r="AD48" s="363"/>
      <c r="AE48" s="956">
        <v>5000</v>
      </c>
      <c r="AF48" s="363"/>
      <c r="AG48" s="956">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12200</v>
      </c>
      <c r="F52" s="363"/>
      <c r="G52" s="363">
        <f>SUM(G47:G51)</f>
        <v>12200</v>
      </c>
      <c r="H52" s="363"/>
      <c r="I52" s="363">
        <f>SUM(I47:I51)</f>
        <v>12200</v>
      </c>
      <c r="J52" s="363"/>
      <c r="K52" s="363">
        <f>SUM(K47:K51)</f>
        <v>12200</v>
      </c>
      <c r="L52" s="363"/>
      <c r="M52" s="363">
        <f>SUM(M47:M51)</f>
        <v>12200</v>
      </c>
      <c r="N52" s="363"/>
      <c r="O52" s="363">
        <f>SUM(O47:O51)</f>
        <v>12200</v>
      </c>
      <c r="P52" s="363"/>
      <c r="Q52" s="363">
        <f>SUM(Q47:Q51)</f>
        <v>12200</v>
      </c>
      <c r="R52" s="363"/>
      <c r="S52" s="363">
        <f>SUM(S47:S51)</f>
        <v>12200</v>
      </c>
      <c r="T52" s="363"/>
      <c r="U52" s="363">
        <f>SUM(U47:U51)</f>
        <v>12200</v>
      </c>
      <c r="V52" s="363"/>
      <c r="W52" s="363">
        <f>SUM(W47:W51)</f>
        <v>12200</v>
      </c>
      <c r="X52" s="363"/>
      <c r="Y52" s="363">
        <f>SUM(Y47:Y51)</f>
        <v>12200</v>
      </c>
      <c r="Z52" s="363"/>
      <c r="AA52" s="363">
        <f>SUM(AA47:AA51)</f>
        <v>12200</v>
      </c>
      <c r="AB52" s="363"/>
      <c r="AC52" s="363">
        <f>SUM(AC47:AC51)</f>
        <v>12200</v>
      </c>
      <c r="AD52" s="363"/>
      <c r="AE52" s="363">
        <f>SUM(AE47:AE51)</f>
        <v>12200</v>
      </c>
      <c r="AF52" s="363"/>
      <c r="AG52" s="363">
        <f>SUM(AG47:AG51)</f>
        <v>12200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52189</v>
      </c>
      <c r="G54" s="255">
        <f>G40-G52</f>
        <v>60300.324999999837</v>
      </c>
      <c r="I54" s="255">
        <f>I40-I52</f>
        <v>68488.568124999874</v>
      </c>
      <c r="K54" s="255">
        <f>K40-K52</f>
        <v>76751.238203124667</v>
      </c>
      <c r="M54" s="255">
        <f>M40-M52</f>
        <v>85085.627111827896</v>
      </c>
      <c r="O54" s="255">
        <f>O40-O52</f>
        <v>93488.798937085434</v>
      </c>
      <c r="Q54" s="255">
        <f>Q40-Q52</f>
        <v>101957.5786719048</v>
      </c>
      <c r="S54" s="255">
        <f>S40-S52</f>
        <v>110488.54043598793</v>
      </c>
      <c r="U54" s="255">
        <f>U40-U52</f>
        <v>119077.99519770755</v>
      </c>
      <c r="W54" s="255">
        <f>W40-W52</f>
        <v>127721.97797884094</v>
      </c>
      <c r="Y54" s="255">
        <f>Y40-Y52</f>
        <v>136416.23452176852</v>
      </c>
      <c r="AA54" s="255">
        <f>AA40-AA52</f>
        <v>145156.2073980784</v>
      </c>
      <c r="AC54" s="255">
        <f>AC40-AC52</f>
        <v>153937.02153672918</v>
      </c>
      <c r="AE54" s="255">
        <f>AE40-AE52</f>
        <v>162753.46914909477</v>
      </c>
      <c r="AG54" s="255">
        <f>AG40-AG52</f>
        <v>171599.9940273629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52189</v>
      </c>
      <c r="G56" s="383">
        <f>G54</f>
        <v>60300.324999999837</v>
      </c>
      <c r="I56" s="383">
        <f>I54</f>
        <v>68488.568124999874</v>
      </c>
      <c r="K56" s="383">
        <f>K54</f>
        <v>76751.238203124667</v>
      </c>
      <c r="M56" s="383">
        <f>M54</f>
        <v>85085.627111827896</v>
      </c>
      <c r="O56" s="383">
        <f>O54</f>
        <v>93488.798937085434</v>
      </c>
      <c r="Q56" s="383">
        <f>Q54</f>
        <v>101957.5786719048</v>
      </c>
      <c r="S56" s="383">
        <f>S54</f>
        <v>110488.54043598793</v>
      </c>
      <c r="U56" s="383">
        <f>U54</f>
        <v>119077.99519770755</v>
      </c>
      <c r="W56" s="383">
        <f>W54</f>
        <v>127721.97797884094</v>
      </c>
      <c r="Y56" s="255">
        <f>Y54</f>
        <v>136416.23452176852</v>
      </c>
      <c r="AA56" s="255">
        <v>48034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1759</v>
      </c>
      <c r="B59" s="383"/>
      <c r="C59" s="381"/>
      <c r="E59" s="383"/>
      <c r="G59" s="383"/>
      <c r="I59" s="383"/>
      <c r="K59" s="383"/>
      <c r="M59" s="383"/>
      <c r="O59" s="383"/>
      <c r="Q59" s="383"/>
      <c r="S59" s="383"/>
      <c r="U59" s="383"/>
      <c r="W59" s="383"/>
      <c r="Y59" s="383"/>
      <c r="AA59" s="383">
        <f xml:space="preserve"> (AA54-AA56) * (0.5) * (0.41718554)</f>
        <v>20258.990269679667</v>
      </c>
      <c r="AC59" s="383">
        <f xml:space="preserve"> (AC54*0.5) * (0.41718554)</f>
        <v>32110.149727895998</v>
      </c>
      <c r="AE59" s="383">
        <f xml:space="preserve"> (AE54*0.5) * (0.41718554)</f>
        <v>33949.196956919222</v>
      </c>
      <c r="AG59" s="383">
        <f xml:space="preserve"> (AG54*0.5) * (0.41718554)</f>
        <v>35794.518086151089</v>
      </c>
    </row>
    <row r="60" spans="1:35" s="363" customFormat="1">
      <c r="A60" s="958" t="s">
        <v>1760</v>
      </c>
      <c r="B60" s="384"/>
      <c r="C60" s="364"/>
      <c r="E60" s="384"/>
      <c r="G60" s="384"/>
      <c r="I60" s="384"/>
      <c r="K60" s="384"/>
      <c r="M60" s="384"/>
      <c r="O60" s="384"/>
      <c r="Q60" s="384"/>
      <c r="S60" s="384"/>
      <c r="U60" s="384"/>
      <c r="W60" s="384"/>
      <c r="Y60" s="384"/>
      <c r="AA60" s="384">
        <f xml:space="preserve"> (AA54-AA56) * (0.5) * (0.58281444)</f>
        <v>28302.112458137464</v>
      </c>
      <c r="AC60" s="384">
        <f xml:space="preserve"> (AC54*0.5) * (0.58281444)</f>
        <v>44858.359501098384</v>
      </c>
      <c r="AE60" s="384">
        <f xml:space="preserve"> (AE54*0.5) * (0.58281444)</f>
        <v>47427.535990093478</v>
      </c>
      <c r="AG60" s="384">
        <f xml:space="preserve"> (AG54*0.5) * (0.58281444)</f>
        <v>50005.477211530429</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8" t="s">
        <v>950</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2020-01-14T14:16:15Z</cp:lastPrinted>
  <dcterms:created xsi:type="dcterms:W3CDTF">2007-12-27T18:26:28Z</dcterms:created>
  <dcterms:modified xsi:type="dcterms:W3CDTF">2020-02-03T19:13:02Z</dcterms:modified>
</cp:coreProperties>
</file>