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40" windowHeight="808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5" i="11" l="1"/>
  <c r="C6" i="11"/>
  <c r="C7" i="11"/>
  <c r="C8" i="11"/>
  <c r="AB71" i="15"/>
  <c r="AB50" i="15" l="1"/>
  <c r="A3" i="15" l="1"/>
  <c r="AN929" i="3" l="1"/>
  <c r="AD64" i="15" l="1"/>
  <c r="A61" i="15" l="1"/>
  <c r="AD67" i="15" l="1"/>
  <c r="Y67" i="15"/>
  <c r="T11" i="4" l="1"/>
  <c r="R10" i="4"/>
  <c r="R88" i="4"/>
  <c r="S88" i="4" s="1"/>
  <c r="R81" i="4"/>
  <c r="S81" i="4" s="1"/>
  <c r="T25" i="15"/>
  <c r="AI7" i="15" s="1"/>
  <c r="AG428" i="3"/>
  <c r="AG431" i="3"/>
  <c r="B58" i="4"/>
  <c r="C77" i="11"/>
  <c r="C78" i="11"/>
  <c r="C79" i="11" s="1"/>
  <c r="B77" i="11"/>
  <c r="B78" i="11"/>
  <c r="I95" i="13"/>
  <c r="J95" i="13"/>
  <c r="J78" i="13"/>
  <c r="I78" i="13"/>
  <c r="G78" i="13"/>
  <c r="F78" i="13"/>
  <c r="D78" i="13"/>
  <c r="C78" i="13"/>
  <c r="H77" i="13"/>
  <c r="E77" i="13"/>
  <c r="B77" i="13"/>
  <c r="R77" i="4"/>
  <c r="S77" i="4" s="1"/>
  <c r="R76" i="4"/>
  <c r="S76" i="4" s="1"/>
  <c r="R78" i="4"/>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E87" i="13"/>
  <c r="E86" i="13"/>
  <c r="E84" i="13"/>
  <c r="E81" i="13"/>
  <c r="E76" i="13"/>
  <c r="E65" i="13"/>
  <c r="E46" i="13"/>
  <c r="E45" i="13"/>
  <c r="E35"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25" i="13"/>
  <c r="F36" i="13"/>
  <c r="F63" i="13"/>
  <c r="F96" i="13" s="1"/>
  <c r="F105" i="13" s="1"/>
  <c r="F107" i="13" s="1"/>
  <c r="D40" i="13"/>
  <c r="C40" i="13"/>
  <c r="J36" i="13"/>
  <c r="I36" i="13"/>
  <c r="I63" i="13" s="1"/>
  <c r="I96" i="13" s="1"/>
  <c r="I105" i="13" s="1"/>
  <c r="I107" i="13" s="1"/>
  <c r="G36" i="13"/>
  <c r="G63" i="13" s="1"/>
  <c r="G96" i="13" s="1"/>
  <c r="G105" i="13" s="1"/>
  <c r="G107" i="13" s="1"/>
  <c r="D36" i="13"/>
  <c r="C36" i="13"/>
  <c r="J25" i="13"/>
  <c r="I25" i="13"/>
  <c r="I11" i="13"/>
  <c r="G25" i="13"/>
  <c r="D25" i="13"/>
  <c r="C25" i="13"/>
  <c r="J11" i="13"/>
  <c r="D11" i="13"/>
  <c r="D63" i="13" s="1"/>
  <c r="D96" i="13" s="1"/>
  <c r="D105" i="13" s="1"/>
  <c r="C11" i="13"/>
  <c r="C8" i="13"/>
  <c r="C63" i="13" s="1"/>
  <c r="C96" i="13" s="1"/>
  <c r="C105" i="13" s="1"/>
  <c r="C12" i="13"/>
  <c r="D8" i="13"/>
  <c r="T104" i="4"/>
  <c r="H104" i="13" s="1"/>
  <c r="R103" i="4"/>
  <c r="R102" i="4"/>
  <c r="R101" i="4"/>
  <c r="R100" i="4"/>
  <c r="R99" i="4"/>
  <c r="R98" i="4"/>
  <c r="S98" i="4" s="1"/>
  <c r="E98" i="13" s="1"/>
  <c r="R94" i="4"/>
  <c r="R93" i="4"/>
  <c r="R92" i="4"/>
  <c r="R91" i="4"/>
  <c r="R90" i="4"/>
  <c r="R89" i="4"/>
  <c r="S89" i="4" s="1"/>
  <c r="E89" i="13" s="1"/>
  <c r="R87" i="4"/>
  <c r="S87" i="4" s="1"/>
  <c r="R86" i="4"/>
  <c r="S86" i="4" s="1"/>
  <c r="S95" i="4" s="1"/>
  <c r="E95" i="13" s="1"/>
  <c r="R85" i="4"/>
  <c r="R84" i="4"/>
  <c r="R83" i="4"/>
  <c r="S83" i="4" s="1"/>
  <c r="E83" i="13" s="1"/>
  <c r="R82" i="4"/>
  <c r="S82" i="4" s="1"/>
  <c r="E82" i="13" s="1"/>
  <c r="R80" i="4"/>
  <c r="R73" i="4"/>
  <c r="R72" i="4"/>
  <c r="R69" i="4"/>
  <c r="R70" i="4"/>
  <c r="R71" i="4"/>
  <c r="R66" i="4"/>
  <c r="S66" i="4" s="1"/>
  <c r="E66" i="13" s="1"/>
  <c r="R65" i="4"/>
  <c r="R61" i="4"/>
  <c r="R60" i="4"/>
  <c r="R59" i="4"/>
  <c r="R58" i="4"/>
  <c r="R57" i="4"/>
  <c r="R56" i="4"/>
  <c r="R55" i="4"/>
  <c r="R52" i="4"/>
  <c r="S52" i="4" s="1"/>
  <c r="E52" i="13" s="1"/>
  <c r="R51" i="4"/>
  <c r="S51" i="4" s="1"/>
  <c r="E51" i="13" s="1"/>
  <c r="R50" i="4"/>
  <c r="R49" i="4"/>
  <c r="S49" i="4" s="1"/>
  <c r="E49" i="13" s="1"/>
  <c r="R48" i="4"/>
  <c r="S48" i="4" s="1"/>
  <c r="E48" i="13" s="1"/>
  <c r="R47" i="4"/>
  <c r="S47" i="4" s="1"/>
  <c r="E47" i="13" s="1"/>
  <c r="R46" i="4"/>
  <c r="R45" i="4"/>
  <c r="R44" i="4"/>
  <c r="S44" i="4" s="1"/>
  <c r="E44" i="13" s="1"/>
  <c r="R43" i="4"/>
  <c r="S43" i="4" s="1"/>
  <c r="E43" i="13" s="1"/>
  <c r="R41" i="4"/>
  <c r="S41" i="4" s="1"/>
  <c r="E41" i="13" s="1"/>
  <c r="R39" i="4"/>
  <c r="S39" i="4" s="1"/>
  <c r="E39" i="13" s="1"/>
  <c r="R38" i="4"/>
  <c r="S38" i="4" s="1"/>
  <c r="E38" i="13" s="1"/>
  <c r="R35" i="4"/>
  <c r="R34" i="4"/>
  <c r="S34" i="4" s="1"/>
  <c r="E34" i="13" s="1"/>
  <c r="R33" i="4"/>
  <c r="R32" i="4"/>
  <c r="S32" i="4" s="1"/>
  <c r="E32" i="13" s="1"/>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11" i="4" s="1"/>
  <c r="R7" i="4"/>
  <c r="R6" i="4"/>
  <c r="R5" i="4"/>
  <c r="R4" i="4"/>
  <c r="AD991" i="3"/>
  <c r="B5" i="11"/>
  <c r="B6" i="11"/>
  <c r="D6" i="11" s="1"/>
  <c r="B7" i="11"/>
  <c r="C9" i="11"/>
  <c r="B8" i="11"/>
  <c r="B10" i="11"/>
  <c r="B11" i="11"/>
  <c r="C10" i="11"/>
  <c r="C11" i="11"/>
  <c r="B14" i="11"/>
  <c r="C14" i="11"/>
  <c r="D14" i="11" s="1"/>
  <c r="B15" i="11"/>
  <c r="C15" i="11"/>
  <c r="B16" i="11"/>
  <c r="C16" i="11"/>
  <c r="D16" i="11" s="1"/>
  <c r="B18" i="11"/>
  <c r="C18" i="11"/>
  <c r="B19" i="11"/>
  <c r="C19" i="11"/>
  <c r="D19" i="11" s="1"/>
  <c r="B20" i="11"/>
  <c r="C20" i="11"/>
  <c r="B21" i="11"/>
  <c r="C21" i="11"/>
  <c r="D21" i="11"/>
  <c r="B22" i="11"/>
  <c r="B26" i="11" s="1"/>
  <c r="C22" i="11"/>
  <c r="B23" i="11"/>
  <c r="C23" i="11"/>
  <c r="B24" i="11"/>
  <c r="C24" i="11"/>
  <c r="D24" i="11" s="1"/>
  <c r="B25" i="11"/>
  <c r="C25" i="11"/>
  <c r="D25" i="11"/>
  <c r="B27" i="11"/>
  <c r="C27" i="11"/>
  <c r="D27" i="11"/>
  <c r="B29" i="11"/>
  <c r="B30" i="11"/>
  <c r="B31" i="11"/>
  <c r="B32" i="11"/>
  <c r="B33" i="11"/>
  <c r="D33" i="11" s="1"/>
  <c r="B34" i="11"/>
  <c r="B35" i="11"/>
  <c r="B36" i="11"/>
  <c r="C29" i="11"/>
  <c r="D29" i="11" s="1"/>
  <c r="C30" i="11"/>
  <c r="D30" i="11" s="1"/>
  <c r="C31" i="11"/>
  <c r="D31" i="11" s="1"/>
  <c r="C32" i="11"/>
  <c r="D32" i="11" s="1"/>
  <c r="C33" i="11"/>
  <c r="C34" i="11"/>
  <c r="D34" i="11" s="1"/>
  <c r="C35" i="11"/>
  <c r="D35" i="11" s="1"/>
  <c r="C36" i="11"/>
  <c r="D36" i="11"/>
  <c r="B39" i="11"/>
  <c r="C39" i="11"/>
  <c r="C40" i="11"/>
  <c r="B40" i="11"/>
  <c r="B41" i="11" s="1"/>
  <c r="B42" i="11"/>
  <c r="C42" i="11"/>
  <c r="D42" i="11" s="1"/>
  <c r="B44" i="11"/>
  <c r="C44" i="11"/>
  <c r="B45" i="11"/>
  <c r="D45" i="11" s="1"/>
  <c r="C45" i="11"/>
  <c r="B46" i="11"/>
  <c r="B47" i="11"/>
  <c r="B48" i="11"/>
  <c r="B49" i="11"/>
  <c r="D49" i="11" s="1"/>
  <c r="B50" i="11"/>
  <c r="B51" i="11"/>
  <c r="B52" i="11"/>
  <c r="B53" i="11"/>
  <c r="C46" i="11"/>
  <c r="C47" i="11"/>
  <c r="D47" i="11" s="1"/>
  <c r="C48" i="11"/>
  <c r="D48" i="11" s="1"/>
  <c r="C49" i="11"/>
  <c r="C50" i="11"/>
  <c r="D50" i="11" s="1"/>
  <c r="C51" i="11"/>
  <c r="D51" i="11" s="1"/>
  <c r="C52" i="11"/>
  <c r="D52" i="11" s="1"/>
  <c r="C53" i="11"/>
  <c r="D53" i="11" s="1"/>
  <c r="B56" i="11"/>
  <c r="C56" i="11"/>
  <c r="D56" i="11" s="1"/>
  <c r="B57" i="11"/>
  <c r="D57" i="11" s="1"/>
  <c r="C57" i="11"/>
  <c r="B58" i="11"/>
  <c r="C58" i="11"/>
  <c r="B59" i="11"/>
  <c r="C59" i="11"/>
  <c r="D59" i="11"/>
  <c r="B60" i="11"/>
  <c r="C60" i="11"/>
  <c r="B61" i="11"/>
  <c r="C61" i="11"/>
  <c r="B62" i="11"/>
  <c r="C62" i="11"/>
  <c r="B66" i="11"/>
  <c r="B67" i="11"/>
  <c r="B68" i="11" s="1"/>
  <c r="C66" i="11"/>
  <c r="D66" i="11"/>
  <c r="C67" i="11"/>
  <c r="C68" i="11" s="1"/>
  <c r="D68" i="11" s="1"/>
  <c r="B70" i="11"/>
  <c r="B75" i="11" s="1"/>
  <c r="C70" i="11"/>
  <c r="B71" i="11"/>
  <c r="C71" i="11"/>
  <c r="B72" i="11"/>
  <c r="C72" i="11"/>
  <c r="D72" i="11" s="1"/>
  <c r="B73" i="11"/>
  <c r="C73" i="11"/>
  <c r="D73" i="11" s="1"/>
  <c r="B74" i="11"/>
  <c r="C74" i="11"/>
  <c r="D74" i="11" s="1"/>
  <c r="B81" i="11"/>
  <c r="C81" i="11"/>
  <c r="D81" i="11" s="1"/>
  <c r="B82" i="11"/>
  <c r="C82" i="11"/>
  <c r="D82" i="11" s="1"/>
  <c r="C83" i="11"/>
  <c r="D83" i="11" s="1"/>
  <c r="C84" i="11"/>
  <c r="C85" i="11"/>
  <c r="D85" i="11" s="1"/>
  <c r="C86" i="11"/>
  <c r="C87" i="11"/>
  <c r="C88" i="11"/>
  <c r="D88" i="11" s="1"/>
  <c r="C89" i="11"/>
  <c r="D89" i="11" s="1"/>
  <c r="C90" i="11"/>
  <c r="C91" i="11"/>
  <c r="D91" i="11" s="1"/>
  <c r="C92" i="11"/>
  <c r="D92" i="11" s="1"/>
  <c r="C93" i="11"/>
  <c r="C94" i="11"/>
  <c r="C95" i="11"/>
  <c r="B83" i="11"/>
  <c r="B84" i="11"/>
  <c r="D84" i="11" s="1"/>
  <c r="B85" i="11"/>
  <c r="B86" i="11"/>
  <c r="D86" i="11"/>
  <c r="B87" i="11"/>
  <c r="D87" i="11"/>
  <c r="B88" i="11"/>
  <c r="B89" i="11"/>
  <c r="B90" i="11"/>
  <c r="B91" i="11"/>
  <c r="B92" i="11"/>
  <c r="B93" i="11"/>
  <c r="D93" i="11"/>
  <c r="B94" i="11"/>
  <c r="B95" i="11"/>
  <c r="D95" i="11" s="1"/>
  <c r="B99" i="11"/>
  <c r="C99" i="11"/>
  <c r="D99" i="11" s="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B53" i="13" s="1"/>
  <c r="C62" i="4"/>
  <c r="C74" i="4"/>
  <c r="B74" i="13" s="1"/>
  <c r="C95" i="4"/>
  <c r="B95" i="13" s="1"/>
  <c r="C104" i="4"/>
  <c r="B104" i="13" s="1"/>
  <c r="D8" i="4"/>
  <c r="D12" i="4" s="1"/>
  <c r="D11" i="4"/>
  <c r="D25" i="4"/>
  <c r="D36" i="4"/>
  <c r="D63" i="4" s="1"/>
  <c r="D96" i="4" s="1"/>
  <c r="D105" i="4" s="1"/>
  <c r="D40" i="4"/>
  <c r="D53" i="4"/>
  <c r="D62" i="4"/>
  <c r="D67" i="4"/>
  <c r="D74" i="4"/>
  <c r="D95" i="4"/>
  <c r="D104" i="4"/>
  <c r="AG630" i="3"/>
  <c r="AG632" i="3" s="1"/>
  <c r="S25" i="4"/>
  <c r="E25" i="13"/>
  <c r="S40" i="4"/>
  <c r="E40" i="13"/>
  <c r="S104" i="4"/>
  <c r="E104" i="13" s="1"/>
  <c r="F2" i="4"/>
  <c r="G2" i="4"/>
  <c r="H2" i="4"/>
  <c r="I2" i="4"/>
  <c r="J2" i="4"/>
  <c r="K2" i="4"/>
  <c r="L2" i="4"/>
  <c r="M2" i="4"/>
  <c r="N2" i="4"/>
  <c r="O2" i="4"/>
  <c r="P2" i="4"/>
  <c r="Q2" i="4"/>
  <c r="B4" i="4"/>
  <c r="B5" i="4"/>
  <c r="B6" i="4"/>
  <c r="B7" i="4"/>
  <c r="E8" i="4"/>
  <c r="F8" i="4"/>
  <c r="G8" i="4"/>
  <c r="G11" i="4"/>
  <c r="G12" i="4"/>
  <c r="H8" i="4"/>
  <c r="H12" i="4" s="1"/>
  <c r="H11" i="4"/>
  <c r="I8" i="4"/>
  <c r="I11" i="4"/>
  <c r="I12" i="4"/>
  <c r="J8" i="4"/>
  <c r="J63" i="4" s="1"/>
  <c r="J96" i="4" s="1"/>
  <c r="J105" i="4" s="1"/>
  <c r="J11" i="4"/>
  <c r="J25" i="4"/>
  <c r="J36" i="4"/>
  <c r="J40" i="4"/>
  <c r="J53" i="4"/>
  <c r="J62" i="4"/>
  <c r="J67" i="4"/>
  <c r="J74" i="4"/>
  <c r="J95" i="4"/>
  <c r="J104" i="4"/>
  <c r="K8" i="4"/>
  <c r="K11" i="4"/>
  <c r="K12" i="4"/>
  <c r="L8" i="4"/>
  <c r="L12" i="4" s="1"/>
  <c r="L11" i="4"/>
  <c r="M8" i="4"/>
  <c r="M11" i="4"/>
  <c r="M12" i="4" s="1"/>
  <c r="N8" i="4"/>
  <c r="N63" i="4" s="1"/>
  <c r="N96" i="4" s="1"/>
  <c r="N105" i="4" s="1"/>
  <c r="O8" i="4"/>
  <c r="O63" i="4" s="1"/>
  <c r="O96" i="4" s="1"/>
  <c r="O105" i="4" s="1"/>
  <c r="Q8" i="4"/>
  <c r="Q11" i="4"/>
  <c r="Q12" i="4" s="1"/>
  <c r="B9" i="4"/>
  <c r="B10" i="4"/>
  <c r="E11" i="4"/>
  <c r="F11" i="4"/>
  <c r="F63" i="4" s="1"/>
  <c r="F25" i="4"/>
  <c r="F36" i="4"/>
  <c r="F40" i="4"/>
  <c r="F53" i="4"/>
  <c r="F62" i="4"/>
  <c r="F12" i="4"/>
  <c r="N11" i="4"/>
  <c r="N12" i="4"/>
  <c r="O11" i="4"/>
  <c r="O12" i="4"/>
  <c r="B13" i="4"/>
  <c r="B14" i="4"/>
  <c r="B15" i="4"/>
  <c r="B17" i="4"/>
  <c r="B18" i="4"/>
  <c r="B19" i="4"/>
  <c r="B20" i="4"/>
  <c r="B21" i="4"/>
  <c r="B22" i="4"/>
  <c r="B23" i="4"/>
  <c r="B24" i="4"/>
  <c r="E25" i="4"/>
  <c r="G25" i="4"/>
  <c r="H25" i="4"/>
  <c r="I25" i="4"/>
  <c r="I36" i="4"/>
  <c r="I40" i="4"/>
  <c r="I63" i="4" s="1"/>
  <c r="I96" i="4" s="1"/>
  <c r="I105" i="4" s="1"/>
  <c r="I53" i="4"/>
  <c r="I62" i="4"/>
  <c r="K25" i="4"/>
  <c r="L25" i="4"/>
  <c r="M25" i="4"/>
  <c r="M63" i="4" s="1"/>
  <c r="M96" i="4" s="1"/>
  <c r="M105" i="4" s="1"/>
  <c r="M36" i="4"/>
  <c r="M40" i="4"/>
  <c r="M53" i="4"/>
  <c r="M62" i="4"/>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G63" i="4" s="1"/>
  <c r="G96" i="4" s="1"/>
  <c r="G105" i="4" s="1"/>
  <c r="H36" i="4"/>
  <c r="K36" i="4"/>
  <c r="L36" i="4"/>
  <c r="O36" i="4"/>
  <c r="P36" i="4"/>
  <c r="P40" i="4"/>
  <c r="P53" i="4"/>
  <c r="P62" i="4"/>
  <c r="P67" i="4"/>
  <c r="P74" i="4"/>
  <c r="P95" i="4"/>
  <c r="P104" i="4"/>
  <c r="Q36" i="4"/>
  <c r="B38" i="4"/>
  <c r="B39" i="4"/>
  <c r="E40" i="4"/>
  <c r="G40" i="4"/>
  <c r="H40" i="4"/>
  <c r="K40" i="4"/>
  <c r="K63" i="4" s="1"/>
  <c r="K96" i="4" s="1"/>
  <c r="K105" i="4" s="1"/>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s="1"/>
  <c r="Y712" i="3"/>
  <c r="Y713" i="3"/>
  <c r="AI713" i="3"/>
  <c r="Y714" i="3"/>
  <c r="AI714" i="3"/>
  <c r="Y715" i="3"/>
  <c r="AI715" i="3" s="1"/>
  <c r="Y716" i="3"/>
  <c r="AI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D58" i="11"/>
  <c r="D23" i="11"/>
  <c r="D94" i="11"/>
  <c r="D67" i="11"/>
  <c r="D15" i="11"/>
  <c r="D71" i="11"/>
  <c r="D18" i="11"/>
  <c r="D102" i="11"/>
  <c r="D60" i="11"/>
  <c r="D8" i="11"/>
  <c r="D61" i="11"/>
  <c r="D10" i="11"/>
  <c r="D101" i="11"/>
  <c r="D90" i="11"/>
  <c r="AG432" i="3"/>
  <c r="AI27" i="15" s="1"/>
  <c r="B63" i="11"/>
  <c r="D100" i="11"/>
  <c r="L63" i="4"/>
  <c r="L96" i="4" s="1"/>
  <c r="L105" i="4" s="1"/>
  <c r="D46" i="11"/>
  <c r="D12" i="13"/>
  <c r="J12" i="4"/>
  <c r="C37" i="11"/>
  <c r="D20" i="11"/>
  <c r="D5" i="11"/>
  <c r="B11" i="13"/>
  <c r="R53" i="4" l="1"/>
  <c r="S50" i="4"/>
  <c r="H63" i="4"/>
  <c r="H96" i="4" s="1"/>
  <c r="H105" i="4" s="1"/>
  <c r="C105" i="11"/>
  <c r="R25" i="4"/>
  <c r="D40" i="11"/>
  <c r="D62" i="11"/>
  <c r="C12" i="11"/>
  <c r="C13" i="11" s="1"/>
  <c r="B25" i="4"/>
  <c r="R62" i="4"/>
  <c r="R63" i="4" s="1"/>
  <c r="B12" i="11"/>
  <c r="B13" i="11" s="1"/>
  <c r="D13" i="11" s="1"/>
  <c r="S67" i="4"/>
  <c r="E67" i="13" s="1"/>
  <c r="D70" i="11"/>
  <c r="B9" i="11"/>
  <c r="B79" i="11"/>
  <c r="B62" i="4"/>
  <c r="M38" i="7"/>
  <c r="B37" i="11"/>
  <c r="D22" i="11"/>
  <c r="D78" i="11"/>
  <c r="R74" i="4"/>
  <c r="C75" i="11"/>
  <c r="D75" i="11" s="1"/>
  <c r="R67" i="4"/>
  <c r="B67" i="4"/>
  <c r="S36" i="4"/>
  <c r="E36" i="13" s="1"/>
  <c r="D9" i="11"/>
  <c r="R104" i="4"/>
  <c r="B105" i="11"/>
  <c r="C96" i="11"/>
  <c r="R95" i="4"/>
  <c r="D79" i="11"/>
  <c r="D77" i="11"/>
  <c r="B78" i="13"/>
  <c r="B62" i="13"/>
  <c r="C63" i="11"/>
  <c r="D63" i="11" s="1"/>
  <c r="B54" i="11"/>
  <c r="D54" i="11" s="1"/>
  <c r="C54" i="11"/>
  <c r="B53" i="4"/>
  <c r="D44" i="11"/>
  <c r="R40" i="4"/>
  <c r="C41" i="11"/>
  <c r="D41" i="11" s="1"/>
  <c r="B40" i="4"/>
  <c r="D39" i="11"/>
  <c r="R36" i="4"/>
  <c r="F96" i="4"/>
  <c r="D37" i="11"/>
  <c r="B36" i="4"/>
  <c r="R8" i="4"/>
  <c r="D7" i="11"/>
  <c r="B8" i="4"/>
  <c r="B12" i="4" s="1"/>
  <c r="R12" i="4"/>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F105" i="4"/>
  <c r="B96" i="11"/>
  <c r="D96" i="11" s="1"/>
  <c r="B95" i="4"/>
  <c r="T63" i="4"/>
  <c r="T96" i="4" s="1"/>
  <c r="D11" i="11"/>
  <c r="C12" i="4"/>
  <c r="B12" i="13" s="1"/>
  <c r="B64" i="11" l="1"/>
  <c r="B97" i="11" s="1"/>
  <c r="B106" i="11" s="1"/>
  <c r="D12" i="11"/>
  <c r="S53" i="4"/>
  <c r="E53" i="13" s="1"/>
  <c r="E50" i="13"/>
  <c r="R96" i="4"/>
  <c r="R105" i="4" s="1"/>
  <c r="S63" i="4"/>
  <c r="E63" i="13" s="1"/>
  <c r="S96" i="4"/>
  <c r="E96" i="13" s="1"/>
  <c r="B63" i="4"/>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996" i="3" l="1"/>
  <c r="AD1004" i="3" s="1"/>
  <c r="AD965" i="3"/>
  <c r="AQ879" i="3" s="1"/>
  <c r="AD988" i="3"/>
  <c r="AD11" i="15"/>
  <c r="AD23" i="15" s="1"/>
  <c r="AD26" i="15" s="1"/>
  <c r="AD28" i="15" s="1"/>
  <c r="AI11" i="15"/>
  <c r="AI23" i="15" s="1"/>
  <c r="AI26" i="15" s="1"/>
  <c r="AI28" i="15" s="1"/>
  <c r="E105" i="1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AM826" i="3" l="1"/>
  <c r="AM829" i="3"/>
  <c r="AQ885" i="3"/>
  <c r="AQ888" i="3" s="1"/>
  <c r="B1012" i="3" s="1"/>
  <c r="AQ886" i="3"/>
  <c r="E59" i="7"/>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AM834" i="3" l="1"/>
  <c r="G56" i="7"/>
  <c r="G59" i="7"/>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K59" i="7" l="1"/>
  <c r="K56" i="7"/>
  <c r="I59" i="7"/>
  <c r="I56" i="7"/>
  <c r="M27" i="3"/>
  <c r="P204" i="3" s="1"/>
  <c r="P203" i="3" s="1"/>
  <c r="AB86" i="15"/>
  <c r="AB78" i="15"/>
  <c r="AB80" i="15" s="1"/>
  <c r="J81" i="15" s="1"/>
  <c r="Q5" i="7"/>
  <c r="O40" i="7"/>
  <c r="O44" i="7"/>
  <c r="W21" i="7"/>
  <c r="W30" i="7" s="1"/>
  <c r="Y14" i="7"/>
  <c r="W8" i="7"/>
  <c r="U9" i="7"/>
  <c r="M43" i="7"/>
  <c r="M42" i="7"/>
  <c r="M54" i="7"/>
  <c r="U4" i="7"/>
  <c r="S5" i="7"/>
  <c r="Q7" i="7"/>
  <c r="S6" i="7"/>
  <c r="M56" i="7" l="1"/>
  <c r="M59" i="7"/>
  <c r="Q10" i="7"/>
  <c r="Q32" i="7" s="1"/>
  <c r="Q44" i="7" s="1"/>
  <c r="W4" i="7"/>
  <c r="U5" i="7"/>
  <c r="Y8" i="7"/>
  <c r="W9" i="7"/>
  <c r="Y21" i="7"/>
  <c r="Y30" i="7" s="1"/>
  <c r="AA14" i="7"/>
  <c r="S7" i="7"/>
  <c r="S10" i="7" s="1"/>
  <c r="S32" i="7" s="1"/>
  <c r="U6" i="7"/>
  <c r="O54" i="7"/>
  <c r="O42" i="7"/>
  <c r="O43" i="7"/>
  <c r="O56" i="7" l="1"/>
  <c r="O59" i="7"/>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S56" i="7" l="1"/>
  <c r="S59" i="7"/>
  <c r="Q59" i="7"/>
  <c r="Q56" i="7"/>
  <c r="AA6" i="7"/>
  <c r="Y7" i="7"/>
  <c r="Y10" i="7" s="1"/>
  <c r="Y32" i="7" s="1"/>
  <c r="AE8" i="7"/>
  <c r="AC9" i="7"/>
  <c r="AC4" i="7"/>
  <c r="AA5" i="7"/>
  <c r="W44" i="7"/>
  <c r="W40" i="7"/>
  <c r="AG14" i="7"/>
  <c r="AG21" i="7" s="1"/>
  <c r="AG30" i="7" s="1"/>
  <c r="AE21" i="7"/>
  <c r="AE30" i="7" s="1"/>
  <c r="U43" i="7"/>
  <c r="U42" i="7"/>
  <c r="U54" i="7"/>
  <c r="U56" i="7" l="1"/>
  <c r="U59" i="7"/>
  <c r="W42" i="7"/>
  <c r="W54" i="7"/>
  <c r="W43" i="7"/>
  <c r="Y40" i="7"/>
  <c r="Y44" i="7"/>
  <c r="AE4" i="7"/>
  <c r="AC5" i="7"/>
  <c r="AE9" i="7"/>
  <c r="AG8" i="7"/>
  <c r="AG9" i="7" s="1"/>
  <c r="AA7" i="7"/>
  <c r="AA10" i="7" s="1"/>
  <c r="AA32" i="7" s="1"/>
  <c r="AC6" i="7"/>
  <c r="W56" i="7" l="1"/>
  <c r="W59" i="7"/>
  <c r="AA44" i="7"/>
  <c r="AA40" i="7"/>
  <c r="AE5" i="7"/>
  <c r="AG4" i="7"/>
  <c r="Y43" i="7"/>
  <c r="Y42" i="7"/>
  <c r="Y54" i="7"/>
  <c r="AC7" i="7"/>
  <c r="AC10" i="7" s="1"/>
  <c r="AC32" i="7" s="1"/>
  <c r="AE6" i="7"/>
  <c r="Y59" i="7" l="1"/>
  <c r="Y56" i="7"/>
  <c r="AE7" i="7"/>
  <c r="AE10" i="7" s="1"/>
  <c r="AE32" i="7" s="1"/>
  <c r="AG6" i="7"/>
  <c r="AG7" i="7" s="1"/>
  <c r="AC40" i="7"/>
  <c r="AC44" i="7"/>
  <c r="AG5" i="7"/>
  <c r="AA42" i="7"/>
  <c r="AA43" i="7"/>
  <c r="AA54" i="7"/>
  <c r="AA59" i="7" l="1"/>
  <c r="AA56" i="7"/>
  <c r="AG10" i="7"/>
  <c r="AG32" i="7" s="1"/>
  <c r="AG44" i="7" s="1"/>
  <c r="AE44" i="7"/>
  <c r="AE40" i="7"/>
  <c r="AC42" i="7"/>
  <c r="AC54" i="7"/>
  <c r="AC43" i="7"/>
  <c r="AC56" i="7" l="1"/>
  <c r="AC59" i="7"/>
  <c r="AG40" i="7"/>
  <c r="AG42" i="7" s="1"/>
  <c r="AE54" i="7"/>
  <c r="AE42" i="7"/>
  <c r="AE43" i="7"/>
  <c r="AE56" i="7" l="1"/>
  <c r="AE59" i="7"/>
  <c r="AG54" i="7"/>
  <c r="AG43" i="7"/>
  <c r="AG59" i="7" l="1"/>
  <c r="AG56"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<sst xmlns="http://schemas.openxmlformats.org/spreadsheetml/2006/main" count="3695" uniqueCount="1800">
  <si>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</si>
  <si>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</si>
  <si>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</si>
  <si>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</si>
  <si>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</si>
  <si>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</si>
  <si>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</si>
  <si>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</si>
  <si>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</si>
  <si>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</si>
  <si>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</si>
  <si>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</si>
  <si>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</si>
  <si>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</si>
  <si>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</si>
  <si>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</si>
  <si>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</si>
  <si>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</si>
  <si>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</si>
  <si>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</si>
  <si>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</si>
  <si>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</si>
  <si>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</si>
  <si>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</si>
  <si>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</si>
  <si>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</si>
  <si>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</si>
  <si>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</si>
  <si>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</si>
  <si>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</si>
  <si>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</si>
  <si>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</si>
  <si>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</si>
  <si>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</si>
  <si>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</si>
  <si>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</si>
  <si>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</si>
  <si>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</si>
  <si>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</si>
  <si>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</si>
  <si>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</si>
  <si>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</si>
  <si>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</si>
  <si>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</si>
  <si>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</si>
  <si>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</si>
  <si>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</si>
  <si>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</si>
  <si>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</si>
  <si>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</si>
  <si>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</si>
  <si>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</si>
  <si>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</si>
  <si>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</si>
  <si>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</si>
  <si>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</si>
  <si>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</si>
  <si>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</si>
  <si>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</si>
  <si>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</si>
  <si>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</si>
  <si>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</si>
  <si>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</si>
  <si>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</si>
  <si>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</si>
  <si>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</si>
  <si>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</si>
  <si>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</si>
  <si>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</si>
  <si>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</si>
  <si>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</si>
  <si>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</si>
  <si>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</si>
  <si>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</si>
  <si>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</si>
  <si>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</si>
  <si>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</si>
  <si>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</si>
  <si>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</si>
  <si>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</si>
  <si>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</si>
  <si>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</si>
  <si>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</si>
  <si>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</si>
  <si>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</si>
  <si>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</si>
  <si>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</si>
  <si>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</si>
  <si>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</si>
  <si>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</si>
  <si>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</si>
  <si>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</si>
  <si>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</si>
  <si>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</si>
  <si>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</si>
  <si>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</si>
  <si>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</si>
  <si>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</si>
  <si>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</si>
  <si>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</si>
  <si>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</si>
  <si>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</si>
  <si>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</si>
  <si>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</si>
  <si>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</si>
  <si>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</si>
  <si>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</si>
  <si>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</si>
  <si>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</si>
  <si>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</si>
  <si>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</si>
  <si>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</si>
  <si>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</si>
  <si>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</si>
  <si>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</si>
  <si>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</si>
  <si>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</si>
  <si>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</si>
  <si>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</si>
  <si>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</si>
  <si>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</si>
  <si>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</si>
  <si>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</si>
  <si>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</si>
  <si>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</si>
  <si>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</si>
  <si>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</si>
  <si>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</si>
  <si>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</si>
  <si>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</si>
  <si>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</si>
  <si>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</si>
  <si>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</si>
  <si>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</si>
  <si>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</si>
  <si>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</si>
  <si>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</si>
  <si>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</si>
  <si>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</si>
  <si>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</si>
  <si>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</si>
  <si>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</si>
  <si>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</si>
  <si>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</si>
  <si>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</si>
  <si>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</si>
  <si>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</si>
  <si>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</si>
  <si>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</si>
  <si>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</si>
  <si>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</si>
  <si>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</si>
  <si>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</si>
  <si>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</si>
  <si>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</si>
  <si>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</si>
  <si>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</si>
  <si>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</si>
  <si>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</si>
  <si>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</si>
  <si>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</si>
  <si>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</si>
  <si>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</si>
  <si>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</si>
  <si>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</si>
  <si>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</si>
  <si>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</si>
  <si>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</si>
  <si>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</si>
  <si>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</si>
  <si>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</si>
  <si>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</si>
  <si>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</si>
  <si>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</si>
  <si>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</si>
  <si>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</si>
  <si>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</si>
  <si>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</si>
  <si>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</si>
  <si>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</si>
  <si>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</si>
  <si>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</si>
  <si>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</si>
  <si>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</si>
  <si>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</si>
  <si>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</si>
  <si>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</si>
  <si>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</si>
  <si>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</si>
  <si>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</si>
  <si>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</si>
  <si>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</si>
  <si>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</si>
  <si>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</si>
  <si>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</si>
  <si>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</si>
  <si>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</si>
  <si>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</si>
  <si>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</si>
  <si>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</si>
  <si>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</si>
  <si>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</si>
  <si>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</si>
  <si>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</si>
  <si>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</si>
  <si>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</si>
  <si>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</si>
  <si>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</si>
  <si>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</si>
  <si>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</si>
  <si>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</si>
  <si>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</si>
  <si>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</si>
  <si>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</si>
  <si>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</si>
  <si>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</si>
  <si>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</si>
  <si>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</si>
  <si>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</si>
  <si>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</si>
  <si>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</si>
  <si>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</si>
  <si>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</si>
  <si>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</si>
  <si>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</si>
  <si>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</si>
  <si>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</si>
  <si>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</si>
  <si>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</si>
  <si>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</si>
  <si>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</si>
  <si>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</si>
  <si>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</si>
  <si>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</si>
  <si>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</si>
  <si>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</si>
  <si>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</si>
  <si>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</si>
  <si>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</si>
  <si>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</si>
  <si>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</si>
  <si>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</si>
  <si>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</si>
  <si>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</si>
  <si>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</si>
  <si>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</si>
  <si>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</si>
  <si>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</si>
  <si>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</si>
  <si>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</si>
  <si>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</si>
  <si>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</si>
  <si>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</si>
  <si>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</si>
  <si>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</si>
  <si>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</si>
  <si>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</si>
  <si>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</si>
  <si>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</si>
  <si>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</si>
  <si>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</si>
  <si>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</si>
  <si>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</si>
  <si>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</si>
  <si>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</si>
  <si>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</si>
  <si>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</si>
  <si>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</si>
  <si>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</si>
  <si>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</si>
  <si>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</si>
  <si>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</si>
  <si>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</si>
  <si>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</si>
  <si>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</si>
  <si>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</si>
  <si>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</si>
  <si>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</si>
  <si>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</si>
  <si>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</si>
  <si>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</si>
  <si>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</si>
  <si>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</si>
  <si>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</si>
  <si>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</si>
  <si>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</si>
  <si>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</si>
  <si>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</si>
  <si>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</si>
  <si>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</si>
  <si>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</si>
  <si>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</si>
  <si>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</si>
  <si>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</si>
  <si>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</si>
  <si>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</si>
  <si>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</si>
  <si>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</si>
  <si>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</si>
  <si>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</si>
  <si>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</si>
  <si>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</si>
  <si>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</si>
  <si>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</si>
  <si>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</si>
  <si>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</si>
  <si>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</si>
  <si>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</si>
  <si>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</si>
  <si>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</si>
  <si>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</si>
  <si>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</si>
  <si>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</si>
  <si>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</si>
  <si>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</si>
  <si>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</si>
  <si>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</si>
  <si>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</si>
  <si>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</si>
  <si>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</si>
  <si>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</si>
  <si>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</si>
  <si>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</si>
  <si>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</si>
  <si>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</si>
  <si>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</si>
  <si>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</si>
  <si>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</si>
  <si>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</si>
  <si>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</si>
  <si>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</si>
  <si>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</si>
  <si>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</si>
  <si>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</si>
  <si>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</si>
  <si>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</si>
  <si>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</si>
  <si>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</si>
  <si>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</si>
  <si>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</si>
  <si>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</si>
  <si>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</si>
  <si>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</si>
  <si>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</si>
  <si>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</si>
  <si>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</si>
  <si>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</si>
  <si>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</si>
  <si>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</si>
  <si>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</si>
  <si>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</si>
  <si>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</si>
  <si>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</si>
  <si>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</si>
  <si>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</si>
  <si>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</si>
  <si>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</si>
  <si>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</si>
  <si>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</si>
  <si>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</si>
  <si>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</si>
  <si>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</si>
  <si>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</si>
  <si>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</si>
  <si>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</si>
  <si>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</si>
  <si>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</si>
  <si>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</si>
  <si>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</si>
  <si>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</si>
  <si>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</si>
  <si>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</si>
  <si>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</si>
  <si>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</si>
  <si>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</si>
  <si>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</si>
  <si>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</si>
  <si>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</si>
  <si>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</si>
  <si>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</si>
  <si>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</si>
  <si>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</si>
  <si>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</si>
  <si>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</si>
  <si>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</si>
  <si>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</si>
  <si>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</si>
  <si>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</si>
  <si>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</si>
  <si>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</si>
  <si>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</si>
  <si>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</si>
  <si>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</si>
  <si>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</si>
  <si>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</si>
  <si>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</si>
  <si>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</si>
  <si>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</si>
  <si>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</si>
  <si>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</si>
  <si>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</si>
  <si>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</si>
  <si>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</si>
  <si>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</si>
  <si>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</si>
  <si>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</si>
  <si>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</si>
  <si>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</si>
  <si>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</si>
  <si>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</si>
  <si>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</si>
  <si>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</si>
  <si>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</si>
  <si>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</si>
  <si>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</si>
  <si>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</si>
  <si>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</si>
  <si>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</si>
  <si>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</si>
  <si>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</si>
  <si>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</si>
  <si>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</si>
  <si>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</si>
  <si>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</si>
  <si>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</si>
  <si>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</si>
  <si>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</si>
  <si>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</si>
  <si>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</si>
  <si>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</si>
  <si>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</si>
  <si>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</si>
  <si>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</si>
  <si>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</si>
  <si>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</si>
  <si>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</si>
  <si>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</si>
  <si>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</si>
  <si>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</si>
  <si>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</si>
  <si>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</si>
  <si>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</si>
  <si>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</si>
  <si>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</si>
  <si>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</si>
  <si>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</si>
  <si>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</si>
  <si>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</si>
  <si>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</si>
  <si>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</si>
  <si>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</si>
  <si>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</si>
  <si>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</si>
  <si>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</si>
  <si>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</si>
  <si>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</si>
  <si>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</si>
  <si>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</si>
  <si>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</si>
  <si>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</si>
  <si>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</si>
  <si>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</si>
  <si>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</si>
  <si>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</si>
  <si>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</si>
  <si>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</si>
  <si>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</si>
  <si>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</si>
  <si>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</si>
  <si>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</si>
  <si>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</si>
  <si>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</si>
  <si>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</si>
  <si>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</si>
  <si>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</si>
  <si>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</si>
  <si>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</si>
  <si>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</si>
  <si>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</si>
  <si>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</si>
  <si>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</si>
  <si>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</si>
  <si>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</si>
  <si>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</si>
  <si>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</si>
  <si>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</si>
  <si>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</si>
  <si>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</si>
  <si>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</si>
  <si>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</si>
  <si>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</si>
  <si>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</si>
  <si>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</si>
  <si>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</si>
  <si>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</si>
  <si>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</si>
  <si>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</si>
  <si>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</si>
  <si>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</si>
  <si>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</si>
  <si>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</si>
  <si>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</si>
  <si>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</si>
  <si>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</si>
  <si>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</si>
  <si>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</si>
  <si>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</si>
  <si>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</si>
  <si>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</si>
  <si>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</si>
  <si>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</si>
  <si>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</si>
  <si>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</si>
  <si>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</si>
  <si>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</si>
  <si>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</si>
  <si>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</si>
  <si>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</si>
  <si>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</si>
  <si>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</si>
  <si>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</si>
  <si>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</si>
  <si>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</si>
  <si>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</si>
  <si>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</si>
  <si>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</si>
  <si>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</si>
  <si>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</si>
  <si>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</si>
  <si>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</si>
  <si>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</si>
  <si>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</si>
  <si>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</si>
  <si>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</si>
  <si>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</si>
  <si>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</si>
  <si>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</si>
  <si>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</si>
  <si>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</si>
  <si>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</si>
  <si>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</si>
  <si>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</si>
  <si>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</si>
  <si>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</si>
  <si>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</si>
  <si>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</si>
  <si>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</si>
  <si>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</si>
  <si>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</si>
  <si>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</si>
  <si>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</si>
  <si>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</si>
  <si>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</si>
  <si>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</si>
  <si>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</si>
  <si>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</si>
  <si>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</si>
  <si>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</si>
  <si>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</si>
  <si>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</si>
  <si>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</si>
  <si>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</si>
  <si>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</si>
  <si>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</si>
  <si>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</si>
  <si>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</si>
  <si>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</si>
  <si>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</si>
  <si>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</si>
  <si>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</si>
  <si>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</si>
  <si>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</si>
  <si>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</si>
  <si>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</si>
  <si>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</si>
  <si>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</si>
  <si>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</si>
  <si>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</si>
  <si>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</si>
  <si>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</si>
  <si>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</si>
  <si>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</si>
  <si>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</si>
  <si>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</si>
  <si>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</si>
  <si>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</si>
  <si>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</si>
  <si>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</si>
  <si>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</si>
  <si>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</si>
  <si>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</si>
  <si>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</si>
  <si>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</si>
  <si>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</si>
  <si>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</si>
  <si>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</si>
  <si>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</si>
  <si>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</si>
  <si>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</si>
  <si>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</si>
  <si>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</si>
  <si>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</si>
  <si>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</si>
  <si>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</si>
  <si>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</si>
  <si>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</si>
  <si>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</si>
  <si>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</si>
  <si>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</si>
  <si>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</si>
  <si>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</si>
  <si>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</si>
  <si>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</si>
  <si>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</si>
  <si>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</si>
  <si>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</si>
  <si>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</si>
  <si>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</si>
  <si>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</si>
  <si>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</si>
  <si>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</si>
  <si>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</si>
  <si>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</si>
  <si>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</si>
  <si>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</si>
  <si>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</si>
  <si>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</si>
  <si>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</si>
  <si>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</si>
  <si>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</si>
  <si>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</si>
  <si>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</si>
  <si>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</si>
  <si>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</si>
  <si>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</si>
  <si>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</si>
  <si>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</si>
  <si>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</si>
  <si>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</si>
  <si>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</si>
  <si>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</si>
  <si>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</si>
  <si>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</si>
  <si>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</si>
  <si>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</si>
  <si>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</si>
  <si>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</si>
  <si>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</si>
  <si>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</si>
  <si>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</si>
  <si>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</si>
  <si>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</si>
  <si>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</si>
  <si>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</si>
  <si>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</si>
  <si>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</si>
  <si>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</si>
  <si>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</si>
  <si>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</si>
  <si>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</si>
  <si>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</si>
  <si>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</si>
  <si>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</si>
  <si>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</si>
  <si>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</si>
  <si>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</si>
  <si>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</si>
  <si>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</si>
  <si>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</si>
  <si>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</si>
  <si>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</si>
  <si>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</si>
  <si>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</si>
  <si>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</si>
  <si>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</si>
  <si>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</si>
  <si>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</si>
  <si>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</si>
  <si>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</si>
  <si>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</si>
  <si>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</si>
  <si>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</si>
  <si>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</si>
  <si>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</si>
  <si>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</si>
  <si>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</si>
  <si>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</si>
  <si>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</si>
  <si>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</si>
  <si>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</si>
  <si>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</si>
  <si>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</si>
  <si>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</si>
  <si>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</si>
  <si>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</si>
  <si>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</si>
  <si>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</si>
  <si>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</si>
  <si>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</si>
  <si>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</si>
  <si>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</si>
  <si>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</si>
  <si>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</si>
  <si>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</si>
  <si>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</si>
  <si>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</si>
  <si>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</si>
  <si>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</si>
  <si>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</si>
  <si>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</si>
  <si>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</si>
  <si>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</si>
  <si>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</si>
  <si>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</si>
  <si>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</si>
  <si>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</si>
  <si>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</si>
  <si>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</si>
  <si>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</si>
  <si>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</si>
  <si>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</si>
  <si>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</si>
  <si>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</si>
  <si>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</si>
  <si>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</si>
  <si>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</si>
  <si>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</si>
  <si>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</si>
  <si>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</si>
  <si>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</si>
  <si>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</si>
  <si>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</si>
  <si>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</si>
  <si>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</si>
  <si>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</si>
  <si>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</si>
  <si>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</si>
  <si>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</si>
  <si>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</si>
  <si>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</si>
  <si>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</si>
  <si>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</si>
  <si>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</si>
  <si>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</si>
  <si>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</si>
  <si>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</si>
  <si>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</si>
  <si>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</si>
  <si>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</si>
  <si>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</si>
  <si>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</si>
  <si>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</si>
  <si>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</si>
  <si>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</si>
  <si>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</si>
  <si>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</si>
  <si>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</si>
  <si>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</si>
  <si>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</si>
  <si>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</si>
  <si>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</si>
  <si>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</si>
  <si>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</si>
  <si>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</si>
  <si>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</si>
  <si>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</si>
  <si>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</si>
  <si>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</si>
  <si>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</si>
  <si>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</si>
  <si>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</si>
  <si>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</si>
  <si>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</si>
  <si>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</si>
  <si>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</si>
  <si>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</si>
  <si>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</si>
  <si>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</si>
  <si>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</si>
  <si>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</si>
  <si>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</si>
  <si>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</si>
  <si>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</si>
  <si>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</si>
  <si>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</si>
  <si>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</si>
  <si>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</si>
  <si>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</si>
  <si>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</si>
  <si>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</si>
  <si>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</si>
  <si>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</si>
  <si>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</si>
  <si>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</si>
  <si>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</si>
  <si>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</si>
  <si>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</si>
  <si>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</si>
  <si>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</si>
  <si>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</si>
  <si>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</si>
  <si>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</si>
  <si>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</si>
  <si>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</si>
  <si>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</si>
  <si>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</si>
  <si>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</si>
  <si>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</si>
  <si>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</si>
  <si>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</si>
  <si>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</si>
  <si>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</si>
  <si>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</si>
  <si>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</si>
  <si>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</si>
  <si>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</si>
  <si>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</si>
  <si>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</si>
  <si>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</si>
  <si>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</si>
  <si>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</si>
  <si>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</si>
  <si>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</si>
  <si>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</si>
  <si>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</si>
  <si>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</si>
  <si>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</si>
  <si>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</si>
  <si>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</si>
  <si>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</si>
  <si>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</si>
  <si>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</si>
  <si>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</si>
  <si>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</si>
  <si>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</si>
  <si>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</si>
  <si>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</si>
  <si>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</si>
  <si>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</si>
  <si>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</si>
  <si>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</si>
  <si>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</si>
  <si>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</si>
  <si>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</si>
  <si>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</si>
  <si>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</si>
  <si>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</si>
  <si>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</si>
  <si>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</si>
  <si>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</si>
  <si>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</si>
  <si>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</si>
  <si>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</si>
  <si>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</si>
  <si>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</si>
  <si>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</si>
  <si>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</si>
  <si>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</si>
  <si>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</si>
  <si>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</si>
  <si>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</si>
  <si>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</si>
  <si>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</si>
  <si>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</si>
  <si>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</si>
  <si>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</si>
  <si>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</si>
  <si>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</si>
  <si>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</si>
  <si>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</si>
  <si>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</si>
  <si>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</si>
  <si>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</si>
  <si>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</si>
  <si>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</si>
  <si>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</si>
  <si>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</si>
  <si>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</si>
  <si>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</si>
  <si>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</si>
  <si>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</si>
  <si>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</si>
  <si>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</si>
  <si>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</si>
  <si>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</si>
  <si>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</si>
  <si>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</si>
  <si>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</si>
  <si>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</si>
  <si>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</si>
  <si>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</si>
  <si>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</si>
  <si>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</si>
  <si>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</si>
  <si>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</si>
  <si>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</si>
  <si>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</si>
  <si>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</si>
  <si>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</si>
  <si>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</si>
  <si>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</si>
  <si>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</si>
  <si>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</si>
  <si>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</si>
  <si>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</si>
  <si>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</si>
  <si>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</si>
  <si>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</si>
  <si>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</si>
  <si>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</si>
  <si>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</si>
  <si>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</si>
  <si>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</si>
  <si>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</si>
  <si>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</si>
  <si>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</si>
  <si>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</si>
  <si>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</si>
  <si>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</si>
  <si>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</si>
  <si>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</si>
  <si>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</si>
  <si>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</si>
  <si>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</si>
  <si>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</si>
  <si>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</si>
  <si>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</si>
  <si>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</si>
  <si>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</si>
  <si>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</si>
  <si>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</si>
  <si>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</si>
  <si>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</si>
  <si>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</si>
  <si>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</si>
  <si>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</si>
  <si>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</si>
  <si>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</si>
  <si>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</si>
  <si>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</si>
  <si>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</si>
  <si>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</si>
  <si>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</si>
  <si>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</si>
  <si>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</si>
  <si>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</si>
  <si>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</si>
  <si>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</si>
  <si>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</si>
  <si>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</si>
  <si>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</si>
  <si>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</si>
  <si>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</si>
  <si>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</si>
  <si>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</si>
  <si>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</si>
  <si>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</si>
  <si>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</si>
  <si>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</si>
  <si>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</si>
  <si>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</si>
  <si>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</si>
  <si>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</si>
  <si>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</si>
  <si>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</si>
  <si>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</si>
  <si>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</si>
  <si>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</si>
  <si>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</si>
  <si>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</si>
  <si>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</si>
  <si>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</si>
  <si>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</si>
  <si>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</si>
  <si>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</si>
  <si>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</si>
  <si>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</si>
  <si>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</si>
  <si>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</si>
  <si>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</si>
  <si>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</si>
  <si>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</si>
  <si>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</si>
  <si>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</si>
  <si>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</si>
  <si>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</si>
  <si>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</si>
  <si>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</si>
  <si>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</si>
  <si>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</si>
  <si>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</si>
  <si>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</si>
  <si>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</si>
  <si>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</si>
  <si>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</si>
  <si>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</si>
  <si>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</si>
  <si>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</si>
  <si>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</si>
  <si>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</si>
  <si>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</si>
  <si>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</si>
  <si>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</si>
  <si>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</si>
  <si>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</si>
  <si>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</si>
  <si>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</si>
  <si>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</si>
  <si>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</si>
  <si>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</si>
  <si>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</si>
  <si>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</si>
  <si>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</si>
  <si>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</si>
  <si>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</si>
  <si>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</si>
  <si>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</si>
  <si>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</si>
  <si>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</si>
  <si>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</si>
  <si>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</si>
  <si>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</si>
  <si>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</si>
  <si>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</si>
  <si>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</si>
  <si>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</si>
  <si>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</si>
  <si>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</si>
  <si>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</si>
  <si>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</si>
  <si>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</si>
  <si>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</si>
  <si>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</si>
  <si>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</si>
  <si>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</si>
  <si>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</si>
  <si>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</si>
  <si>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</si>
  <si>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</si>
  <si>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</si>
  <si>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</si>
  <si>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</si>
  <si>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</si>
  <si>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</si>
  <si>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</si>
  <si>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</si>
  <si>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</si>
  <si>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</si>
  <si>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</si>
  <si>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</si>
  <si>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</si>
  <si>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</si>
  <si>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</si>
  <si>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</si>
  <si>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</si>
  <si>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</si>
  <si>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</si>
  <si>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</si>
  <si>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</si>
  <si>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</si>
  <si>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</si>
  <si>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</si>
  <si>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</si>
  <si>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</si>
  <si>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</si>
  <si>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</si>
  <si>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</si>
  <si>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</si>
  <si>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</si>
  <si>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</si>
  <si>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</si>
  <si>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</si>
  <si>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</si>
  <si>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</si>
  <si>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</si>
  <si>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</si>
  <si>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</si>
  <si>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</si>
  <si>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</si>
  <si>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</si>
  <si>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</si>
  <si>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</si>
  <si>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</si>
  <si>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</si>
  <si>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</si>
  <si>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</si>
  <si>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</si>
  <si>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</si>
  <si>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</si>
  <si>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</si>
  <si>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</si>
  <si>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</si>
  <si>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</si>
  <si>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</si>
  <si>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</si>
  <si>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</si>
  <si>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</si>
  <si>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</si>
  <si>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</si>
  <si>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</si>
  <si>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</si>
  <si>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</si>
  <si>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</si>
  <si>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</si>
  <si>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</si>
  <si>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</si>
  <si>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</si>
  <si>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</si>
  <si>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</si>
  <si>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</si>
  <si>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</si>
  <si>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</si>
  <si>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</si>
  <si>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</si>
  <si>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</si>
  <si>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</si>
  <si>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</si>
  <si>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</si>
  <si>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</si>
  <si>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</si>
  <si>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</si>
  <si>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</si>
  <si>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</si>
  <si>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</si>
  <si>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</si>
  <si>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</si>
  <si>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</si>
  <si>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</si>
  <si>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</si>
  <si>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</si>
  <si>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</si>
  <si>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</si>
  <si>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</si>
  <si>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</si>
  <si>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</si>
  <si>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</si>
  <si>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</si>
  <si>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</si>
  <si>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</si>
  <si>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</si>
  <si>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</si>
  <si>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</si>
  <si>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</si>
  <si>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</si>
  <si>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</si>
  <si>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</si>
  <si>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</si>
  <si>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</si>
  <si>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</si>
  <si>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</si>
  <si>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</si>
  <si>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</si>
  <si>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</si>
  <si>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</si>
  <si>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</si>
  <si>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</si>
  <si>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</si>
  <si>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</si>
  <si>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</si>
  <si>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</si>
  <si>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</si>
  <si>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</si>
  <si>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</si>
  <si>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</si>
  <si>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</si>
  <si>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</si>
  <si>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</si>
  <si>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</si>
  <si>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</si>
  <si>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</si>
  <si>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</si>
  <si>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</si>
  <si>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</si>
  <si>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</si>
  <si>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</si>
  <si>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</si>
  <si>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</si>
  <si>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</si>
  <si>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</si>
  <si>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</si>
  <si>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</si>
  <si>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</si>
  <si>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</si>
  <si>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</si>
  <si>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</si>
  <si>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</si>
  <si>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</si>
  <si>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</si>
  <si>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</si>
  <si>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</si>
  <si>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</si>
  <si>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</si>
  <si>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</si>
  <si>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</si>
  <si>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</si>
  <si>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</si>
  <si>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</si>
  <si>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</si>
  <si>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</si>
  <si>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</si>
  <si>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</si>
  <si>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</si>
  <si>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</si>
  <si>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</si>
  <si>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</si>
  <si>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</si>
  <si>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</si>
  <si>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</si>
  <si>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</si>
  <si>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</si>
  <si>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</si>
  <si>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</si>
  <si>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</si>
  <si>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</si>
  <si>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</si>
  <si>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</si>
  <si>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</si>
  <si>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</si>
  <si>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</si>
  <si>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</si>
  <si>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</si>
  <si>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</si>
  <si>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</si>
  <si>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</si>
  <si>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</si>
  <si>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</si>
  <si>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</si>
  <si>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</si>
  <si>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</si>
  <si>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</si>
  <si>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</si>
  <si>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</si>
  <si>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</si>
  <si>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</si>
  <si>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</si>
  <si>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</si>
  <si>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</si>
  <si>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</si>
  <si>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</si>
  <si>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</si>
  <si>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</si>
  <si>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</si>
  <si>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</si>
  <si>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</si>
  <si>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</si>
  <si>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</si>
  <si>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</si>
  <si>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</si>
  <si>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</si>
  <si>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</si>
  <si>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</si>
  <si>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</si>
  <si>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</si>
  <si>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</si>
  <si>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</si>
  <si>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</si>
  <si>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</si>
  <si>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</si>
  <si>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</si>
  <si>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</si>
  <si>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</si>
  <si>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</si>
  <si>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</si>
  <si>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</si>
  <si>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</si>
  <si>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</si>
  <si>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</si>
  <si>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</si>
  <si>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</si>
  <si>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</si>
  <si>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</si>
  <si>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</si>
  <si>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</si>
  <si>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</si>
  <si>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</si>
  <si>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</si>
  <si>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</si>
  <si>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</si>
  <si>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</si>
  <si>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</si>
  <si>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</si>
  <si>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</si>
  <si>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</si>
  <si>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</si>
  <si>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</si>
  <si>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</si>
  <si>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</si>
  <si>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</si>
  <si>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</si>
  <si>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</si>
  <si>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</si>
  <si>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</si>
  <si>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</si>
  <si>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</si>
  <si>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</si>
  <si>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</si>
  <si>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</si>
  <si>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</si>
  <si>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</si>
  <si>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</si>
  <si>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</si>
  <si>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</si>
  <si>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</si>
  <si>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</si>
  <si>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</si>
  <si>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</si>
  <si>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</si>
  <si>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</si>
  <si>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</si>
  <si>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</si>
  <si>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</si>
  <si>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</si>
  <si>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</si>
  <si>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</si>
  <si>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</si>
  <si>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</si>
  <si>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</si>
  <si>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</si>
  <si>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</si>
  <si>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</si>
  <si>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</si>
  <si>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</si>
  <si>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</si>
  <si>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</si>
  <si>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</si>
  <si>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</si>
  <si>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</si>
  <si>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</si>
  <si>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</si>
  <si>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</si>
  <si>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</si>
  <si>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</si>
  <si>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</si>
  <si>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</si>
  <si>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</si>
  <si>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</si>
  <si>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</si>
  <si>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</si>
  <si>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</si>
  <si>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</si>
  <si>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</si>
  <si>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</si>
  <si>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</si>
  <si>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</si>
  <si>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</si>
  <si>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</si>
  <si>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</si>
  <si>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</si>
  <si>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</si>
  <si>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</si>
  <si>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</si>
  <si>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</si>
  <si>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</si>
  <si>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</si>
  <si>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</si>
  <si>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</si>
  <si>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</si>
  <si>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</si>
  <si>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</si>
  <si>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</si>
  <si>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</si>
  <si>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</si>
  <si>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</si>
  <si>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</si>
  <si>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</si>
  <si>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</si>
  <si>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</si>
  <si>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</si>
  <si>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</si>
  <si>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</si>
  <si>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</si>
  <si>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</si>
  <si>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</si>
  <si>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</si>
  <si>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</si>
  <si>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</si>
  <si>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</si>
  <si>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</si>
  <si>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</si>
  <si>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</si>
  <si>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</si>
  <si>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</si>
  <si>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</si>
  <si>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</si>
  <si>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</si>
  <si>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</si>
  <si>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</si>
  <si>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</si>
  <si>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</si>
  <si>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</si>
  <si>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</si>
  <si>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</si>
  <si>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</si>
  <si>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</si>
  <si>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</si>
  <si>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</si>
  <si>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</si>
  <si>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</si>
  <si>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</si>
  <si>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</si>
  <si>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</si>
  <si>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</si>
  <si>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</si>
  <si>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</si>
  <si>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</si>
  <si>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</si>
  <si>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</si>
  <si>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</si>
  <si>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</si>
  <si>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</si>
  <si>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</si>
  <si>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</si>
  <si>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</si>
  <si>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</si>
  <si>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</si>
  <si>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</si>
  <si>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</si>
  <si>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</si>
  <si>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</si>
  <si>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</si>
  <si>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</si>
  <si>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</si>
  <si>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</si>
  <si>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</si>
  <si>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</si>
  <si>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</si>
  <si>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</si>
  <si>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</si>
  <si>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</si>
  <si>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</si>
  <si>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</si>
  <si>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</si>
  <si>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</si>
  <si>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</si>
  <si>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</si>
  <si>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</si>
  <si>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</si>
  <si>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</si>
  <si>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</si>
  <si>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</si>
  <si>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</si>
  <si>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</si>
  <si>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</si>
  <si>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</si>
  <si>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</si>
  <si>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</si>
  <si>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</si>
  <si>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</si>
  <si>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</si>
  <si>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</si>
  <si>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</si>
  <si>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</si>
  <si>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</si>
  <si>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</si>
  <si>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</si>
  <si>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</si>
  <si>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</si>
  <si>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</si>
  <si>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</si>
  <si>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</si>
  <si>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</si>
  <si>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</si>
  <si>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</si>
  <si>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</si>
  <si>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</si>
  <si>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</si>
  <si>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</si>
  <si>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</si>
  <si>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</si>
  <si>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</si>
  <si>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</si>
  <si>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</si>
  <si>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</si>
  <si>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</si>
  <si>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</si>
  <si>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</si>
  <si>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</si>
  <si>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</si>
  <si>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</si>
  <si>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</si>
  <si>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</si>
  <si>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</si>
  <si>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</si>
  <si>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</si>
  <si>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</si>
  <si>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</si>
  <si>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</si>
  <si>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</si>
  <si>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</si>
  <si>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</si>
  <si>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</si>
  <si>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</si>
  <si>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</si>
  <si>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</si>
  <si>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</si>
  <si>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</si>
  <si>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</si>
  <si>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</si>
  <si>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</si>
  <si>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</si>
  <si>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</si>
  <si>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</si>
  <si>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</si>
  <si>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</si>
  <si>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</si>
  <si>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</si>
  <si>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</si>
  <si>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</si>
  <si>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</si>
  <si>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</si>
  <si>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</si>
  <si>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</si>
  <si>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</si>
  <si>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</si>
  <si>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</si>
  <si>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</si>
  <si>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</si>
  <si>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</si>
  <si>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</si>
  <si>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</si>
  <si>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</si>
  <si>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</si>
  <si>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</si>
  <si>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</si>
  <si>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</si>
  <si>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</si>
  <si>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</si>
  <si>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</si>
  <si>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</si>
  <si>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</si>
  <si>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</si>
  <si>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</si>
  <si>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</si>
  <si>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</si>
  <si>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</si>
  <si>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</si>
  <si>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</si>
  <si>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</si>
  <si>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</si>
  <si>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</si>
  <si>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</si>
  <si>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</si>
  <si>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</si>
  <si>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</si>
  <si>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</si>
  <si>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</si>
  <si>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</si>
  <si>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</si>
  <si>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</si>
  <si>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</si>
  <si>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</si>
  <si>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</si>
  <si>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</si>
  <si>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</si>
  <si>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</si>
  <si>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</si>
  <si>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</si>
  <si>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</si>
  <si>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</si>
  <si>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</si>
  <si>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</si>
  <si>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</si>
  <si>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</si>
  <si>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</si>
  <si>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</si>
  <si>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</si>
  <si>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</si>
  <si>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</si>
  <si>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</si>
  <si>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</si>
  <si>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</si>
  <si>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</si>
  <si>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</si>
  <si>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</si>
  <si>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</si>
  <si>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</si>
  <si>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</si>
  <si>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</si>
  <si>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</si>
  <si>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</si>
  <si>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</si>
  <si>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</si>
  <si>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</si>
  <si>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</si>
  <si>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</si>
  <si>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</si>
  <si>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</si>
  <si>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</si>
  <si>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</si>
  <si>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</si>
  <si>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</si>
  <si>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</si>
  <si>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</si>
  <si>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</si>
  <si>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</si>
  <si>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</si>
  <si>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</si>
  <si>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</si>
  <si>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</si>
  <si>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</si>
  <si>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</si>
  <si>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</si>
  <si>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</si>
  <si>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</si>
  <si>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</si>
  <si>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</si>
  <si>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</si>
  <si>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</si>
  <si>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</si>
  <si>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</si>
  <si>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</si>
  <si>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</si>
  <si>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</si>
  <si>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</si>
  <si>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</si>
  <si>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</si>
  <si>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</si>
  <si>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</si>
  <si>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</si>
  <si>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</si>
  <si>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</si>
  <si>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</si>
  <si>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</si>
  <si>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</si>
  <si>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</si>
  <si>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</si>
  <si>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</si>
  <si>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</si>
  <si>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</si>
  <si>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</si>
  <si>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</si>
  <si>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</si>
  <si>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</si>
  <si>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</si>
  <si>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</si>
  <si>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</si>
  <si>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</si>
  <si>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</si>
  <si>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</si>
  <si>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</si>
  <si>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</si>
  <si>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</si>
  <si>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</si>
  <si>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Riverside Charitable Corporation, a California Nonprofit Public Benefit Corporation</t>
  </si>
  <si>
    <t>The Courtyards at Kimball</t>
  </si>
  <si>
    <t>City of National City</t>
  </si>
  <si>
    <t>Brad Raulston</t>
  </si>
  <si>
    <t>1243 National City Blvd.</t>
  </si>
  <si>
    <t>National City</t>
  </si>
  <si>
    <t>619.336.4240</t>
  </si>
  <si>
    <t>619.336.4239</t>
  </si>
  <si>
    <t>cmo@nationalcityca.gov</t>
  </si>
  <si>
    <t>CDLAC-TCAC Joint Application (submitting concurrently)</t>
  </si>
  <si>
    <t>1105 National City Blvd.</t>
  </si>
  <si>
    <t>556-554-20; 556-554-25; 556-554-26</t>
  </si>
  <si>
    <t>40%/60% Average Income</t>
  </si>
  <si>
    <t>14131 Yorba Street</t>
  </si>
  <si>
    <t>Tustin</t>
  </si>
  <si>
    <t>CA</t>
  </si>
  <si>
    <t>Recinda Shafer</t>
  </si>
  <si>
    <t>714.628.1654</t>
  </si>
  <si>
    <t>714.628.1656</t>
  </si>
  <si>
    <t>recinda@riversidecharitable.org</t>
  </si>
  <si>
    <t>TPC Holdings VII, LLC</t>
  </si>
  <si>
    <t>Administrative GP</t>
  </si>
  <si>
    <t>430 E. State Street, Suite 100</t>
  </si>
  <si>
    <t>Eagle</t>
  </si>
  <si>
    <t>ID</t>
  </si>
  <si>
    <t>Caleb Roope</t>
  </si>
  <si>
    <t>208.461.0022</t>
  </si>
  <si>
    <t>208.461.3267</t>
  </si>
  <si>
    <t>calebr@tpchousing.com</t>
  </si>
  <si>
    <t>The Pacific Companies</t>
  </si>
  <si>
    <t>Riverside Charitable Corporation</t>
  </si>
  <si>
    <t>Managing GP</t>
  </si>
  <si>
    <t>Pacific West Communities, Inc.</t>
  </si>
  <si>
    <t>Tony Crowder</t>
  </si>
  <si>
    <t>208.908.4877</t>
  </si>
  <si>
    <t>tonyc@tpchousing.com</t>
  </si>
  <si>
    <t>Developer</t>
  </si>
  <si>
    <t>Architects Orange</t>
  </si>
  <si>
    <t>321 W. Chapman Avenue</t>
  </si>
  <si>
    <t>Eagle, ID 83616</t>
  </si>
  <si>
    <t>Orange, CA 92866</t>
  </si>
  <si>
    <t>RC Alley</t>
  </si>
  <si>
    <t>714.639.9860</t>
  </si>
  <si>
    <t>208.461.0033</t>
  </si>
  <si>
    <t>714.221.4584</t>
  </si>
  <si>
    <t>rca@architectsorange.com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</si>
  <si>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</si>
  <si>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</si>
  <si>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</si>
  <si>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</si>
  <si>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</si>
  <si>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</si>
  <si>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</si>
  <si>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</si>
  <si>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</si>
  <si>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</si>
  <si>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</si>
  <si>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</si>
  <si>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</si>
  <si>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</si>
  <si>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</si>
  <si>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</si>
  <si>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</si>
  <si>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</si>
  <si>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</si>
  <si>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</si>
  <si>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</si>
  <si>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</si>
  <si>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</si>
  <si>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</si>
  <si>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</si>
  <si>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</si>
  <si>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</si>
  <si>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</si>
  <si>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</si>
  <si>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</si>
  <si>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</si>
  <si>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</si>
  <si>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</si>
  <si>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</si>
  <si>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</si>
  <si>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</si>
  <si>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</si>
  <si>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</si>
  <si>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</si>
  <si>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</si>
  <si>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</si>
  <si>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</si>
  <si>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</si>
  <si>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</si>
  <si>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92123</t>
  </si>
  <si>
    <t>Sacramento, CA 95814</t>
  </si>
  <si>
    <t>San Diego, CA 92123</t>
  </si>
  <si>
    <t>Kate Ferguson</t>
  </si>
  <si>
    <t>Wes Daniel</t>
  </si>
  <si>
    <t>916.326.8802</t>
  </si>
  <si>
    <t>858.614.7325</t>
  </si>
  <si>
    <t>916.326.6430</t>
  </si>
  <si>
    <t>858.614.1644</t>
  </si>
  <si>
    <t>kferguson@CalHFA.ca.gov</t>
  </si>
  <si>
    <t>wdaniel@conam.com</t>
  </si>
  <si>
    <t>Coachella Affordable Housing Investors V, LLC</t>
  </si>
  <si>
    <t>Alexis Gevorgian</t>
  </si>
  <si>
    <t>Managing Member</t>
  </si>
  <si>
    <t>16501 Ventura Blvd., Suite 400</t>
  </si>
  <si>
    <t>Encino, CA 91436</t>
  </si>
  <si>
    <t>818.380.2600</t>
  </si>
  <si>
    <t>Inner City Infill Site</t>
  </si>
  <si>
    <t>Common areas included within residential building.</t>
  </si>
  <si>
    <t>Multifamily</t>
  </si>
  <si>
    <t>Development Zone 5B Downtown Specific Plan; Floor Area Ratio of 4:1</t>
  </si>
  <si>
    <t>Project will have density bonus agreement.</t>
  </si>
  <si>
    <t>Maximum height of 90'</t>
  </si>
  <si>
    <t>88 parking spaces required</t>
  </si>
  <si>
    <t>Bonneville - Subordinate Tax-Exempt Bonds</t>
  </si>
  <si>
    <t>CalHFA - MIP Loan</t>
  </si>
  <si>
    <t>Citibank, N.A. - T.E. Bonds (Series A)</t>
  </si>
  <si>
    <t>Fixed</t>
  </si>
  <si>
    <t>Citibank, N.A. - Taxable Bonds (Series A)</t>
  </si>
  <si>
    <t>Bonneville - T.E. Bonds (Series B)</t>
  </si>
  <si>
    <t>Pacific West Communities, Inc. - DDF</t>
  </si>
  <si>
    <t>National City Pacific Assoc - Def. Costs</t>
  </si>
  <si>
    <t>Boston Capital - LIHTC Equity</t>
  </si>
  <si>
    <t>325 E. Hillcrest Drive, Suite 160</t>
  </si>
  <si>
    <t>Thousand Oaks, CA 91360</t>
  </si>
  <si>
    <t>Mike Hemmens</t>
  </si>
  <si>
    <t>805.557.0930</t>
  </si>
  <si>
    <t>Construction to Perm (T.E. Bonds)</t>
  </si>
  <si>
    <t>Construction Loan (Taxable Bonds)</t>
  </si>
  <si>
    <t>111 Main Street, Suite 1600</t>
  </si>
  <si>
    <t>Salt Lake City, UT 84111</t>
  </si>
  <si>
    <t>Brent H. Peterson</t>
  </si>
  <si>
    <t>801.323.1000</t>
  </si>
  <si>
    <t>Deferred Developer Fee</t>
  </si>
  <si>
    <t xml:space="preserve">Deferred Costs </t>
  </si>
  <si>
    <t>LIHTC Equity</t>
  </si>
  <si>
    <t>Varies</t>
  </si>
  <si>
    <t xml:space="preserve">Pacific West Communities, Inc. - DDF </t>
  </si>
  <si>
    <t>Permanent Loan (T.E. Bonds)</t>
  </si>
  <si>
    <t>MIP Loan</t>
  </si>
  <si>
    <t>Late Fees, Application Fees, Misc.</t>
  </si>
  <si>
    <t>Housing Authority of the City of National City</t>
  </si>
  <si>
    <t>Telephone, Office Expenses, Misc. Admin</t>
  </si>
  <si>
    <t>Payroll Taxes, Workers Comp, Benefits</t>
  </si>
  <si>
    <t>Cleaning &amp; Building Supplies</t>
  </si>
  <si>
    <t>Licenses</t>
  </si>
  <si>
    <t xml:space="preserve">State Tax </t>
  </si>
  <si>
    <t>Annual Issuer / Trustee Fees</t>
  </si>
  <si>
    <t>Construction Lender Costs (Legal, Etc.)</t>
  </si>
  <si>
    <t>Construction Loan Interest (Series B Bonds)</t>
  </si>
  <si>
    <t>Bond Counsel</t>
  </si>
  <si>
    <t>CalHFA MIP Loan Fees &amp; Costs</t>
  </si>
  <si>
    <t>Borrower Attorney</t>
  </si>
  <si>
    <t>Post Construction Interest (Series A Bonds)</t>
  </si>
  <si>
    <t>Licenses &amp; State Tax</t>
  </si>
  <si>
    <t>Deputy Executive Director</t>
  </si>
  <si>
    <t>5-story elevator-serviced building over one level of concrete podium parking.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</si>
</sst>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3" fontId="6" fillId="0" borderId="0" xfId="0" applyNumberFormat="1" applyFont="1"/>
    <xf numFmtId="168" fontId="6" fillId="5" borderId="0" xfId="0" applyNumberFormat="1" applyFont="1" applyFill="1"/>
    <xf numFmtId="3"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3"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1430</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1438</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1431</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1439</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1440</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1505</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1425</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1399</v>
      </c>
    </row>
    <row r="41" spans="1:38" s="959"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15"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1503</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1502</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1492</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7" t="s">
        <v>1009</v>
      </c>
      <c r="B1" s="1697"/>
      <c r="C1" s="1697"/>
      <c r="D1" s="1697"/>
      <c r="E1" s="1697"/>
      <c r="F1" s="1697"/>
      <c r="G1" s="1697"/>
      <c r="H1" s="1697"/>
      <c r="I1" s="1697"/>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f>Application!G709</f>
        <v>12</v>
      </c>
      <c r="C4" s="682">
        <f>Application!K709</f>
        <v>1157</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5</v>
      </c>
      <c r="C5" s="682">
        <f>Application!K710</f>
        <v>1398</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v>
      </c>
      <c r="C6" s="682">
        <f>Application!K711</f>
        <v>1639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5</v>
      </c>
      <c r="C7" s="682">
        <f>Application!K712</f>
        <v>1880</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37</v>
      </c>
      <c r="C8" s="682">
        <f>Application!K713</f>
        <v>1335</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15</v>
      </c>
      <c r="C9" s="682">
        <f>Application!K714</f>
        <v>1613</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7</v>
      </c>
      <c r="C10" s="682">
        <f>Application!K715</f>
        <v>1891</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14</v>
      </c>
      <c r="C11" s="682">
        <f>Application!K716</f>
        <v>2170</v>
      </c>
      <c r="D11" s="683"/>
      <c r="E11" s="493"/>
      <c r="F11" s="684">
        <f t="shared" si="0"/>
        <v>0</v>
      </c>
      <c r="G11" s="685"/>
      <c r="H11" s="682" t="str">
        <f t="shared" si="1"/>
        <v xml:space="preserve"> </v>
      </c>
      <c r="I11" s="684" t="str">
        <f t="shared" si="2"/>
        <v xml:space="preserve"> </v>
      </c>
      <c r="J11" s="335"/>
      <c r="K11" s="490"/>
    </row>
    <row r="12" spans="1:11">
      <c r="A12" s="682" t="str">
        <f>Application!B717</f>
        <v>4 Bedrooms</v>
      </c>
      <c r="B12" s="691">
        <f>Application!G717</f>
        <v>16</v>
      </c>
      <c r="C12" s="682">
        <f>Application!K717</f>
        <v>1481</v>
      </c>
      <c r="D12" s="683"/>
      <c r="E12" s="493"/>
      <c r="F12" s="684">
        <f t="shared" si="0"/>
        <v>0</v>
      </c>
      <c r="G12" s="685"/>
      <c r="H12" s="682" t="str">
        <f t="shared" si="1"/>
        <v xml:space="preserve"> </v>
      </c>
      <c r="I12" s="684" t="str">
        <f t="shared" si="2"/>
        <v xml:space="preserve"> </v>
      </c>
      <c r="J12" s="335"/>
      <c r="K12" s="490"/>
    </row>
    <row r="13" spans="1:11">
      <c r="A13" s="682" t="str">
        <f>Application!B718</f>
        <v>4 Bedrooms</v>
      </c>
      <c r="B13" s="691">
        <f>Application!G718</f>
        <v>6</v>
      </c>
      <c r="C13" s="682">
        <f>Application!K718</f>
        <v>1792</v>
      </c>
      <c r="D13" s="683"/>
      <c r="E13" s="493"/>
      <c r="F13" s="684">
        <f t="shared" si="0"/>
        <v>0</v>
      </c>
      <c r="G13" s="685"/>
      <c r="H13" s="682" t="str">
        <f t="shared" si="1"/>
        <v xml:space="preserve"> </v>
      </c>
      <c r="I13" s="684" t="str">
        <f t="shared" si="2"/>
        <v xml:space="preserve"> </v>
      </c>
      <c r="J13" s="335"/>
      <c r="K13" s="490"/>
    </row>
    <row r="14" spans="1:11">
      <c r="A14" s="682" t="str">
        <f>Application!B719</f>
        <v>4 Bedrooms</v>
      </c>
      <c r="B14" s="691">
        <f>Application!G719</f>
        <v>4</v>
      </c>
      <c r="C14" s="682">
        <f>Application!K719</f>
        <v>2102</v>
      </c>
      <c r="D14" s="683"/>
      <c r="E14" s="493"/>
      <c r="F14" s="684">
        <f t="shared" si="0"/>
        <v>0</v>
      </c>
      <c r="G14" s="685"/>
      <c r="H14" s="682" t="str">
        <f t="shared" si="1"/>
        <v xml:space="preserve"> </v>
      </c>
      <c r="I14" s="684" t="str">
        <f t="shared" si="2"/>
        <v xml:space="preserve"> </v>
      </c>
      <c r="J14" s="335"/>
      <c r="K14" s="490"/>
    </row>
    <row r="15" spans="1:11">
      <c r="A15" s="682" t="str">
        <f>Application!B720</f>
        <v>4 Bedrooms</v>
      </c>
      <c r="B15" s="691">
        <f>Application!G720</f>
        <v>7</v>
      </c>
      <c r="C15" s="682">
        <f>Application!K720</f>
        <v>2413</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210506</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12" sqref="E12"/>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4545000</v>
      </c>
      <c r="C5" s="438">
        <f>'Sources and Uses Budget'!$C4</f>
        <v>4545000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4550000</v>
      </c>
      <c r="C9" s="442">
        <f>SUM(C5:C8)</f>
        <v>4550000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4550000</v>
      </c>
      <c r="C13" s="442">
        <f>SUM(C9+C12)</f>
        <v>4550000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3275000</v>
      </c>
      <c r="C29" s="438">
        <f>'Sources and Uses Budget'!$C28</f>
        <v>3275000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45192320</v>
      </c>
      <c r="C30" s="438">
        <f>'Sources and Uses Budget'!$C29</f>
        <v>45192320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2908039</v>
      </c>
      <c r="C31" s="438">
        <f>'Sources and Uses Budget'!$C30</f>
        <v>2908039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1027507</v>
      </c>
      <c r="C32" s="438">
        <f>'Sources and Uses Budget'!$C31</f>
        <v>1027507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3082522</v>
      </c>
      <c r="C33" s="438">
        <f>'Sources and Uses Budget'!$C32</f>
        <v>3082522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450000</v>
      </c>
      <c r="C35" s="438">
        <f>'Sources and Uses Budget'!$C34</f>
        <v>450000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55935388</v>
      </c>
      <c r="C37" s="442">
        <f>SUM(C29:C36)</f>
        <v>55935388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550000</v>
      </c>
      <c r="C39" s="438">
        <f>'Sources and Uses Budget'!$C38</f>
        <v>550000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750000</v>
      </c>
      <c r="C41" s="442">
        <f>SUM(C39:C40)</f>
        <v>750000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240000</v>
      </c>
      <c r="C42" s="438">
        <f>'Sources and Uses Budget'!$C41</f>
        <v>240000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2700000</v>
      </c>
      <c r="C44" s="438">
        <f>'Sources and Uses Budget'!$C43</f>
        <v>2700000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600000</v>
      </c>
      <c r="C45" s="438">
        <f>'Sources and Uses Budget'!$C44</f>
        <v>600000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150000</v>
      </c>
      <c r="C48" s="438">
        <f>'Sources and Uses Budget'!$C47</f>
        <v>150000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80000</v>
      </c>
      <c r="C50" s="438">
        <f>'Sources and Uses Budget'!$C49</f>
        <v>80000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424300</v>
      </c>
      <c r="C51" s="438">
        <f>'Sources and Uses Budget'!$C50</f>
        <v>424300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150000</v>
      </c>
      <c r="C52" s="438">
        <f>'Sources and Uses Budget'!$C51</f>
        <v>150000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1600000</v>
      </c>
      <c r="C53" s="438">
        <f>'Sources and Uses Budget'!$C52</f>
        <v>1600000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5784300</v>
      </c>
      <c r="C54" s="445">
        <f>SUM(C44:C53)</f>
        <v>5784300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270000</v>
      </c>
      <c r="C56" s="438">
        <f>'Sources and Uses Budget'!$C55</f>
        <v>270000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110000</v>
      </c>
      <c r="C61" s="438">
        <f>'Sources and Uses Budget'!$C60</f>
        <v>110000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75000</v>
      </c>
      <c r="C62" s="438">
        <f>'Sources and Uses Budget'!$C61</f>
        <v>75000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480000</v>
      </c>
      <c r="C63" s="442">
        <f>SUM(C56:C62)</f>
        <v>480000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67739688</v>
      </c>
      <c r="C64" s="442">
        <f>SUM(C9+C12+C14+C15+C17+C26+C27+C37+C41+C42+C54+C63)</f>
        <v>67739688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100000</v>
      </c>
      <c r="C68" s="442">
        <f>SUM(C66:C67)</f>
        <v>100000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543645</v>
      </c>
      <c r="C73" s="438">
        <f>'Sources and Uses Budget'!$C72</f>
        <v>543645</v>
      </c>
      <c r="D73" s="442">
        <f t="shared" si="0"/>
        <v>0</v>
      </c>
      <c r="E73" s="440"/>
      <c r="F73" s="439"/>
      <c r="G73" s="577"/>
    </row>
    <row r="74" spans="1:253" s="571" customFormat="1">
      <c r="A74" s="444" t="s">
        <v>37</v>
      </c>
      <c r="B74" s="438">
        <f>'Sources and Uses Budget'!$C73</f>
        <v>400000</v>
      </c>
      <c r="C74" s="438">
        <f>'Sources and Uses Budget'!$C73</f>
        <v>400000</v>
      </c>
      <c r="D74" s="442">
        <f t="shared" si="0"/>
        <v>0</v>
      </c>
      <c r="E74" s="440"/>
      <c r="F74" s="439"/>
      <c r="G74" s="577"/>
    </row>
    <row r="75" spans="1:253" s="571" customFormat="1">
      <c r="A75" s="443" t="s">
        <v>656</v>
      </c>
      <c r="B75" s="442">
        <f>SUM(B70:B74)</f>
        <v>943645</v>
      </c>
      <c r="C75" s="442">
        <f>SUM(C70:C74)</f>
        <v>943645</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2800000</v>
      </c>
      <c r="C77" s="438">
        <f>'Sources and Uses Budget'!$C76</f>
        <v>2800000</v>
      </c>
      <c r="D77" s="442">
        <f t="shared" si="1"/>
        <v>0</v>
      </c>
      <c r="E77" s="440"/>
      <c r="F77" s="439"/>
      <c r="G77" s="577"/>
    </row>
    <row r="78" spans="1:253" s="571" customFormat="1">
      <c r="A78" s="893" t="s">
        <v>63</v>
      </c>
      <c r="B78" s="438">
        <f>'Sources and Uses Budget'!$C77</f>
        <v>500000</v>
      </c>
      <c r="C78" s="438">
        <f>'Sources and Uses Budget'!$C77</f>
        <v>500000</v>
      </c>
      <c r="D78" s="442">
        <f t="shared" ref="D78" si="2">C78-B78</f>
        <v>0</v>
      </c>
      <c r="E78" s="440"/>
      <c r="F78" s="439"/>
      <c r="G78" s="577"/>
    </row>
    <row r="79" spans="1:253" s="571" customFormat="1">
      <c r="A79" s="443" t="s">
        <v>1466</v>
      </c>
      <c r="B79" s="442">
        <f>SUM(B77:B78)</f>
        <v>3300000</v>
      </c>
      <c r="C79" s="442">
        <f>SUM(C77:C78)</f>
        <v>3300000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87463</v>
      </c>
      <c r="C81" s="438">
        <f>'Sources and Uses Budget'!$C80</f>
        <v>87463</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1630789</v>
      </c>
      <c r="C83" s="438">
        <f>'Sources and Uses Budget'!$C82</f>
        <v>1630789</v>
      </c>
      <c r="D83" s="442">
        <f t="shared" si="1"/>
        <v>0</v>
      </c>
      <c r="E83" s="440"/>
      <c r="F83" s="439"/>
      <c r="G83" s="577"/>
    </row>
    <row r="84" spans="1:7" s="571" customFormat="1">
      <c r="A84" s="441" t="s">
        <v>847</v>
      </c>
      <c r="B84" s="438">
        <f>'Sources and Uses Budget'!$C83</f>
        <v>520000</v>
      </c>
      <c r="C84" s="438">
        <f>'Sources and Uses Budget'!$C83</f>
        <v>520000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183501</v>
      </c>
      <c r="C86" s="438">
        <f>'Sources and Uses Budget'!$C85</f>
        <v>183501</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10000</v>
      </c>
      <c r="C89" s="438">
        <f>'Sources and Uses Budget'!$C88</f>
        <v>10000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2521753</v>
      </c>
      <c r="C96" s="442">
        <f>SUM(C81:C95)</f>
        <v>2521753</v>
      </c>
      <c r="D96" s="442">
        <f t="shared" si="1"/>
        <v>0</v>
      </c>
      <c r="E96" s="440"/>
      <c r="F96" s="439"/>
      <c r="G96" s="577"/>
    </row>
    <row r="97" spans="1:7" s="571" customFormat="1">
      <c r="A97" s="443" t="s">
        <v>853</v>
      </c>
      <c r="B97" s="442">
        <f>SUM(B64+B68+B75+B79+B96)</f>
        <v>74605086</v>
      </c>
      <c r="C97" s="442">
        <f>SUM(C64+C68+C75+C79+C96)</f>
        <v>74605086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8000000</v>
      </c>
      <c r="C99" s="438">
        <f>'Sources and Uses Budget'!$C98</f>
        <v>8000000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8000000</v>
      </c>
      <c r="C105" s="442">
        <f>SUM(C99:C104)</f>
        <v>8000000</v>
      </c>
      <c r="D105" s="442">
        <f t="shared" si="1"/>
        <v>0</v>
      </c>
      <c r="E105" s="440"/>
      <c r="F105" s="439"/>
      <c r="G105" s="575"/>
    </row>
    <row r="106" spans="1:7" s="570" customFormat="1">
      <c r="A106" s="443" t="s">
        <v>861</v>
      </c>
      <c r="B106" s="445">
        <f>SUM(B97+B105)</f>
        <v>82605086</v>
      </c>
      <c r="C106" s="445">
        <f>SUM(C97+C105)</f>
        <v>82605086</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328</v>
      </c>
    </row>
    <row r="4" spans="1:9">
      <c r="I4" s="702" t="s">
        <v>1198</v>
      </c>
    </row>
    <row r="5" spans="1:9" s="39" customFormat="1">
      <c r="A5" s="1013" t="s">
        <v>1125</v>
      </c>
      <c r="B5" s="1013"/>
      <c r="C5" s="1014"/>
      <c r="D5" s="1014"/>
      <c r="E5" s="1014"/>
      <c r="F5" s="1014"/>
      <c r="G5" s="1014"/>
      <c r="I5" s="702" t="s">
        <v>1199</v>
      </c>
    </row>
    <row r="6" spans="1:9" s="39" customFormat="1">
      <c r="A6" s="1013" t="s">
        <v>903</v>
      </c>
      <c r="B6" s="1013"/>
      <c r="C6" s="1014"/>
      <c r="D6" s="1014"/>
      <c r="E6" s="1014"/>
      <c r="F6" s="1014"/>
      <c r="G6" s="1014"/>
      <c r="I6" s="701" t="s">
        <v>641</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15"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25">
      <c r="A17" s="270"/>
      <c r="B17" s="703" t="s">
        <v>328</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988" t="s">
        <v>1281</v>
      </c>
      <c r="E21" s="988"/>
      <c r="F21" s="988"/>
    </row>
    <row r="22" spans="1:7" ht="14.25">
      <c r="A22" s="270"/>
      <c r="B22" s="270"/>
      <c r="D22" s="138"/>
    </row>
    <row r="23" spans="1:7" ht="14.25">
      <c r="A23" s="270"/>
      <c r="B23" s="703" t="s">
        <v>328</v>
      </c>
      <c r="D23" s="959" t="s">
        <v>1282</v>
      </c>
      <c r="E23" s="959"/>
      <c r="F23" s="959"/>
    </row>
    <row r="24" spans="1:7" ht="14.25">
      <c r="A24" s="270"/>
      <c r="B24" s="270"/>
      <c r="D24" s="959"/>
      <c r="E24" s="959"/>
      <c r="F24" s="959"/>
    </row>
    <row r="25" spans="1:7"/>
    <row r="26" spans="1:7" ht="14.25">
      <c r="A26" s="270"/>
      <c r="B26" s="703" t="s">
        <v>328</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328</v>
      </c>
      <c r="C32" s="282"/>
      <c r="D32" s="961" t="s">
        <v>1284</v>
      </c>
      <c r="E32" s="961"/>
      <c r="F32" s="961"/>
      <c r="G32" s="133"/>
    </row>
    <row r="33" spans="1:7" s="39" customFormat="1">
      <c r="A33" s="282"/>
      <c r="B33" s="282"/>
      <c r="C33" s="282"/>
      <c r="D33" s="961"/>
      <c r="E33" s="961"/>
      <c r="F33" s="961"/>
      <c r="G33" s="133"/>
    </row>
    <row r="34" spans="1:7" ht="14.25">
      <c r="A34" s="270"/>
      <c r="B34" s="270"/>
      <c r="D34" s="421"/>
    </row>
    <row r="35" spans="1:7" ht="14.65" customHeight="1">
      <c r="A35" s="270"/>
      <c r="B35" s="703" t="s">
        <v>328</v>
      </c>
      <c r="C35" s="578"/>
      <c r="D35" s="961" t="s">
        <v>1285</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1286</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1287</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65" customHeight="1">
      <c r="A50" s="270"/>
      <c r="B50" s="703" t="s">
        <v>328</v>
      </c>
      <c r="D50" s="961" t="s">
        <v>1288</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1289</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1291</v>
      </c>
      <c r="E61" s="961"/>
      <c r="F61" s="961"/>
    </row>
    <row r="62" spans="1:7">
      <c r="D62" s="961"/>
      <c r="E62" s="961"/>
      <c r="F62" s="961"/>
    </row>
    <row r="63" spans="1:7"/>
    <row r="64" spans="1:7" ht="14.25">
      <c r="A64" s="270"/>
      <c r="B64" s="703" t="s">
        <v>328</v>
      </c>
      <c r="D64" s="961" t="s">
        <v>1292</v>
      </c>
      <c r="E64" s="961"/>
      <c r="F64" s="961"/>
    </row>
    <row r="65" spans="1:7">
      <c r="D65" s="961"/>
      <c r="E65" s="961"/>
      <c r="F65" s="961"/>
    </row>
    <row r="66" spans="1:7">
      <c r="A66" s="579"/>
      <c r="C66" s="579"/>
      <c r="D66" s="961"/>
      <c r="E66" s="961"/>
      <c r="F66" s="961"/>
    </row>
    <row r="67" spans="1:7">
      <c r="D67" s="12"/>
    </row>
    <row r="68" spans="1:7" ht="14.25">
      <c r="A68" s="270"/>
      <c r="B68" s="703" t="s">
        <v>328</v>
      </c>
      <c r="D68" s="959" t="s">
        <v>1293</v>
      </c>
      <c r="E68" s="959"/>
      <c r="F68" s="959"/>
    </row>
    <row r="69" spans="1:7">
      <c r="D69" s="959"/>
      <c r="E69" s="959"/>
      <c r="F69" s="959"/>
    </row>
    <row r="70" spans="1:7" ht="14.25">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25">
      <c r="A76" s="270"/>
      <c r="B76" s="703" t="s">
        <v>328</v>
      </c>
      <c r="D76" s="959" t="s">
        <v>1299</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65" customHeight="1">
      <c r="A83" s="731"/>
      <c r="B83" s="736" t="s">
        <v>328</v>
      </c>
      <c r="C83" s="729"/>
      <c r="D83" s="1016" t="s">
        <v>1398</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328</v>
      </c>
      <c r="C97" s="729"/>
      <c r="D97" s="959" t="s">
        <v>1300</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7" t="s">
        <v>1301</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1302</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328</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328</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2" customHeight="1">
      <c r="A177" s="273"/>
      <c r="B177" s="273"/>
      <c r="C177" s="274"/>
      <c r="D177" s="57"/>
      <c r="E177" s="49"/>
      <c r="F177" s="57"/>
      <c r="G177" s="57"/>
    </row>
    <row r="178" spans="1:7" ht="14.25">
      <c r="A178" s="270"/>
      <c r="B178" s="703" t="s">
        <v>328</v>
      </c>
      <c r="C178" s="274"/>
      <c r="D178" s="1020" t="s">
        <v>1309</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328</v>
      </c>
      <c r="C186" s="581"/>
      <c r="D186" s="959" t="s">
        <v>1308</v>
      </c>
      <c r="E186" s="959"/>
      <c r="F186" s="959"/>
      <c r="G186" s="702"/>
    </row>
    <row r="187" spans="1:7" s="701" customFormat="1" ht="14.6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23" t="s">
        <v>221</v>
      </c>
      <c r="E193" s="1023"/>
      <c r="F193" s="1023"/>
    </row>
    <row r="194" spans="1:6">
      <c r="A194" s="264"/>
      <c r="B194" s="697"/>
      <c r="C194" s="264"/>
      <c r="D194" s="991" t="s">
        <v>1332</v>
      </c>
      <c r="E194" s="992"/>
      <c r="F194" s="992"/>
    </row>
    <row r="195" spans="1:6" ht="12" customHeight="1">
      <c r="A195" s="23"/>
      <c r="B195" s="699"/>
      <c r="C195" s="23"/>
    </row>
    <row r="196" spans="1:6" ht="13.15" customHeight="1">
      <c r="A196" s="23"/>
      <c r="C196" s="23"/>
      <c r="D196" s="983" t="s">
        <v>592</v>
      </c>
      <c r="E196" s="983"/>
      <c r="F196" s="983"/>
    </row>
    <row r="197" spans="1:6" ht="14.25">
      <c r="A197" s="270"/>
      <c r="B197" s="703" t="s">
        <v>328</v>
      </c>
      <c r="D197" s="959" t="s">
        <v>1326</v>
      </c>
      <c r="E197" s="959"/>
      <c r="F197" s="959"/>
    </row>
    <row r="198" spans="1:6" ht="14.25">
      <c r="A198" s="270"/>
      <c r="B198" s="270"/>
      <c r="D198" s="959"/>
      <c r="E198" s="959"/>
      <c r="F198" s="959"/>
    </row>
    <row r="199" spans="1:6"/>
    <row r="200" spans="1:6" ht="14.25">
      <c r="A200" s="270"/>
      <c r="B200" s="703" t="s">
        <v>328</v>
      </c>
      <c r="D200" s="959" t="s">
        <v>1327</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1328</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80" t="s">
        <v>1329</v>
      </c>
      <c r="E210" s="980"/>
      <c r="F210" s="980"/>
    </row>
    <row r="211" spans="1:7" ht="14.25">
      <c r="A211" s="270"/>
      <c r="B211" s="270"/>
      <c r="D211" s="980"/>
      <c r="E211" s="980"/>
      <c r="F211" s="980"/>
    </row>
    <row r="212" spans="1:7" ht="14.25">
      <c r="A212" s="270"/>
      <c r="B212" s="270"/>
      <c r="D212" s="981" t="s">
        <v>992</v>
      </c>
      <c r="E212" s="981"/>
      <c r="F212" s="981"/>
    </row>
    <row r="213" spans="1:7" ht="14.25">
      <c r="A213" s="270"/>
      <c r="B213" s="270"/>
      <c r="D213" s="138"/>
      <c r="E213" s="138"/>
      <c r="F213" s="138"/>
    </row>
    <row r="214" spans="1:7" ht="14.65" customHeight="1">
      <c r="A214" s="270"/>
      <c r="B214" s="703" t="s">
        <v>328</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328</v>
      </c>
      <c r="D220" s="959" t="s">
        <v>1330</v>
      </c>
      <c r="E220" s="959"/>
      <c r="F220" s="959"/>
    </row>
    <row r="221" spans="1:7" ht="14.25">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1033" t="s">
        <v>1334</v>
      </c>
      <c r="E228" s="1033"/>
      <c r="F228" s="1033"/>
    </row>
    <row r="229" spans="1:6" ht="14.25">
      <c r="A229" s="270"/>
      <c r="B229" s="270"/>
      <c r="D229" s="1033"/>
      <c r="E229" s="1033"/>
      <c r="F229" s="1033"/>
    </row>
    <row r="230" spans="1:6">
      <c r="D230" s="138"/>
      <c r="E230" s="138"/>
      <c r="F230" s="138"/>
    </row>
    <row r="231" spans="1:6" ht="14.65" customHeight="1">
      <c r="A231" s="270"/>
      <c r="B231" s="703" t="s">
        <v>328</v>
      </c>
      <c r="D231" s="980" t="s">
        <v>1335</v>
      </c>
      <c r="E231" s="980"/>
      <c r="F231" s="980"/>
    </row>
    <row r="232" spans="1:6">
      <c r="D232" s="980"/>
      <c r="E232" s="980"/>
      <c r="F232" s="980"/>
    </row>
    <row r="233" spans="1:6">
      <c r="D233" s="992" t="s">
        <v>983</v>
      </c>
      <c r="E233" s="992"/>
      <c r="F233" s="992"/>
    </row>
    <row r="234" spans="1:6">
      <c r="D234" s="138"/>
      <c r="E234" s="138"/>
      <c r="F234" s="138"/>
    </row>
    <row r="235" spans="1:6" ht="14.65" customHeight="1">
      <c r="A235" s="270"/>
      <c r="B235" s="703" t="s">
        <v>328</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328</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222</v>
      </c>
      <c r="E250" s="983"/>
      <c r="F250" s="983"/>
    </row>
    <row r="251" spans="1:7" ht="15.75" customHeight="1">
      <c r="A251" s="270"/>
      <c r="B251" s="270"/>
      <c r="D251" s="989" t="s">
        <v>1339</v>
      </c>
      <c r="E251" s="989"/>
      <c r="F251" s="989"/>
    </row>
    <row r="252" spans="1:7">
      <c r="E252" s="138"/>
      <c r="F252" s="138"/>
    </row>
    <row r="253" spans="1:7" ht="14.25">
      <c r="A253" s="270"/>
      <c r="B253" s="703" t="s">
        <v>328</v>
      </c>
      <c r="D253" s="959" t="s">
        <v>1340</v>
      </c>
      <c r="E253" s="959"/>
      <c r="F253" s="959"/>
    </row>
    <row r="254" spans="1:7" ht="14.25">
      <c r="A254" s="270"/>
      <c r="B254" s="270"/>
      <c r="D254" s="959"/>
      <c r="E254" s="959"/>
      <c r="F254" s="959"/>
    </row>
    <row r="255" spans="1:7">
      <c r="D255" s="138"/>
      <c r="E255" s="138"/>
      <c r="F255" s="138"/>
    </row>
    <row r="256" spans="1:7" ht="14.25">
      <c r="A256" s="270"/>
      <c r="B256" s="703" t="s">
        <v>328</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328</v>
      </c>
      <c r="D260" s="959" t="s">
        <v>1342</v>
      </c>
      <c r="E260" s="959"/>
      <c r="F260" s="959"/>
    </row>
    <row r="261" spans="1:7" ht="14.25">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1343</v>
      </c>
      <c r="E266" s="984"/>
      <c r="F266" s="984"/>
    </row>
    <row r="267" spans="1:7">
      <c r="C267" s="23"/>
      <c r="D267" s="268"/>
    </row>
    <row r="268" spans="1:7">
      <c r="A268" s="282"/>
      <c r="B268" s="703" t="s">
        <v>328</v>
      </c>
      <c r="D268" s="984" t="s">
        <v>1344</v>
      </c>
      <c r="E268" s="984"/>
      <c r="F268" s="984"/>
    </row>
    <row r="269" spans="1:7" s="39" customFormat="1" ht="14.25">
      <c r="A269" s="420"/>
      <c r="B269" s="420"/>
      <c r="C269" s="282"/>
      <c r="D269" s="514"/>
      <c r="E269" s="515"/>
      <c r="F269" s="515"/>
      <c r="G269" s="133"/>
    </row>
    <row r="270" spans="1:7" s="39" customFormat="1" ht="13.15" customHeight="1">
      <c r="A270" s="282"/>
      <c r="B270" s="703" t="s">
        <v>328</v>
      </c>
      <c r="C270" s="282"/>
      <c r="D270" s="1034" t="s">
        <v>1345</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328</v>
      </c>
      <c r="C276" s="282"/>
      <c r="D276" s="1034" t="s">
        <v>1346</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328</v>
      </c>
      <c r="D279" s="984" t="s">
        <v>1347</v>
      </c>
      <c r="E279" s="984"/>
      <c r="F279" s="984"/>
    </row>
    <row r="280" spans="1:7">
      <c r="E280" s="138"/>
      <c r="F280" s="138"/>
    </row>
    <row r="281" spans="1:7" ht="14.25">
      <c r="A281" s="270"/>
      <c r="B281" s="703" t="s">
        <v>328</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328</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328</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1092</v>
      </c>
      <c r="E314" s="1030"/>
      <c r="F314" s="1030"/>
      <c r="G314" s="12"/>
    </row>
    <row r="315" spans="1:7" s="743" customFormat="1" ht="13.5" thickTop="1">
      <c r="A315" s="755"/>
      <c r="B315" s="755"/>
      <c r="C315" s="755"/>
      <c r="D315" s="1031" t="s">
        <v>1351</v>
      </c>
      <c r="E315" s="1031"/>
      <c r="F315" s="1031"/>
    </row>
    <row r="316" spans="1:7">
      <c r="A316" s="335"/>
      <c r="B316" s="335"/>
      <c r="C316" s="335"/>
      <c r="D316" s="484"/>
      <c r="E316" s="484"/>
      <c r="F316" s="138"/>
      <c r="G316" s="12"/>
    </row>
    <row r="317" spans="1:7" ht="14.25">
      <c r="A317" s="270"/>
      <c r="B317" s="703" t="s">
        <v>328</v>
      </c>
      <c r="C317" s="335"/>
      <c r="D317" s="1032" t="s">
        <v>1352</v>
      </c>
      <c r="E317" s="1032"/>
      <c r="F317" s="1032"/>
      <c r="G317" s="12"/>
    </row>
    <row r="318" spans="1:7">
      <c r="A318" s="335"/>
      <c r="B318" s="335"/>
      <c r="C318" s="335"/>
      <c r="D318" s="484"/>
      <c r="E318" s="484"/>
      <c r="F318" s="138"/>
      <c r="G318" s="12"/>
    </row>
    <row r="319" spans="1:7">
      <c r="A319" s="335"/>
      <c r="B319" s="703" t="s">
        <v>328</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328</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328</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328</v>
      </c>
      <c r="C367" s="335"/>
      <c r="D367" s="1016" t="s">
        <v>1358</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328</v>
      </c>
      <c r="C373" s="275"/>
      <c r="D373" s="959" t="s">
        <v>1359</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328</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80" t="s">
        <v>1363</v>
      </c>
      <c r="E416" s="980"/>
      <c r="F416" s="980"/>
      <c r="G416" s="12"/>
    </row>
    <row r="417" spans="1:7">
      <c r="D417" s="980"/>
      <c r="E417" s="980"/>
      <c r="F417" s="980"/>
      <c r="G417" s="12"/>
    </row>
    <row r="418" spans="1:7">
      <c r="D418" s="138"/>
      <c r="E418" s="138"/>
      <c r="F418" s="138"/>
      <c r="G418" s="12"/>
    </row>
    <row r="419" spans="1:7" ht="14.25">
      <c r="B419" s="703" t="s">
        <v>328</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328</v>
      </c>
      <c r="C430" s="12"/>
      <c r="D430" s="980"/>
      <c r="E430" s="980"/>
      <c r="F430" s="980"/>
      <c r="G430" s="12"/>
    </row>
    <row r="431" spans="1:7">
      <c r="A431" s="12"/>
      <c r="B431" s="12"/>
      <c r="C431" s="12"/>
      <c r="D431" s="980"/>
      <c r="E431" s="980"/>
      <c r="F431" s="980"/>
      <c r="G431" s="12"/>
    </row>
    <row r="432" spans="1:7">
      <c r="A432" s="12"/>
      <c r="B432" s="703" t="s">
        <v>328</v>
      </c>
      <c r="C432" s="12"/>
      <c r="D432" s="980"/>
      <c r="E432" s="980"/>
      <c r="F432" s="980"/>
      <c r="G432" s="12"/>
    </row>
    <row r="433" spans="1:7" s="743" customFormat="1">
      <c r="D433" s="753"/>
      <c r="E433" s="753"/>
      <c r="F433" s="753"/>
    </row>
    <row r="434" spans="1:7">
      <c r="A434" s="12"/>
      <c r="B434" s="742" t="s">
        <v>328</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328</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977</v>
      </c>
      <c r="E444" s="1036"/>
      <c r="F444" s="1036"/>
    </row>
    <row r="445" spans="1:7" s="39" customFormat="1" ht="14.25">
      <c r="A445" s="420"/>
      <c r="B445" s="420"/>
      <c r="C445" s="282"/>
      <c r="D445" s="1037" t="s">
        <v>1367</v>
      </c>
      <c r="E445" s="1037"/>
      <c r="F445" s="1037"/>
      <c r="G445" s="133"/>
    </row>
    <row r="446" spans="1:7" s="39" customFormat="1" ht="14.25">
      <c r="A446" s="420"/>
      <c r="B446" s="420"/>
      <c r="C446" s="282"/>
      <c r="D446" s="756"/>
      <c r="E446" s="6"/>
      <c r="F446" s="6"/>
      <c r="G446" s="133"/>
    </row>
    <row r="447" spans="1:7" s="39" customFormat="1" ht="14.25">
      <c r="A447" s="270"/>
      <c r="B447" s="703" t="s">
        <v>328</v>
      </c>
      <c r="C447" s="282"/>
      <c r="D447" s="1038" t="s">
        <v>1368</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328</v>
      </c>
      <c r="D450" s="1008" t="s">
        <v>1369</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328</v>
      </c>
      <c r="D455" s="961" t="s">
        <v>1370</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84" t="s">
        <v>1371</v>
      </c>
      <c r="E459" s="984"/>
      <c r="F459" s="984"/>
      <c r="G459" s="12"/>
    </row>
    <row r="460" spans="1:7" ht="14.25">
      <c r="A460" s="270"/>
      <c r="B460" s="270"/>
      <c r="D460" s="754"/>
      <c r="E460" s="6"/>
      <c r="F460" s="6"/>
      <c r="G460" s="12"/>
    </row>
    <row r="461" spans="1:7" ht="14.25">
      <c r="A461" s="270"/>
      <c r="B461" s="703" t="s">
        <v>328</v>
      </c>
      <c r="D461" s="959" t="s">
        <v>1372</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84" t="s">
        <v>1373</v>
      </c>
      <c r="E464" s="984"/>
      <c r="F464" s="984"/>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15"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65" customHeight="1">
      <c r="A475" s="270"/>
      <c r="B475" s="703" t="s">
        <v>328</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65" customHeight="1">
      <c r="A481" s="270"/>
      <c r="B481" s="703" t="s">
        <v>328</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65" customHeight="1">
      <c r="A486" s="270"/>
      <c r="B486" s="703" t="s">
        <v>328</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65" customHeight="1">
      <c r="A490" s="270"/>
      <c r="B490" s="703" t="s">
        <v>328</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328</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65" customHeight="1">
      <c r="A506" s="270"/>
      <c r="B506" s="703" t="s">
        <v>328</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15" customHeight="1">
      <c r="A519" s="270"/>
      <c r="B519" s="703" t="s">
        <v>328</v>
      </c>
      <c r="C519" s="275"/>
      <c r="D519" s="984" t="s">
        <v>978</v>
      </c>
      <c r="E519" s="984"/>
      <c r="F519" s="984"/>
      <c r="G519" s="12"/>
    </row>
    <row r="520" spans="1:7" ht="13.15" customHeight="1">
      <c r="A520" s="275"/>
      <c r="B520" s="275"/>
      <c r="C520" s="275"/>
      <c r="D520" s="728"/>
      <c r="E520" s="701"/>
      <c r="F520" s="701"/>
      <c r="G520" s="12"/>
    </row>
    <row r="521" spans="1:7" ht="14.25">
      <c r="A521" s="270"/>
      <c r="B521" s="703" t="s">
        <v>328</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328</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328</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84" t="s">
        <v>1274</v>
      </c>
      <c r="E543" s="984"/>
      <c r="F543" s="984"/>
      <c r="G543" s="57"/>
    </row>
    <row r="544" spans="1:7">
      <c r="A544" s="23"/>
      <c r="B544" s="699"/>
      <c r="C544" s="275"/>
      <c r="D544" s="984" t="s">
        <v>904</v>
      </c>
      <c r="E544" s="984"/>
      <c r="F544" s="984"/>
      <c r="G544" s="57"/>
    </row>
    <row r="545" spans="1:7">
      <c r="A545" s="23"/>
      <c r="B545" s="699"/>
      <c r="C545" s="275"/>
      <c r="D545" s="6"/>
      <c r="E545" s="989" t="s">
        <v>1275</v>
      </c>
      <c r="F545" s="989"/>
      <c r="G545" s="57"/>
    </row>
    <row r="546" spans="1:7" ht="14.25">
      <c r="A546" s="270"/>
      <c r="B546" s="270"/>
      <c r="C546" s="275"/>
      <c r="E546" s="138"/>
      <c r="F546" s="138"/>
      <c r="G546" s="57"/>
    </row>
    <row r="547" spans="1:7" ht="14.25">
      <c r="A547" s="270"/>
      <c r="B547" s="703" t="s">
        <v>328</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1278</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01" t="s">
        <v>224</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328</v>
      </c>
      <c r="D562" s="1007" t="s">
        <v>984</v>
      </c>
      <c r="E562" s="1007"/>
      <c r="F562" s="1007"/>
      <c r="G562" s="57"/>
    </row>
    <row r="563" spans="1:7">
      <c r="A563" s="23"/>
      <c r="B563" s="699"/>
      <c r="D563" s="335"/>
    </row>
    <row r="564" spans="1:7">
      <c r="A564" s="23"/>
      <c r="B564" s="703" t="s">
        <v>328</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328</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328</v>
      </c>
      <c r="D573" s="1008" t="s">
        <v>1230</v>
      </c>
      <c r="E573" s="1008"/>
      <c r="F573" s="1008"/>
    </row>
    <row r="574" spans="1:7">
      <c r="A574" s="23"/>
      <c r="B574" s="699"/>
      <c r="D574" s="1008"/>
      <c r="E574" s="1008"/>
      <c r="F574" s="1008"/>
    </row>
    <row r="575" spans="1:7">
      <c r="A575" s="23"/>
      <c r="B575" s="699"/>
      <c r="D575" s="393"/>
    </row>
    <row r="576" spans="1:7" s="706" customFormat="1">
      <c r="A576" s="712"/>
      <c r="B576" s="703" t="s">
        <v>328</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328</v>
      </c>
      <c r="D579" s="1007" t="s">
        <v>979</v>
      </c>
      <c r="E579" s="1007"/>
      <c r="F579" s="1007"/>
    </row>
    <row r="580" spans="1:7" ht="14.25">
      <c r="A580" s="270"/>
      <c r="B580" s="270"/>
      <c r="D580" s="393"/>
    </row>
    <row r="581" spans="1:7" ht="14.25">
      <c r="A581" s="270"/>
      <c r="B581" s="703" t="s">
        <v>328</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25">
      <c r="A593" s="420"/>
      <c r="B593" s="703" t="s">
        <v>328</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328</v>
      </c>
      <c r="D603" s="976" t="s">
        <v>466</v>
      </c>
      <c r="E603" s="976"/>
      <c r="F603" s="976"/>
      <c r="G603" s="57"/>
    </row>
    <row r="604" spans="1:7">
      <c r="C604" s="277"/>
      <c r="E604" s="12"/>
      <c r="G604" s="57"/>
    </row>
    <row r="605" spans="1:7">
      <c r="A605" s="23"/>
      <c r="B605" s="703" t="s">
        <v>328</v>
      </c>
      <c r="D605" s="979" t="s">
        <v>1317</v>
      </c>
      <c r="E605" s="979"/>
      <c r="F605" s="979"/>
      <c r="G605" s="57"/>
    </row>
    <row r="606" spans="1:7">
      <c r="D606" s="979"/>
      <c r="E606" s="979"/>
      <c r="F606" s="979"/>
      <c r="G606" s="57"/>
    </row>
    <row r="607" spans="1:7">
      <c r="D607" s="12"/>
      <c r="G607" s="57"/>
    </row>
    <row r="608" spans="1:7">
      <c r="B608" s="703" t="s">
        <v>328</v>
      </c>
      <c r="D608" s="979" t="s">
        <v>1318</v>
      </c>
      <c r="E608" s="979"/>
      <c r="F608" s="979"/>
      <c r="G608" s="57"/>
    </row>
    <row r="609" spans="1:7">
      <c r="C609" s="277"/>
      <c r="D609" s="979"/>
      <c r="E609" s="979"/>
      <c r="F609" s="979"/>
      <c r="G609" s="57"/>
    </row>
    <row r="610" spans="1:7">
      <c r="C610" s="277"/>
      <c r="G610" s="57"/>
    </row>
    <row r="611" spans="1:7">
      <c r="B611" s="703" t="s">
        <v>328</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25">
      <c r="A618" s="270"/>
      <c r="B618" s="703" t="s">
        <v>328</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328</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328</v>
      </c>
      <c r="C628" s="275"/>
      <c r="D628" s="977" t="s">
        <v>1323</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328</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65" customHeight="1">
      <c r="A640" s="270"/>
      <c r="B640" s="703" t="s">
        <v>328</v>
      </c>
      <c r="C640" s="275"/>
      <c r="D640" s="973" t="s">
        <v>1376</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328</v>
      </c>
      <c r="C646" s="275"/>
      <c r="D646" s="1003" t="s">
        <v>1226</v>
      </c>
      <c r="E646" s="1003"/>
      <c r="F646" s="1003"/>
      <c r="G646" s="57"/>
    </row>
    <row r="647" spans="1:11" s="706" customFormat="1" ht="14.25">
      <c r="A647" s="270"/>
      <c r="B647" s="270"/>
      <c r="C647" s="275"/>
      <c r="D647" s="1004" t="s">
        <v>1377</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4" t="s">
        <v>1021</v>
      </c>
      <c r="E669" s="984"/>
      <c r="F669" s="984"/>
      <c r="G669" s="57"/>
      <c r="H669" s="278"/>
      <c r="I669" s="278"/>
      <c r="J669" s="278"/>
      <c r="K669" s="278"/>
    </row>
    <row r="670" spans="1:11" ht="14.25">
      <c r="A670" s="270"/>
      <c r="B670" s="270"/>
      <c r="C670" s="269"/>
      <c r="D670" s="984" t="s">
        <v>991</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328</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25">
      <c r="A759" s="270"/>
      <c r="B759" s="703" t="s">
        <v>328</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199</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7" t="s">
        <v>1131</v>
      </c>
      <c r="B76" s="967"/>
      <c r="C76" s="967"/>
      <c r="D76" s="967"/>
      <c r="E76" s="967"/>
    </row>
    <row r="77" spans="1:9" ht="12.75">
      <c r="A77" s="967" t="s">
        <v>1437</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1198</v>
      </c>
    </row>
    <row r="4" spans="1:9">
      <c r="A4" s="1078" t="s">
        <v>1561</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25">
      <c r="A15" s="822"/>
      <c r="B15" s="823" t="s">
        <v>328</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328</v>
      </c>
      <c r="D19" s="999" t="s">
        <v>1281</v>
      </c>
      <c r="E19" s="999"/>
      <c r="F19" s="999"/>
    </row>
    <row r="20" spans="1:7" ht="14.25">
      <c r="A20" s="822"/>
      <c r="B20" s="822"/>
      <c r="D20" s="825"/>
    </row>
    <row r="21" spans="1:7" ht="14.25">
      <c r="A21" s="822"/>
      <c r="B21" s="823" t="s">
        <v>328</v>
      </c>
      <c r="D21" s="1020" t="s">
        <v>1282</v>
      </c>
      <c r="E21" s="1020"/>
      <c r="F21" s="1020"/>
    </row>
    <row r="22" spans="1:7" ht="14.25">
      <c r="A22" s="822"/>
      <c r="B22" s="822"/>
      <c r="D22" s="1020"/>
      <c r="E22" s="1020"/>
      <c r="F22" s="1020"/>
    </row>
    <row r="23" spans="1:7"/>
    <row r="24" spans="1:7" ht="14.25">
      <c r="A24" s="822"/>
      <c r="B24" s="823" t="s">
        <v>328</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977" t="s">
        <v>1284</v>
      </c>
      <c r="E30" s="977"/>
      <c r="F30" s="977"/>
      <c r="G30" s="827"/>
    </row>
    <row r="31" spans="1:7" s="816" customFormat="1">
      <c r="A31" s="826"/>
      <c r="B31" s="826"/>
      <c r="C31" s="826"/>
      <c r="D31" s="977"/>
      <c r="E31" s="977"/>
      <c r="F31" s="977"/>
      <c r="G31" s="827"/>
    </row>
    <row r="32" spans="1:7" ht="14.25">
      <c r="A32" s="822"/>
      <c r="B32" s="822"/>
      <c r="D32" s="828"/>
    </row>
    <row r="33" spans="1:6" ht="14.65" customHeight="1">
      <c r="A33" s="822"/>
      <c r="B33" s="823" t="s">
        <v>328</v>
      </c>
      <c r="D33" s="977" t="s">
        <v>1472</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328</v>
      </c>
      <c r="D38" s="977" t="s">
        <v>1286</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328</v>
      </c>
      <c r="D44" s="977" t="s">
        <v>1287</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65" customHeight="1">
      <c r="A49" s="822"/>
      <c r="B49" s="823" t="s">
        <v>328</v>
      </c>
      <c r="D49" s="977" t="s">
        <v>1288</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328</v>
      </c>
      <c r="C53" s="831"/>
      <c r="D53" s="977" t="s">
        <v>1289</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328</v>
      </c>
      <c r="D56" s="977" t="s">
        <v>1290</v>
      </c>
      <c r="E56" s="977"/>
      <c r="F56" s="977"/>
    </row>
    <row r="57" spans="1:7">
      <c r="D57" s="977"/>
      <c r="E57" s="977"/>
      <c r="F57" s="977"/>
    </row>
    <row r="58" spans="1:7">
      <c r="D58" s="977"/>
      <c r="E58" s="977"/>
      <c r="F58" s="977"/>
    </row>
    <row r="59" spans="1:7">
      <c r="D59" s="717"/>
    </row>
    <row r="60" spans="1:7" ht="14.25">
      <c r="A60" s="822"/>
      <c r="B60" s="823" t="s">
        <v>328</v>
      </c>
      <c r="D60" s="977" t="s">
        <v>1291</v>
      </c>
      <c r="E60" s="977"/>
      <c r="F60" s="977"/>
    </row>
    <row r="61" spans="1:7">
      <c r="D61" s="977"/>
      <c r="E61" s="977"/>
      <c r="F61" s="977"/>
    </row>
    <row r="62" spans="1:7"/>
    <row r="63" spans="1:7" ht="14.25">
      <c r="A63" s="822"/>
      <c r="B63" s="823" t="s">
        <v>328</v>
      </c>
      <c r="D63" s="977" t="s">
        <v>1292</v>
      </c>
      <c r="E63" s="977"/>
      <c r="F63" s="977"/>
    </row>
    <row r="64" spans="1:7">
      <c r="D64" s="977"/>
      <c r="E64" s="977"/>
      <c r="F64" s="977"/>
    </row>
    <row r="65" spans="1:7">
      <c r="D65" s="977"/>
      <c r="E65" s="977"/>
      <c r="F65" s="977"/>
    </row>
    <row r="66" spans="1:7">
      <c r="D66" s="815"/>
    </row>
    <row r="67" spans="1:7" ht="14.25">
      <c r="A67" s="822"/>
      <c r="B67" s="823" t="s">
        <v>328</v>
      </c>
      <c r="D67" s="1020" t="s">
        <v>1293</v>
      </c>
      <c r="E67" s="1020"/>
      <c r="F67" s="1020"/>
    </row>
    <row r="68" spans="1:7">
      <c r="D68" s="1020"/>
      <c r="E68" s="1020"/>
      <c r="F68" s="1020"/>
    </row>
    <row r="69" spans="1:7" ht="14.25">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328</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65" customHeight="1">
      <c r="A84" s="822"/>
      <c r="B84" s="823" t="s">
        <v>328</v>
      </c>
      <c r="C84" s="813"/>
      <c r="D84" s="1020" t="s">
        <v>1444</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328</v>
      </c>
      <c r="D100" s="1018" t="s">
        <v>1300</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1302</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328</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1454</v>
      </c>
      <c r="E149" s="1085"/>
      <c r="F149" s="1085"/>
      <c r="G149" s="887"/>
    </row>
    <row r="150" spans="1:7" s="746" customFormat="1" ht="13.7" customHeight="1">
      <c r="A150" s="813"/>
      <c r="B150" s="813"/>
      <c r="C150" s="829"/>
      <c r="D150" s="1084"/>
      <c r="E150" s="1084"/>
      <c r="F150" s="1084"/>
      <c r="G150" s="1084"/>
    </row>
    <row r="151" spans="1:7" s="746" customFormat="1" ht="14.65" customHeight="1">
      <c r="A151" s="838"/>
      <c r="B151" s="823" t="s">
        <v>328</v>
      </c>
      <c r="C151" s="839"/>
      <c r="D151" s="1019" t="s">
        <v>1486</v>
      </c>
      <c r="E151" s="1019"/>
      <c r="F151" s="1019"/>
      <c r="G151" s="840"/>
    </row>
    <row r="152" spans="1:7" s="746" customFormat="1" ht="14.6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1445</v>
      </c>
      <c r="E172" s="1022"/>
      <c r="F172" s="1022"/>
      <c r="G172" s="844"/>
    </row>
    <row r="173" spans="1:7" ht="12" customHeight="1">
      <c r="A173" s="842"/>
      <c r="B173" s="842"/>
      <c r="C173" s="843"/>
      <c r="D173" s="844"/>
      <c r="E173" s="845"/>
      <c r="F173" s="844"/>
      <c r="G173" s="844"/>
    </row>
    <row r="174" spans="1:7" ht="14.25">
      <c r="A174" s="822"/>
      <c r="B174" s="823" t="s">
        <v>328</v>
      </c>
      <c r="C174" s="843"/>
      <c r="D174" s="1020" t="s">
        <v>1309</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328</v>
      </c>
      <c r="C182" s="831"/>
      <c r="D182" s="1020" t="s">
        <v>1474</v>
      </c>
      <c r="E182" s="1020"/>
      <c r="F182" s="1020"/>
      <c r="G182" s="717"/>
    </row>
    <row r="183" spans="1:7" s="642" customFormat="1" ht="14.6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80" t="s">
        <v>221</v>
      </c>
      <c r="E189" s="1080"/>
      <c r="F189" s="1080"/>
    </row>
    <row r="190" spans="1:7">
      <c r="A190" s="818"/>
      <c r="B190" s="818"/>
      <c r="C190" s="818"/>
      <c r="D190" s="1058" t="s">
        <v>1332</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328</v>
      </c>
      <c r="D193" s="1020" t="s">
        <v>1327</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1328</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328</v>
      </c>
      <c r="D203" s="1059" t="s">
        <v>1329</v>
      </c>
      <c r="E203" s="1059"/>
      <c r="F203" s="1059"/>
    </row>
    <row r="204" spans="1:6" ht="14.25">
      <c r="A204" s="822"/>
      <c r="B204" s="822"/>
      <c r="D204" s="1059"/>
      <c r="E204" s="1059"/>
      <c r="F204" s="1059"/>
    </row>
    <row r="205" spans="1:6" ht="14.25">
      <c r="A205" s="822"/>
      <c r="B205" s="822"/>
      <c r="D205" s="1061" t="s">
        <v>992</v>
      </c>
      <c r="E205" s="1061"/>
      <c r="F205" s="1061"/>
    </row>
    <row r="206" spans="1:6" ht="14.25">
      <c r="A206" s="822"/>
      <c r="B206" s="822"/>
      <c r="D206" s="825"/>
      <c r="E206" s="825"/>
      <c r="F206" s="825"/>
    </row>
    <row r="207" spans="1:6" ht="14.65" customHeight="1">
      <c r="A207" s="822"/>
      <c r="B207" s="823" t="s">
        <v>328</v>
      </c>
      <c r="D207" s="1059" t="s">
        <v>1331</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328</v>
      </c>
      <c r="D213" s="1020" t="s">
        <v>1330</v>
      </c>
      <c r="E213" s="1020"/>
      <c r="F213" s="1020"/>
    </row>
    <row r="214" spans="1:7" ht="14.25">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284</v>
      </c>
      <c r="E220" s="975"/>
      <c r="F220" s="975"/>
    </row>
    <row r="221" spans="1:7" ht="14.65" customHeight="1">
      <c r="A221" s="822"/>
      <c r="B221" s="823" t="s">
        <v>328</v>
      </c>
      <c r="D221" s="1071" t="s">
        <v>1446</v>
      </c>
      <c r="E221" s="1071"/>
      <c r="F221" s="1071"/>
    </row>
    <row r="222" spans="1:7">
      <c r="D222" s="1071"/>
      <c r="E222" s="1071"/>
      <c r="F222" s="1071"/>
    </row>
    <row r="223" spans="1:7">
      <c r="D223" s="1058" t="s">
        <v>983</v>
      </c>
      <c r="E223" s="1058"/>
      <c r="F223" s="1058"/>
    </row>
    <row r="224" spans="1:7">
      <c r="D224" s="825"/>
      <c r="E224" s="825"/>
      <c r="F224" s="825"/>
    </row>
    <row r="225" spans="1:7" ht="14.65" customHeight="1">
      <c r="A225" s="822"/>
      <c r="B225" s="823" t="s">
        <v>328</v>
      </c>
      <c r="D225" s="1059" t="s">
        <v>1447</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328</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222</v>
      </c>
      <c r="E240" s="975"/>
      <c r="F240" s="975"/>
    </row>
    <row r="241" spans="1:7" ht="15.75" customHeight="1">
      <c r="A241" s="822"/>
      <c r="B241" s="822"/>
      <c r="D241" s="1060" t="s">
        <v>1339</v>
      </c>
      <c r="E241" s="1060"/>
      <c r="F241" s="1060"/>
    </row>
    <row r="242" spans="1:7">
      <c r="E242" s="825"/>
      <c r="F242" s="825"/>
    </row>
    <row r="243" spans="1:7" ht="14.25">
      <c r="A243" s="822"/>
      <c r="B243" s="823" t="s">
        <v>328</v>
      </c>
      <c r="D243" s="1020" t="s">
        <v>1340</v>
      </c>
      <c r="E243" s="1020"/>
      <c r="F243" s="1020"/>
    </row>
    <row r="244" spans="1:7" ht="14.25">
      <c r="A244" s="822"/>
      <c r="B244" s="822"/>
      <c r="D244" s="1020"/>
      <c r="E244" s="1020"/>
      <c r="F244" s="1020"/>
    </row>
    <row r="245" spans="1:7">
      <c r="D245" s="825"/>
      <c r="E245" s="825"/>
      <c r="F245" s="825"/>
    </row>
    <row r="246" spans="1:7" ht="14.25">
      <c r="A246" s="822"/>
      <c r="B246" s="823" t="s">
        <v>328</v>
      </c>
      <c r="D246" s="1059" t="s">
        <v>1341</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328</v>
      </c>
      <c r="D250" s="1020" t="s">
        <v>1342</v>
      </c>
      <c r="E250" s="1020"/>
      <c r="F250" s="1020"/>
    </row>
    <row r="251" spans="1:7" ht="14.25">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1343</v>
      </c>
      <c r="E256" s="1025"/>
      <c r="F256" s="1025"/>
    </row>
    <row r="257" spans="1:7">
      <c r="C257" s="841"/>
      <c r="D257" s="848"/>
    </row>
    <row r="258" spans="1:7">
      <c r="A258" s="826"/>
      <c r="B258" s="823" t="s">
        <v>328</v>
      </c>
      <c r="D258" s="1025" t="s">
        <v>1344</v>
      </c>
      <c r="E258" s="1025"/>
      <c r="F258" s="1025"/>
    </row>
    <row r="259" spans="1:7" s="816" customFormat="1" ht="14.25">
      <c r="A259" s="830"/>
      <c r="B259" s="830"/>
      <c r="C259" s="826"/>
      <c r="D259" s="849"/>
      <c r="E259" s="850"/>
      <c r="F259" s="850"/>
      <c r="G259" s="827"/>
    </row>
    <row r="260" spans="1:7" s="816" customFormat="1" ht="13.7" customHeight="1">
      <c r="A260" s="826"/>
      <c r="B260" s="823" t="s">
        <v>328</v>
      </c>
      <c r="C260" s="826"/>
      <c r="D260" s="1064" t="s">
        <v>1479</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328</v>
      </c>
      <c r="C266" s="826"/>
      <c r="D266" s="1064" t="s">
        <v>1346</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328</v>
      </c>
      <c r="D269" s="1025" t="s">
        <v>1347</v>
      </c>
      <c r="E269" s="1025"/>
      <c r="F269" s="1025"/>
    </row>
    <row r="270" spans="1:7">
      <c r="E270" s="825"/>
      <c r="F270" s="825"/>
    </row>
    <row r="271" spans="1:7" ht="14.25">
      <c r="A271" s="822"/>
      <c r="B271" s="823" t="s">
        <v>328</v>
      </c>
      <c r="D271" s="1059" t="s">
        <v>1509</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328</v>
      </c>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328</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1092</v>
      </c>
      <c r="E304" s="1070"/>
      <c r="F304" s="1070"/>
      <c r="G304" s="815"/>
    </row>
    <row r="305" spans="1:7" ht="13.5" thickTop="1">
      <c r="D305" s="1065" t="s">
        <v>1351</v>
      </c>
      <c r="E305" s="1065"/>
      <c r="F305" s="1065"/>
      <c r="G305" s="815"/>
    </row>
    <row r="306" spans="1:7">
      <c r="A306" s="839"/>
      <c r="B306" s="839"/>
      <c r="C306" s="839"/>
      <c r="D306" s="811"/>
      <c r="E306" s="811"/>
      <c r="F306" s="825"/>
      <c r="G306" s="815"/>
    </row>
    <row r="307" spans="1:7" ht="14.25">
      <c r="A307" s="822"/>
      <c r="B307" s="823" t="s">
        <v>328</v>
      </c>
      <c r="C307" s="839"/>
      <c r="D307" s="1032" t="s">
        <v>1352</v>
      </c>
      <c r="E307" s="1032"/>
      <c r="F307" s="1032"/>
      <c r="G307" s="815"/>
    </row>
    <row r="308" spans="1:7">
      <c r="A308" s="839"/>
      <c r="B308" s="839"/>
      <c r="C308" s="839"/>
      <c r="D308" s="811"/>
      <c r="E308" s="811"/>
      <c r="F308" s="825"/>
      <c r="G308" s="815"/>
    </row>
    <row r="309" spans="1:7">
      <c r="A309" s="839"/>
      <c r="B309" s="823" t="s">
        <v>328</v>
      </c>
      <c r="C309" s="839"/>
      <c r="D309" s="1016" t="s">
        <v>1483</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328</v>
      </c>
      <c r="C321" s="839"/>
      <c r="D321" s="1066" t="s">
        <v>1484</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328</v>
      </c>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328</v>
      </c>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65" customHeight="1">
      <c r="A362" s="822"/>
      <c r="B362" s="914" t="s">
        <v>328</v>
      </c>
      <c r="D362" s="1028" t="s">
        <v>1603</v>
      </c>
      <c r="E362" s="1028"/>
      <c r="F362" s="1028"/>
    </row>
    <row r="363" spans="1:7" ht="14.65" customHeight="1">
      <c r="A363" s="822"/>
      <c r="D363" s="1028"/>
      <c r="E363" s="1028"/>
      <c r="F363" s="1028"/>
    </row>
    <row r="364" spans="1:7" ht="14.65" customHeight="1">
      <c r="A364" s="822"/>
      <c r="D364" s="1028"/>
      <c r="E364" s="1028"/>
      <c r="F364" s="1028"/>
    </row>
    <row r="365" spans="1:7" ht="14.65" customHeight="1">
      <c r="A365" s="822"/>
      <c r="D365" s="1028"/>
      <c r="E365" s="1028"/>
      <c r="F365" s="1028"/>
    </row>
    <row r="366" spans="1:7" ht="14.65" customHeight="1">
      <c r="A366" s="822"/>
      <c r="D366" s="1028"/>
      <c r="E366" s="1028"/>
      <c r="F366" s="1028"/>
    </row>
    <row r="367" spans="1:7" ht="14.65" customHeight="1">
      <c r="A367" s="822"/>
      <c r="D367" s="913"/>
      <c r="E367" s="913"/>
      <c r="F367" s="913"/>
    </row>
    <row r="368" spans="1:7" ht="13.7" customHeight="1">
      <c r="A368" s="822"/>
      <c r="B368" s="823" t="s">
        <v>328</v>
      </c>
      <c r="C368" s="839"/>
      <c r="D368" s="1016" t="s">
        <v>1510</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328</v>
      </c>
      <c r="C374" s="854"/>
      <c r="D374" s="1020" t="s">
        <v>1359</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328</v>
      </c>
      <c r="C406" s="854"/>
      <c r="D406" s="1025" t="s">
        <v>1360</v>
      </c>
      <c r="E406" s="1025"/>
      <c r="F406" s="1025"/>
    </row>
    <row r="407" spans="1:7">
      <c r="D407" s="1029" t="s">
        <v>1507</v>
      </c>
      <c r="E407" s="1029"/>
      <c r="F407" s="1029"/>
    </row>
    <row r="408" spans="1:7">
      <c r="D408" s="1059" t="s">
        <v>1506</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328</v>
      </c>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328</v>
      </c>
      <c r="C416" s="822"/>
      <c r="D416" s="1059" t="s">
        <v>1448</v>
      </c>
      <c r="E416" s="1059"/>
      <c r="F416" s="1059"/>
      <c r="G416" s="815"/>
    </row>
    <row r="417" spans="1:7">
      <c r="D417" s="1059"/>
      <c r="E417" s="1059"/>
      <c r="F417" s="1059"/>
      <c r="G417" s="815"/>
    </row>
    <row r="418" spans="1:7">
      <c r="D418" s="825"/>
      <c r="E418" s="825"/>
      <c r="F418" s="825"/>
      <c r="G418" s="815"/>
    </row>
    <row r="419" spans="1:7" ht="14.25">
      <c r="B419" s="823" t="s">
        <v>328</v>
      </c>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328</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328</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328</v>
      </c>
      <c r="C430" s="815"/>
      <c r="D430" s="1059"/>
      <c r="E430" s="1059"/>
      <c r="F430" s="1059"/>
      <c r="G430" s="815"/>
    </row>
    <row r="431" spans="1:7">
      <c r="A431" s="815"/>
      <c r="B431" s="815"/>
      <c r="C431" s="815"/>
      <c r="D431" s="1059"/>
      <c r="E431" s="1059"/>
      <c r="F431" s="1059"/>
      <c r="G431" s="815"/>
    </row>
    <row r="432" spans="1:7">
      <c r="A432" s="815"/>
      <c r="B432" s="823" t="s">
        <v>328</v>
      </c>
      <c r="C432" s="815"/>
      <c r="D432" s="1059"/>
      <c r="E432" s="1059"/>
      <c r="F432" s="1059"/>
      <c r="G432" s="815"/>
    </row>
    <row r="433" spans="1:7">
      <c r="A433" s="815"/>
      <c r="B433" s="815"/>
      <c r="C433" s="815"/>
      <c r="D433" s="857"/>
      <c r="E433" s="857"/>
      <c r="F433" s="857"/>
      <c r="G433" s="815"/>
    </row>
    <row r="434" spans="1:7">
      <c r="A434" s="815"/>
      <c r="B434" s="823" t="s">
        <v>328</v>
      </c>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328</v>
      </c>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977</v>
      </c>
      <c r="E444" s="1036"/>
      <c r="F444" s="1036"/>
    </row>
    <row r="445" spans="1:7" s="816" customFormat="1" ht="14.25">
      <c r="A445" s="830"/>
      <c r="B445" s="830"/>
      <c r="C445" s="826"/>
      <c r="D445" s="1037" t="s">
        <v>1367</v>
      </c>
      <c r="E445" s="1037"/>
      <c r="F445" s="1037"/>
      <c r="G445" s="827"/>
    </row>
    <row r="446" spans="1:7" s="816" customFormat="1" ht="14.25">
      <c r="A446" s="830"/>
      <c r="B446" s="830"/>
      <c r="C446" s="826"/>
      <c r="D446" s="812"/>
      <c r="E446" s="696"/>
      <c r="F446" s="696"/>
      <c r="G446" s="827"/>
    </row>
    <row r="447" spans="1:7" s="816" customFormat="1" ht="14.25">
      <c r="A447" s="822"/>
      <c r="B447" s="823" t="s">
        <v>328</v>
      </c>
      <c r="C447" s="826"/>
      <c r="D447" s="1038" t="s">
        <v>1368</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328</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328</v>
      </c>
      <c r="D455" s="1025" t="s">
        <v>1371</v>
      </c>
      <c r="E455" s="1025"/>
      <c r="F455" s="1025"/>
      <c r="G455" s="815"/>
    </row>
    <row r="456" spans="1:7" ht="14.25">
      <c r="A456" s="822"/>
      <c r="B456" s="822"/>
      <c r="D456" s="810"/>
      <c r="E456" s="696"/>
      <c r="F456" s="696"/>
      <c r="G456" s="815"/>
    </row>
    <row r="457" spans="1:7" ht="14.25">
      <c r="A457" s="822"/>
      <c r="B457" s="823" t="s">
        <v>328</v>
      </c>
      <c r="D457" s="1020" t="s">
        <v>1372</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328</v>
      </c>
      <c r="D460" s="1025" t="s">
        <v>1373</v>
      </c>
      <c r="E460" s="1025"/>
      <c r="F460" s="102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9" t="s">
        <v>1450</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65" customHeight="1">
      <c r="A471" s="822"/>
      <c r="B471" s="823" t="s">
        <v>328</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65" customHeight="1">
      <c r="A477" s="822"/>
      <c r="B477" s="823" t="s">
        <v>328</v>
      </c>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65" customHeight="1">
      <c r="A482" s="822"/>
      <c r="B482" s="823" t="s">
        <v>328</v>
      </c>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65" customHeight="1">
      <c r="A486" s="822"/>
      <c r="B486" s="823" t="s">
        <v>328</v>
      </c>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328</v>
      </c>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328</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65" customHeight="1">
      <c r="A505" s="822"/>
      <c r="B505" s="823" t="s">
        <v>328</v>
      </c>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1267</v>
      </c>
      <c r="E516" s="1025"/>
      <c r="F516" s="1025"/>
    </row>
    <row r="517" spans="1:7">
      <c r="C517" s="854"/>
      <c r="D517" s="810"/>
      <c r="E517" s="810"/>
      <c r="F517" s="810"/>
    </row>
    <row r="518" spans="1:7" ht="13.7" customHeight="1">
      <c r="A518" s="822"/>
      <c r="B518" s="823" t="s">
        <v>328</v>
      </c>
      <c r="C518" s="854"/>
      <c r="D518" s="1025" t="s">
        <v>978</v>
      </c>
      <c r="E518" s="1025"/>
      <c r="F518" s="1025"/>
      <c r="G518" s="815"/>
    </row>
    <row r="519" spans="1:7" ht="13.7" customHeight="1">
      <c r="A519" s="854"/>
      <c r="B519" s="854"/>
      <c r="C519" s="854"/>
      <c r="D519" s="810"/>
      <c r="E519" s="642"/>
      <c r="F519" s="642"/>
      <c r="G519" s="815"/>
    </row>
    <row r="520" spans="1:7" ht="14.25">
      <c r="A520" s="822"/>
      <c r="B520" s="823" t="s">
        <v>328</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328</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328</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328</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328</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328</v>
      </c>
      <c r="C539" s="854"/>
      <c r="D539" s="1025" t="s">
        <v>1274</v>
      </c>
      <c r="E539" s="1025"/>
      <c r="F539" s="1025"/>
      <c r="G539" s="844"/>
    </row>
    <row r="540" spans="1:7">
      <c r="A540" s="841"/>
      <c r="B540" s="841"/>
      <c r="C540" s="854"/>
      <c r="D540" s="1025" t="s">
        <v>904</v>
      </c>
      <c r="E540" s="1025"/>
      <c r="F540" s="1025"/>
      <c r="G540" s="844"/>
    </row>
    <row r="541" spans="1:7">
      <c r="A541" s="841"/>
      <c r="B541" s="841"/>
      <c r="C541" s="854"/>
      <c r="D541" s="696"/>
      <c r="E541" s="1060" t="s">
        <v>1275</v>
      </c>
      <c r="F541" s="1060"/>
      <c r="G541" s="844"/>
    </row>
    <row r="542" spans="1:7" ht="14.25">
      <c r="A542" s="822"/>
      <c r="B542" s="822"/>
      <c r="C542" s="854"/>
      <c r="E542" s="825"/>
      <c r="F542" s="825"/>
      <c r="G542" s="844"/>
    </row>
    <row r="543" spans="1:7" ht="14.25">
      <c r="A543" s="822"/>
      <c r="B543" s="823" t="s">
        <v>328</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328</v>
      </c>
      <c r="C548" s="854"/>
      <c r="D548" s="1020" t="s">
        <v>1278</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62" t="s">
        <v>224</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328</v>
      </c>
      <c r="D558" s="1007" t="s">
        <v>984</v>
      </c>
      <c r="E558" s="1007"/>
      <c r="F558" s="1007"/>
      <c r="G558" s="844"/>
    </row>
    <row r="559" spans="1:7">
      <c r="A559" s="841"/>
      <c r="B559" s="841"/>
      <c r="D559" s="839"/>
    </row>
    <row r="560" spans="1:7">
      <c r="A560" s="841"/>
      <c r="B560" s="823" t="s">
        <v>328</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328</v>
      </c>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328</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t="s">
        <v>328</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328</v>
      </c>
      <c r="D575" s="1007" t="s">
        <v>979</v>
      </c>
      <c r="E575" s="1007"/>
      <c r="F575" s="1007"/>
      <c r="G575" s="815"/>
    </row>
    <row r="576" spans="1:7" ht="14.25">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25">
      <c r="A582" s="830"/>
      <c r="B582" s="823" t="s">
        <v>328</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328</v>
      </c>
      <c r="D592" s="976" t="s">
        <v>466</v>
      </c>
      <c r="E592" s="976"/>
      <c r="F592" s="976"/>
      <c r="G592" s="844"/>
    </row>
    <row r="593" spans="1:7">
      <c r="C593" s="866"/>
      <c r="E593" s="815"/>
      <c r="G593" s="844"/>
    </row>
    <row r="594" spans="1:7">
      <c r="A594" s="841"/>
      <c r="B594" s="823" t="s">
        <v>328</v>
      </c>
      <c r="D594" s="979" t="s">
        <v>1317</v>
      </c>
      <c r="E594" s="979"/>
      <c r="F594" s="979"/>
      <c r="G594" s="844"/>
    </row>
    <row r="595" spans="1:7">
      <c r="D595" s="979"/>
      <c r="E595" s="979"/>
      <c r="F595" s="979"/>
      <c r="G595" s="844"/>
    </row>
    <row r="596" spans="1:7">
      <c r="D596" s="815"/>
      <c r="G596" s="844"/>
    </row>
    <row r="597" spans="1:7">
      <c r="B597" s="823" t="s">
        <v>328</v>
      </c>
      <c r="D597" s="979" t="s">
        <v>1318</v>
      </c>
      <c r="E597" s="979"/>
      <c r="F597" s="979"/>
      <c r="G597" s="844"/>
    </row>
    <row r="598" spans="1:7">
      <c r="C598" s="866"/>
      <c r="D598" s="979"/>
      <c r="E598" s="979"/>
      <c r="F598" s="979"/>
      <c r="G598" s="844"/>
    </row>
    <row r="599" spans="1:7">
      <c r="C599" s="866"/>
      <c r="G599" s="844"/>
    </row>
    <row r="600" spans="1:7">
      <c r="B600" s="823" t="s">
        <v>328</v>
      </c>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25">
      <c r="A607" s="822"/>
      <c r="B607" s="823" t="s">
        <v>328</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328</v>
      </c>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328</v>
      </c>
      <c r="C617" s="854"/>
      <c r="D617" s="977" t="s">
        <v>1491</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328</v>
      </c>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75" customHeight="1">
      <c r="B627" s="823" t="s">
        <v>328</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65" customHeight="1">
      <c r="A631" s="822"/>
      <c r="B631" s="822"/>
      <c r="C631" s="854"/>
      <c r="D631" s="943"/>
      <c r="E631" s="943"/>
      <c r="F631" s="943"/>
      <c r="G631" s="844"/>
    </row>
    <row r="632" spans="1:7" ht="12.75" customHeight="1">
      <c r="A632" s="820"/>
      <c r="B632" s="823" t="s">
        <v>328</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328</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328</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328</v>
      </c>
      <c r="C653" s="854"/>
      <c r="D653" s="1072" t="s">
        <v>1226</v>
      </c>
      <c r="E653" s="1072"/>
      <c r="F653" s="1072"/>
      <c r="G653" s="844"/>
    </row>
    <row r="654" spans="1:7" ht="14.25">
      <c r="A654" s="822"/>
      <c r="B654" s="822"/>
      <c r="C654" s="854"/>
      <c r="D654" s="979" t="s">
        <v>1377</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0" t="s">
        <v>1453</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5" t="s">
        <v>1021</v>
      </c>
      <c r="E676" s="1025"/>
      <c r="F676" s="1025"/>
      <c r="G676" s="844"/>
      <c r="H676" s="869"/>
      <c r="I676" s="869"/>
      <c r="J676" s="869"/>
      <c r="K676" s="869"/>
    </row>
    <row r="677" spans="1:11" ht="14.25">
      <c r="A677" s="822"/>
      <c r="B677" s="822"/>
      <c r="C677" s="820"/>
      <c r="D677" s="1025" t="s">
        <v>991</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7" t="s">
        <v>1511</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328</v>
      </c>
      <c r="C749" s="878"/>
      <c r="D749" s="1067" t="s">
        <v>1512</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328</v>
      </c>
      <c r="C753" s="826"/>
      <c r="D753" s="977" t="s">
        <v>1449</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7" t="s">
        <v>1473</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328</v>
      </c>
      <c r="C766" s="831"/>
      <c r="D766" s="999" t="s">
        <v>1102</v>
      </c>
      <c r="E766" s="999"/>
      <c r="F766" s="999"/>
      <c r="G766" s="874"/>
    </row>
    <row r="767" spans="1:11" ht="14.25">
      <c r="A767" s="822"/>
      <c r="B767" s="815"/>
      <c r="C767" s="831"/>
      <c r="D767" s="921"/>
      <c r="E767" s="1000" t="s">
        <v>1225</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328</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43" zoomScaleNormal="100" zoomScaleSheetLayoutView="100" workbookViewId="0">
      <selection activeCell="G570" sqref="G570:R57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2" t="s">
        <v>107</v>
      </c>
      <c r="B8" s="1582"/>
      <c r="C8" s="158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row>
    <row r="9" spans="1:38" ht="15" customHeight="1">
      <c r="A9" s="1329" t="s">
        <v>1568</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row>
    <row r="10" spans="1:38" ht="15" customHeight="1">
      <c r="A10" s="1581" t="s">
        <v>1569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row>
    <row r="11" spans="1:38" ht="15" customHeight="1">
      <c r="A11" s="1581" t="s">
        <v>1567</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row>
    <row r="12" spans="1:38" ht="12.75">
      <c r="A12" s="1308" t="s">
        <v>1642</v>
      </c>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row>
    <row r="13" spans="1:38" ht="12.75">
      <c r="A13" s="971" t="s">
        <v>1426</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5" t="s">
        <v>1643</v>
      </c>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row>
    <row r="17" spans="1:39" ht="12.75" customHeight="1"/>
    <row r="18" spans="1:39" ht="12.75" customHeight="1">
      <c r="A18" s="137" t="s">
        <v>108</v>
      </c>
      <c r="C18" s="7"/>
      <c r="D18" s="7"/>
      <c r="E18" s="7"/>
      <c r="F18" s="7"/>
      <c r="G18" s="7"/>
      <c r="H18" s="1317" t="s">
        <v>1644</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2" t="s">
        <v>965</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39" ht="12.75" customHeight="1">
      <c r="A21" s="1316" t="s">
        <v>1153</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3">
        <f>'Basis &amp; Credits'!AB56</f>
        <v>3216303</v>
      </c>
      <c r="N26" s="1313"/>
      <c r="O26" s="1313"/>
      <c r="P26" s="1313"/>
      <c r="Q26" s="131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1">
        <f>'Basis &amp; Credits'!AB77</f>
        <v>9100000</v>
      </c>
      <c r="N27" s="1381"/>
      <c r="O27" s="1381"/>
      <c r="P27" s="1381"/>
      <c r="Q27" s="138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7" t="s">
        <v>591</v>
      </c>
      <c r="P33" s="1117"/>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0"/>
      <c r="H122" s="1310"/>
      <c r="I122" s="247" t="s">
        <v>194</v>
      </c>
      <c r="L122" s="1310"/>
      <c r="M122" s="1310"/>
      <c r="N122" s="1310"/>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7"/>
      <c r="D124" s="1307"/>
      <c r="E124" s="1307"/>
      <c r="F124" s="1307"/>
      <c r="G124" s="1307"/>
      <c r="H124" s="1307"/>
      <c r="I124" s="1307"/>
      <c r="J124" s="1307"/>
      <c r="K124" s="13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0"/>
      <c r="Z126" s="1310"/>
      <c r="AA126" s="1310"/>
      <c r="AB126" s="1310"/>
      <c r="AC126" s="1310"/>
      <c r="AD126" s="1310"/>
      <c r="AE126" s="1310"/>
      <c r="AF126" s="1310"/>
      <c r="AG126" s="1310"/>
      <c r="AH126" s="1310"/>
      <c r="AI126" s="1310"/>
      <c r="AJ126" s="1310"/>
      <c r="AK126" s="131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1" t="s">
        <v>1659</v>
      </c>
      <c r="Z129" s="1311"/>
      <c r="AA129" s="1311"/>
      <c r="AB129" s="1311"/>
      <c r="AC129" s="1311"/>
      <c r="AD129" s="1311"/>
      <c r="AE129" s="1311"/>
      <c r="AF129" s="1311"/>
      <c r="AG129" s="1311"/>
      <c r="AH129" s="1311"/>
      <c r="AI129" s="1311"/>
      <c r="AJ129" s="1311"/>
      <c r="AK129" s="131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1" t="s">
        <v>1798</v>
      </c>
      <c r="Z132" s="1311"/>
      <c r="AA132" s="1311"/>
      <c r="AB132" s="1311"/>
      <c r="AC132" s="1311"/>
      <c r="AD132" s="1311"/>
      <c r="AE132" s="1311"/>
      <c r="AF132" s="1311"/>
      <c r="AG132" s="1311"/>
      <c r="AH132" s="1311"/>
      <c r="AI132" s="1311"/>
      <c r="AJ132" s="1311"/>
      <c r="AK132" s="131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7" t="s">
        <v>1645</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75" customHeight="1">
      <c r="D154" s="483" t="s">
        <v>475</v>
      </c>
      <c r="F154" s="32"/>
      <c r="G154" s="32"/>
      <c r="H154" s="32"/>
      <c r="I154" s="32"/>
      <c r="J154" s="32"/>
      <c r="K154" s="32"/>
      <c r="L154" s="32"/>
      <c r="M154" s="32"/>
      <c r="N154" s="32"/>
      <c r="O154" s="1177" t="s">
        <v>1646</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75">
      <c r="D155" s="13" t="s">
        <v>477</v>
      </c>
      <c r="F155" s="13"/>
      <c r="G155" s="13"/>
      <c r="H155" s="13"/>
      <c r="I155" s="13"/>
      <c r="J155" s="13"/>
      <c r="K155" s="13"/>
      <c r="L155" s="13"/>
      <c r="M155" s="13"/>
      <c r="N155" s="13"/>
      <c r="O155" s="1325" t="s">
        <v>476</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75">
      <c r="D156" s="32" t="s">
        <v>334</v>
      </c>
      <c r="F156" s="32"/>
      <c r="G156" s="32"/>
      <c r="H156" s="32"/>
      <c r="I156" s="32"/>
      <c r="J156" s="32"/>
      <c r="K156" s="32"/>
      <c r="L156" s="32"/>
      <c r="M156" s="32"/>
      <c r="N156" s="32"/>
      <c r="O156" s="1089" t="s">
        <v>1647</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328</v>
      </c>
    </row>
    <row r="157" spans="1:59" ht="12.75">
      <c r="D157" s="32" t="s">
        <v>335</v>
      </c>
      <c r="F157" s="32"/>
      <c r="G157" s="32"/>
      <c r="H157" s="32"/>
      <c r="I157" s="32"/>
      <c r="J157" s="32"/>
      <c r="K157" s="32"/>
      <c r="L157" s="32"/>
      <c r="M157" s="32"/>
      <c r="N157" s="32"/>
      <c r="O157" s="1317" t="s">
        <v>1648</v>
      </c>
      <c r="P157" s="1148"/>
      <c r="Q157" s="1148"/>
      <c r="R157" s="1148"/>
      <c r="S157" s="1148"/>
      <c r="T157" s="1148"/>
      <c r="U157" s="1148"/>
      <c r="V157" s="1148"/>
      <c r="W157" s="1148"/>
      <c r="X157" s="1148"/>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0">
        <v>91950</v>
      </c>
      <c r="P158" s="1540"/>
      <c r="Q158" s="1540"/>
      <c r="R158" s="1540"/>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327" t="s">
        <v>1649</v>
      </c>
      <c r="P159" s="1327"/>
      <c r="Q159" s="1327"/>
      <c r="R159" s="1327"/>
      <c r="S159" s="1327"/>
      <c r="T159" s="1327"/>
      <c r="V159" s="149" t="s">
        <v>286</v>
      </c>
      <c r="W159" s="1541"/>
      <c r="X159" s="1541"/>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27" t="s">
        <v>1650</v>
      </c>
      <c r="P160" s="1327"/>
      <c r="Q160" s="1327"/>
      <c r="R160" s="1327"/>
      <c r="S160" s="1327"/>
      <c r="T160" s="1327"/>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12" t="s">
        <v>1651</v>
      </c>
      <c r="P161" s="1312"/>
      <c r="Q161" s="1312"/>
      <c r="R161" s="1312"/>
      <c r="S161" s="1312"/>
      <c r="T161" s="1312"/>
      <c r="U161" s="1312"/>
      <c r="V161" s="1312"/>
      <c r="W161" s="1312"/>
      <c r="X161" s="1312"/>
      <c r="Y161" s="1312"/>
      <c r="Z161" s="1312"/>
      <c r="AA161" s="1312"/>
      <c r="AB161" s="1312"/>
      <c r="AC161" s="1312"/>
      <c r="AD161" s="1312"/>
      <c r="AE161" s="1312"/>
      <c r="AF161" s="1312"/>
      <c r="AG161" s="1312"/>
      <c r="AH161" s="131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6" t="s">
        <v>1508</v>
      </c>
      <c r="E164" s="1336"/>
      <c r="F164" s="1336"/>
      <c r="G164" s="1336"/>
      <c r="H164" s="1336"/>
      <c r="I164" s="1336"/>
      <c r="J164" s="1336"/>
      <c r="K164" s="1336"/>
      <c r="L164" s="1336"/>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0" t="s">
        <v>585</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726</v>
      </c>
      <c r="BG169" s="12" t="s">
        <v>534</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35" t="s">
        <v>402</v>
      </c>
      <c r="K173" s="1335"/>
      <c r="L173" s="1335"/>
      <c r="M173" s="1335"/>
      <c r="N173" s="1335"/>
      <c r="O173" s="1335"/>
      <c r="P173" s="1335"/>
      <c r="Q173" s="1335"/>
      <c r="R173" s="1335"/>
      <c r="S173" s="1335"/>
      <c r="U173" s="40"/>
      <c r="X173" s="40"/>
      <c r="AF173" s="25"/>
      <c r="AH173" s="25"/>
      <c r="AJ173" s="3"/>
      <c r="AK173" s="3"/>
      <c r="AL173" s="3"/>
      <c r="BA173" s="36" t="s">
        <v>228</v>
      </c>
      <c r="BG173" s="12" t="s">
        <v>538</v>
      </c>
    </row>
    <row r="174" spans="1:59" ht="12.75">
      <c r="A174" s="25"/>
      <c r="C174" s="38"/>
      <c r="D174" s="58" t="s">
        <v>1456</v>
      </c>
      <c r="E174" s="25"/>
      <c r="F174" s="25"/>
      <c r="G174" s="25"/>
      <c r="H174" s="25"/>
      <c r="I174" s="25"/>
      <c r="J174" s="1089" t="s">
        <v>1652</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7" t="s">
        <v>722</v>
      </c>
      <c r="V175" s="1117"/>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3"/>
      <c r="V176" s="1333"/>
      <c r="W176" s="4" t="s">
        <v>327</v>
      </c>
      <c r="X176" s="1324"/>
      <c r="Y176" s="1324"/>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7" t="s">
        <v>722</v>
      </c>
      <c r="S177" s="1117"/>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89"/>
      <c r="AG178" s="1589"/>
      <c r="AH178" s="4" t="s">
        <v>327</v>
      </c>
      <c r="AI178" s="1543"/>
      <c r="AJ178" s="1543"/>
      <c r="AK178" s="1543"/>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7" t="s">
        <v>722</v>
      </c>
      <c r="Y180" s="1117"/>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6" t="str">
        <f>H18</f>
        <v>The Courtyards at Kimball</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246</v>
      </c>
      <c r="BG186" s="12" t="s">
        <v>69</v>
      </c>
    </row>
    <row r="187" spans="1:59" ht="12.75">
      <c r="A187" s="25"/>
      <c r="C187" s="45"/>
      <c r="D187" s="25" t="s">
        <v>629</v>
      </c>
      <c r="E187" s="25"/>
      <c r="F187" s="25"/>
      <c r="G187" s="25"/>
      <c r="H187" s="25"/>
      <c r="I187" s="1088" t="s">
        <v>1653</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328</v>
      </c>
      <c r="BA189" s="36" t="s">
        <v>250</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1192</v>
      </c>
      <c r="BA190" s="36" t="s">
        <v>685</v>
      </c>
      <c r="BG190" s="12" t="s">
        <v>73</v>
      </c>
    </row>
    <row r="191" spans="1:59" ht="12.75">
      <c r="A191" s="25"/>
      <c r="C191" s="45"/>
      <c r="D191" s="25" t="s">
        <v>630</v>
      </c>
      <c r="E191" s="25"/>
      <c r="I191" s="1089" t="s">
        <v>1648</v>
      </c>
      <c r="J191" s="1089"/>
      <c r="K191" s="1089"/>
      <c r="L191" s="1089"/>
      <c r="M191" s="1089"/>
      <c r="N191" s="1089"/>
      <c r="O191" s="1089"/>
      <c r="P191" s="1089"/>
      <c r="Q191" s="25" t="s">
        <v>632</v>
      </c>
      <c r="T191" s="1089" t="s">
        <v>790</v>
      </c>
      <c r="U191" s="1089"/>
      <c r="V191" s="1089"/>
      <c r="W191" s="1089"/>
      <c r="X191" s="1089"/>
      <c r="Y191" s="1089"/>
      <c r="Z191" s="1089"/>
      <c r="AA191" s="1089"/>
      <c r="AB191" s="1089"/>
      <c r="AC191" s="1089"/>
      <c r="AD191" s="1089"/>
      <c r="AE191" s="1089"/>
      <c r="AH191" s="25"/>
      <c r="AJ191" s="3"/>
      <c r="AK191" s="3"/>
      <c r="AL191" s="3"/>
      <c r="AP191" s="12" t="s">
        <v>1193</v>
      </c>
      <c r="BA191" s="36" t="s">
        <v>742</v>
      </c>
      <c r="BG191" s="12" t="s">
        <v>788</v>
      </c>
    </row>
    <row r="192" spans="1:59" ht="12.75">
      <c r="A192" s="25"/>
      <c r="C192" s="46"/>
      <c r="D192" s="25" t="s">
        <v>633</v>
      </c>
      <c r="E192" s="25"/>
      <c r="F192" s="25"/>
      <c r="G192" s="25"/>
      <c r="I192" s="1088">
        <v>91950</v>
      </c>
      <c r="J192" s="1088"/>
      <c r="K192" s="1088"/>
      <c r="L192" s="1088"/>
      <c r="M192" s="1088"/>
      <c r="N192" s="1088"/>
      <c r="O192" s="25" t="s">
        <v>635</v>
      </c>
      <c r="P192" s="25"/>
      <c r="Q192" s="25"/>
      <c r="R192" s="25"/>
      <c r="S192" s="25"/>
      <c r="T192" s="1334">
        <v>117</v>
      </c>
      <c r="U192" s="1334"/>
      <c r="V192" s="1334"/>
      <c r="W192" s="1334"/>
      <c r="X192" s="1334"/>
      <c r="Y192" s="1334"/>
      <c r="Z192" s="1334"/>
      <c r="AA192" s="1334"/>
      <c r="AB192" s="1334"/>
      <c r="AC192" s="1334"/>
      <c r="AD192" s="1334"/>
      <c r="AE192" s="1334"/>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48" t="s">
        <v>1654</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7" t="s">
        <v>722</v>
      </c>
      <c r="U195" s="1117"/>
      <c r="W195" s="25" t="s">
        <v>738</v>
      </c>
      <c r="X195" s="25"/>
      <c r="Y195" s="25"/>
      <c r="Z195" s="25"/>
      <c r="AA195" s="25"/>
      <c r="AB195" s="25"/>
      <c r="AC195" s="25"/>
      <c r="AD195" s="25"/>
      <c r="AE195" s="25"/>
      <c r="AF195" s="25"/>
      <c r="AG195" s="25"/>
      <c r="AH195" s="1117">
        <v>51</v>
      </c>
      <c r="AI195" s="1117"/>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0" t="s">
        <v>591</v>
      </c>
      <c r="U196" s="1120"/>
      <c r="W196" s="25" t="s">
        <v>739</v>
      </c>
      <c r="X196" s="25"/>
      <c r="Y196" s="25"/>
      <c r="Z196" s="25"/>
      <c r="AA196" s="25"/>
      <c r="AB196" s="25"/>
      <c r="AC196" s="25"/>
      <c r="AD196" s="25"/>
      <c r="AE196" s="25"/>
      <c r="AF196" s="25"/>
      <c r="AG196" s="25"/>
      <c r="AH196" s="1117">
        <v>80</v>
      </c>
      <c r="AI196" s="1117"/>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0" t="s">
        <v>722</v>
      </c>
      <c r="U197" s="1120"/>
      <c r="V197" s="12"/>
      <c r="W197" s="25" t="s">
        <v>740</v>
      </c>
      <c r="X197" s="25"/>
      <c r="Y197" s="25"/>
      <c r="Z197" s="25"/>
      <c r="AA197" s="25"/>
      <c r="AB197" s="25"/>
      <c r="AC197" s="25"/>
      <c r="AD197" s="25"/>
      <c r="AE197" s="25"/>
      <c r="AF197" s="25"/>
      <c r="AG197" s="25"/>
      <c r="AH197" s="1117">
        <v>40</v>
      </c>
      <c r="AI197" s="1117"/>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0" t="s">
        <v>722</v>
      </c>
      <c r="Z198" s="11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76" t="s">
        <v>416</v>
      </c>
      <c r="E203" s="1176"/>
      <c r="F203" s="1176"/>
      <c r="G203" s="1176"/>
      <c r="H203" s="1176"/>
      <c r="I203" s="1176"/>
      <c r="J203" s="1176"/>
      <c r="K203" s="1176"/>
      <c r="L203" s="1176"/>
      <c r="M203" s="1176"/>
      <c r="P203" s="1330">
        <f>M26</f>
        <v>3216303</v>
      </c>
      <c r="Q203" s="1331"/>
      <c r="R203" s="1331"/>
      <c r="S203" s="1331"/>
      <c r="T203" s="1331"/>
      <c r="U203" s="133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42" t="s">
        <v>1531</v>
      </c>
      <c r="E204" s="1176"/>
      <c r="F204" s="1176"/>
      <c r="G204" s="1176"/>
      <c r="H204" s="1176"/>
      <c r="I204" s="1176"/>
      <c r="J204" s="1176"/>
      <c r="K204" s="1176"/>
      <c r="L204" s="1176"/>
      <c r="M204" s="1176"/>
      <c r="P204" s="1331">
        <f>M27</f>
        <v>9100000</v>
      </c>
      <c r="Q204" s="1331"/>
      <c r="R204" s="1331"/>
      <c r="S204" s="1331"/>
      <c r="T204" s="1331"/>
      <c r="U204" s="1331"/>
      <c r="V204" s="47"/>
      <c r="W204" s="25" t="s">
        <v>1532</v>
      </c>
      <c r="X204" s="25"/>
      <c r="Y204" s="25"/>
      <c r="Z204" s="25"/>
      <c r="AA204" s="25"/>
      <c r="AB204" s="25"/>
      <c r="AC204" s="25"/>
      <c r="AD204" s="25"/>
      <c r="AE204" s="25"/>
      <c r="AF204" s="1117" t="s">
        <v>722</v>
      </c>
      <c r="AG204" s="1117"/>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48" t="s">
        <v>1655</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8" t="s">
        <v>1193</v>
      </c>
      <c r="E210" s="1148"/>
      <c r="F210" s="1148"/>
      <c r="G210" s="1148"/>
      <c r="H210" s="1148"/>
      <c r="I210" s="1148"/>
      <c r="J210" s="1148"/>
      <c r="K210" s="1148"/>
      <c r="L210" s="1148"/>
      <c r="M210" s="1148"/>
      <c r="N210" s="12" t="s">
        <v>1516</v>
      </c>
      <c r="O210" s="743"/>
      <c r="P210" s="743"/>
      <c r="Q210" s="743"/>
      <c r="R210" s="743"/>
      <c r="S210" s="743"/>
      <c r="T210" s="743"/>
      <c r="U210" s="743"/>
      <c r="V210" s="743"/>
      <c r="W210" s="743"/>
      <c r="X210" s="743"/>
      <c r="Y210" s="743"/>
      <c r="Z210" s="743"/>
      <c r="AH210" s="1117"/>
      <c r="AI210" s="1117"/>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1487</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48" t="s">
        <v>661</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0" t="s">
        <v>586</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408</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641</v>
      </c>
      <c r="AJ221" s="111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591</v>
      </c>
      <c r="AJ222" s="1117"/>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641</v>
      </c>
      <c r="AJ223" s="1117"/>
      <c r="AL223" s="58"/>
      <c r="AN223" s="58"/>
      <c r="AO223" s="400" t="s">
        <v>584</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641</v>
      </c>
      <c r="AJ224" s="111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6" t="str">
        <f>H16</f>
        <v>Riverside Charitable Corporation, a California Nonprofit Public Benefit Corporation</v>
      </c>
      <c r="N227" s="1326"/>
      <c r="O227" s="1326"/>
      <c r="P227" s="1326"/>
      <c r="Q227" s="1326"/>
      <c r="R227" s="1326"/>
      <c r="S227" s="1326"/>
      <c r="T227" s="1326"/>
      <c r="U227" s="1326"/>
      <c r="V227" s="1326"/>
      <c r="W227" s="1326"/>
      <c r="X227" s="1326"/>
      <c r="Y227" s="1326"/>
      <c r="Z227" s="1326"/>
      <c r="AA227" s="1326"/>
      <c r="AB227" s="1326"/>
      <c r="AC227" s="1326"/>
      <c r="AD227" s="1326"/>
      <c r="AE227" s="1326"/>
      <c r="AF227" s="1326"/>
      <c r="AG227" s="1326"/>
      <c r="AH227" s="1326"/>
      <c r="AI227" s="1326"/>
      <c r="AJ227" s="1326"/>
      <c r="AK227" s="1326"/>
      <c r="AO227" s="344" t="s">
        <v>584</v>
      </c>
      <c r="AT227" s="406">
        <f>IF(AND(AND($M$244="nonprofit",$M$252="for profit",$M$260="nonprofit")),2,0)</f>
        <v>0</v>
      </c>
    </row>
    <row r="228" spans="1:59" ht="12.75">
      <c r="D228" s="57" t="s">
        <v>92</v>
      </c>
      <c r="E228" s="57"/>
      <c r="F228" s="57"/>
      <c r="G228" s="57"/>
      <c r="H228" s="57"/>
      <c r="I228" s="57"/>
      <c r="J228" s="57"/>
      <c r="K228" s="7"/>
      <c r="M228" s="1317" t="s">
        <v>1656</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584</v>
      </c>
      <c r="AT228" s="405">
        <f>IF(AND(AND($M$244="for profit",$M$252="nonprofit",$M$260="nonprofit")),2,0)</f>
        <v>0</v>
      </c>
      <c r="BB228" s="61"/>
    </row>
    <row r="229" spans="1:59" ht="12.75">
      <c r="D229" s="57" t="s">
        <v>630</v>
      </c>
      <c r="E229" s="57"/>
      <c r="M229" s="1317" t="s">
        <v>1657</v>
      </c>
      <c r="N229" s="1148"/>
      <c r="O229" s="1148"/>
      <c r="P229" s="1148"/>
      <c r="Q229" s="1148"/>
      <c r="R229" s="1148"/>
      <c r="S229" s="1148"/>
      <c r="T229" s="1148"/>
      <c r="V229" s="59" t="s">
        <v>93</v>
      </c>
      <c r="W229" s="1177" t="s">
        <v>1658</v>
      </c>
      <c r="X229" s="1153"/>
      <c r="Y229" s="57" t="s">
        <v>633</v>
      </c>
      <c r="AC229" s="1148">
        <v>92780</v>
      </c>
      <c r="AD229" s="1148"/>
      <c r="AE229" s="1148"/>
      <c r="AO229" s="402"/>
      <c r="AT229" s="403"/>
    </row>
    <row r="230" spans="1:59" ht="12.75">
      <c r="D230" s="60" t="s">
        <v>94</v>
      </c>
      <c r="E230" s="7"/>
      <c r="F230" s="7"/>
      <c r="G230" s="7"/>
      <c r="H230" s="7"/>
      <c r="I230" s="7"/>
      <c r="J230" s="7"/>
      <c r="K230" s="29"/>
      <c r="M230" s="1317" t="s">
        <v>1659</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583</v>
      </c>
      <c r="AT230" s="406">
        <f>IF(AND(AND($M$244="nonprofit",$M$252="nonprofit",$M$260="(select one)")),1,0)</f>
        <v>0</v>
      </c>
    </row>
    <row r="231" spans="1:59" ht="12.75">
      <c r="D231" s="60" t="s">
        <v>95</v>
      </c>
      <c r="E231" s="7"/>
      <c r="F231" s="7"/>
      <c r="M231" s="1158" t="s">
        <v>1660</v>
      </c>
      <c r="N231" s="1123"/>
      <c r="O231" s="1123"/>
      <c r="P231" s="1123"/>
      <c r="Q231" s="1123"/>
      <c r="R231" s="1123"/>
      <c r="S231" s="7" t="s">
        <v>219</v>
      </c>
      <c r="T231" s="7"/>
      <c r="U231" s="1153">
        <v>719</v>
      </c>
      <c r="V231" s="1153"/>
      <c r="W231" s="1153"/>
      <c r="X231" s="7" t="s">
        <v>96</v>
      </c>
      <c r="Z231" s="1158" t="s">
        <v>1661</v>
      </c>
      <c r="AA231" s="1123"/>
      <c r="AB231" s="1123"/>
      <c r="AC231" s="1123"/>
      <c r="AD231" s="1123"/>
      <c r="AE231" s="1123"/>
      <c r="AO231" s="400" t="s">
        <v>583</v>
      </c>
      <c r="AT231" s="406">
        <f>IF(AND(AND($M$244="nonprofit",$M$252="nonprofit",$M$260="nonprofit")),1,0)</f>
        <v>0</v>
      </c>
    </row>
    <row r="232" spans="1:59" ht="12.75">
      <c r="D232" s="60" t="s">
        <v>97</v>
      </c>
      <c r="E232" s="7"/>
      <c r="F232" s="7"/>
      <c r="M232" s="1312" t="s">
        <v>1662</v>
      </c>
      <c r="N232" s="1312"/>
      <c r="O232" s="1312"/>
      <c r="P232" s="1312"/>
      <c r="Q232" s="1312"/>
      <c r="R232" s="1312"/>
      <c r="S232" s="1312"/>
      <c r="T232" s="1312"/>
      <c r="U232" s="1312"/>
      <c r="V232" s="1312"/>
      <c r="W232" s="1312"/>
      <c r="X232" s="1312"/>
      <c r="Y232" s="1312"/>
      <c r="Z232" s="1312"/>
      <c r="AA232" s="1312"/>
      <c r="AB232" s="1312"/>
      <c r="AC232" s="1312"/>
      <c r="AD232" s="1312"/>
      <c r="AE232" s="131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8" t="s">
        <v>408</v>
      </c>
      <c r="N233" s="1088"/>
      <c r="O233" s="1088"/>
      <c r="P233" s="1088"/>
      <c r="Q233" s="1088"/>
      <c r="R233" s="1088"/>
      <c r="S233" s="1088"/>
      <c r="T233" s="1088"/>
      <c r="U233" s="404" t="s">
        <v>1004</v>
      </c>
      <c r="V233" s="335"/>
      <c r="W233" s="335"/>
      <c r="X233" s="335"/>
      <c r="Y233" s="335"/>
      <c r="Z233" s="335"/>
      <c r="AA233" s="1319" t="s">
        <v>641</v>
      </c>
      <c r="AB233" s="1320"/>
      <c r="AC233" s="1320"/>
      <c r="AD233" s="1320"/>
      <c r="AE233" s="1320"/>
      <c r="AF233" s="1320"/>
      <c r="AG233" s="1320"/>
      <c r="AH233" s="1320"/>
      <c r="AI233" s="1320"/>
      <c r="AJ233" s="1320"/>
      <c r="AK233" s="1320"/>
      <c r="AL233" s="58"/>
      <c r="AO233" s="400" t="s">
        <v>971</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5" t="s">
        <v>1663</v>
      </c>
      <c r="N238" s="1314"/>
      <c r="O238" s="1314"/>
      <c r="P238" s="1314"/>
      <c r="Q238" s="1314"/>
      <c r="R238" s="1314"/>
      <c r="S238" s="1314"/>
      <c r="T238" s="1314"/>
      <c r="U238" s="1314"/>
      <c r="V238" s="1314"/>
      <c r="W238" s="1314"/>
      <c r="X238" s="1314"/>
      <c r="Y238" s="1314"/>
      <c r="Z238" s="1314"/>
      <c r="AA238" s="1314"/>
      <c r="AB238" s="1314"/>
      <c r="AC238" s="1314"/>
      <c r="AD238" s="1314"/>
      <c r="AE238" s="1314"/>
      <c r="AF238" s="1314" t="s">
        <v>1664</v>
      </c>
      <c r="AG238" s="1314"/>
      <c r="AH238" s="1314"/>
      <c r="AI238" s="1314"/>
      <c r="AJ238" s="1314"/>
      <c r="AK238" s="1314"/>
      <c r="AT238" s="12">
        <v>1</v>
      </c>
      <c r="AU238" s="12" t="s">
        <v>580</v>
      </c>
      <c r="AZ238" s="25"/>
      <c r="BA238" s="3"/>
      <c r="BB238" s="3"/>
    </row>
    <row r="239" spans="1:59" ht="12.75">
      <c r="A239" s="29"/>
      <c r="B239" s="7"/>
      <c r="C239" s="7"/>
      <c r="D239" s="57" t="s">
        <v>92</v>
      </c>
      <c r="E239" s="57"/>
      <c r="F239" s="57"/>
      <c r="G239" s="57"/>
      <c r="H239" s="57"/>
      <c r="I239" s="57"/>
      <c r="J239" s="57"/>
      <c r="K239" s="57"/>
      <c r="L239" s="7"/>
      <c r="M239" s="1317" t="s">
        <v>1665</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317" t="s">
        <v>1666</v>
      </c>
      <c r="N240" s="1148"/>
      <c r="O240" s="1148"/>
      <c r="P240" s="1148"/>
      <c r="Q240" s="1148"/>
      <c r="R240" s="1148"/>
      <c r="S240" s="1148"/>
      <c r="T240" s="1148"/>
      <c r="V240" s="59" t="s">
        <v>93</v>
      </c>
      <c r="W240" s="1177" t="s">
        <v>1667</v>
      </c>
      <c r="X240" s="1153"/>
      <c r="Y240" s="57" t="s">
        <v>633</v>
      </c>
      <c r="AC240" s="1148">
        <v>83616</v>
      </c>
      <c r="AD240" s="1148"/>
      <c r="AE240" s="1148"/>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317" t="s">
        <v>1668</v>
      </c>
      <c r="N241" s="1148"/>
      <c r="O241" s="1148"/>
      <c r="P241" s="1148"/>
      <c r="Q241" s="1148"/>
      <c r="R241" s="1148"/>
      <c r="S241" s="1148"/>
      <c r="T241" s="1148"/>
      <c r="U241" s="1148"/>
      <c r="V241" s="1148"/>
      <c r="W241" s="1148"/>
      <c r="X241" s="1148"/>
      <c r="Y241" s="1148"/>
      <c r="Z241" s="1148"/>
      <c r="AA241" s="1148"/>
      <c r="AB241" s="1148"/>
      <c r="AC241" s="1148"/>
      <c r="AD241" s="1148"/>
      <c r="AE241" s="1148"/>
      <c r="AH241" s="1127">
        <v>5.0000000000000001E-3</v>
      </c>
      <c r="AI241" s="1127"/>
      <c r="AJ241" s="1127"/>
      <c r="AK241" s="1127"/>
      <c r="AL241" s="7"/>
      <c r="AN241" s="7" t="s">
        <v>295</v>
      </c>
      <c r="BA241" s="61"/>
    </row>
    <row r="242" spans="1:53" ht="12.75">
      <c r="A242" s="29"/>
      <c r="B242" s="7"/>
      <c r="C242" s="7"/>
      <c r="D242" s="60" t="s">
        <v>95</v>
      </c>
      <c r="E242" s="7"/>
      <c r="F242" s="7"/>
      <c r="M242" s="1158" t="s">
        <v>1669</v>
      </c>
      <c r="N242" s="1123"/>
      <c r="O242" s="1123"/>
      <c r="P242" s="1123"/>
      <c r="Q242" s="1123"/>
      <c r="R242" s="1123"/>
      <c r="S242" s="7" t="s">
        <v>219</v>
      </c>
      <c r="T242" s="7"/>
      <c r="U242" s="1153">
        <v>3015</v>
      </c>
      <c r="V242" s="1153"/>
      <c r="W242" s="1153"/>
      <c r="X242" s="7" t="s">
        <v>96</v>
      </c>
      <c r="Z242" s="1158" t="s">
        <v>1670</v>
      </c>
      <c r="AA242" s="1123"/>
      <c r="AB242" s="1123"/>
      <c r="AC242" s="1123"/>
      <c r="AD242" s="1123"/>
      <c r="AE242" s="1123"/>
      <c r="AN242" s="7" t="s">
        <v>185</v>
      </c>
      <c r="BA242" s="61"/>
    </row>
    <row r="243" spans="1:53" ht="12.75">
      <c r="A243" s="29"/>
      <c r="B243" s="7"/>
      <c r="C243" s="7"/>
      <c r="D243" s="60" t="s">
        <v>97</v>
      </c>
      <c r="E243" s="7"/>
      <c r="F243" s="7"/>
      <c r="M243" s="1312" t="s">
        <v>1671</v>
      </c>
      <c r="N243" s="1312"/>
      <c r="O243" s="1312"/>
      <c r="P243" s="1312"/>
      <c r="Q243" s="1312"/>
      <c r="R243" s="1312"/>
      <c r="S243" s="1312"/>
      <c r="T243" s="1312"/>
      <c r="U243" s="1312"/>
      <c r="V243" s="1312"/>
      <c r="W243" s="1312"/>
      <c r="X243" s="1312"/>
      <c r="Y243" s="1312"/>
      <c r="Z243" s="1312"/>
      <c r="AA243" s="1312"/>
      <c r="AB243" s="1312"/>
      <c r="AC243" s="1312"/>
      <c r="AD243" s="1312"/>
      <c r="AE243" s="1312"/>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582</v>
      </c>
      <c r="N244" s="1088"/>
      <c r="O244" s="1088"/>
      <c r="P244" s="1088"/>
      <c r="Q244" s="1088"/>
      <c r="R244" s="1088"/>
      <c r="S244" s="1088"/>
      <c r="T244" s="1088"/>
      <c r="U244" s="404" t="s">
        <v>1004</v>
      </c>
      <c r="V244" s="335"/>
      <c r="W244" s="335"/>
      <c r="X244" s="335"/>
      <c r="Y244" s="335"/>
      <c r="Z244" s="335"/>
      <c r="AA244" s="1319" t="s">
        <v>1672</v>
      </c>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5" t="s">
        <v>1673</v>
      </c>
      <c r="N246" s="1314"/>
      <c r="O246" s="1314"/>
      <c r="P246" s="1314"/>
      <c r="Q246" s="1314"/>
      <c r="R246" s="1314"/>
      <c r="S246" s="1314"/>
      <c r="T246" s="1314"/>
      <c r="U246" s="1314"/>
      <c r="V246" s="1314"/>
      <c r="W246" s="1314"/>
      <c r="X246" s="1314"/>
      <c r="Y246" s="1314"/>
      <c r="Z246" s="1314"/>
      <c r="AA246" s="1314"/>
      <c r="AB246" s="1314"/>
      <c r="AC246" s="1314"/>
      <c r="AD246" s="1314"/>
      <c r="AE246" s="1314"/>
      <c r="AF246" s="1314" t="s">
        <v>1674</v>
      </c>
      <c r="AG246" s="1314"/>
      <c r="AH246" s="1314"/>
      <c r="AI246" s="1314"/>
      <c r="AJ246" s="1314"/>
      <c r="AK246" s="1314"/>
      <c r="BA246" s="61"/>
    </row>
    <row r="247" spans="1:53" ht="12.75">
      <c r="A247" s="29"/>
      <c r="B247" s="7"/>
      <c r="C247" s="7"/>
      <c r="D247" s="57" t="s">
        <v>92</v>
      </c>
      <c r="E247" s="57"/>
      <c r="F247" s="57"/>
      <c r="G247" s="57"/>
      <c r="H247" s="57"/>
      <c r="I247" s="57"/>
      <c r="J247" s="57"/>
      <c r="K247" s="57"/>
      <c r="L247" s="7"/>
      <c r="M247" s="1317" t="s">
        <v>1656</v>
      </c>
      <c r="N247" s="1148"/>
      <c r="O247" s="1148"/>
      <c r="P247" s="1148"/>
      <c r="Q247" s="1148"/>
      <c r="R247" s="1148"/>
      <c r="S247" s="1148"/>
      <c r="T247" s="1148"/>
      <c r="U247" s="1148"/>
      <c r="V247" s="1148"/>
      <c r="W247" s="1148"/>
      <c r="X247" s="1148"/>
      <c r="Y247" s="1148"/>
      <c r="Z247" s="1148"/>
      <c r="AA247" s="1148"/>
      <c r="AB247" s="1148"/>
      <c r="AC247" s="1148"/>
      <c r="AD247" s="1148"/>
      <c r="AE247" s="1148"/>
      <c r="AF247" s="58" t="s">
        <v>1418</v>
      </c>
      <c r="AG247" s="743"/>
      <c r="AH247" s="743"/>
      <c r="AI247" s="743"/>
      <c r="AJ247" s="743"/>
      <c r="AK247" s="743"/>
      <c r="AL247" s="7"/>
      <c r="BA247" s="61"/>
    </row>
    <row r="248" spans="1:53" ht="12.75">
      <c r="A248" s="29"/>
      <c r="B248" s="7"/>
      <c r="C248" s="7"/>
      <c r="D248" s="57" t="s">
        <v>630</v>
      </c>
      <c r="E248" s="57"/>
      <c r="M248" s="1317" t="s">
        <v>1657</v>
      </c>
      <c r="N248" s="1148"/>
      <c r="O248" s="1148"/>
      <c r="P248" s="1148"/>
      <c r="Q248" s="1148"/>
      <c r="R248" s="1148"/>
      <c r="S248" s="1148"/>
      <c r="T248" s="1148"/>
      <c r="V248" s="59" t="s">
        <v>93</v>
      </c>
      <c r="W248" s="1177" t="s">
        <v>1658</v>
      </c>
      <c r="X248" s="1153"/>
      <c r="Y248" s="57" t="s">
        <v>633</v>
      </c>
      <c r="AC248" s="1148">
        <v>92780</v>
      </c>
      <c r="AD248" s="1148"/>
      <c r="AE248" s="1148"/>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317" t="s">
        <v>1659</v>
      </c>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7">
        <v>5.0000000000000001E-3</v>
      </c>
      <c r="AI249" s="1127"/>
      <c r="AJ249" s="1127"/>
      <c r="AK249" s="1127"/>
      <c r="AL249" s="7"/>
      <c r="BA249" s="61"/>
    </row>
    <row r="250" spans="1:53" ht="12.75">
      <c r="A250" s="29"/>
      <c r="B250" s="7"/>
      <c r="C250" s="7"/>
      <c r="D250" s="60" t="s">
        <v>95</v>
      </c>
      <c r="E250" s="7"/>
      <c r="F250" s="7"/>
      <c r="M250" s="1158" t="s">
        <v>1660</v>
      </c>
      <c r="N250" s="1123"/>
      <c r="O250" s="1123"/>
      <c r="P250" s="1123"/>
      <c r="Q250" s="1123"/>
      <c r="R250" s="1123"/>
      <c r="S250" s="7" t="s">
        <v>219</v>
      </c>
      <c r="T250" s="7"/>
      <c r="U250" s="1153">
        <v>719</v>
      </c>
      <c r="V250" s="1153"/>
      <c r="W250" s="1153"/>
      <c r="X250" s="7" t="s">
        <v>96</v>
      </c>
      <c r="Z250" s="1158" t="s">
        <v>1661</v>
      </c>
      <c r="AA250" s="1123"/>
      <c r="AB250" s="1123"/>
      <c r="AC250" s="1123"/>
      <c r="AD250" s="1123"/>
      <c r="AE250" s="1123"/>
      <c r="BA250" s="61"/>
    </row>
    <row r="251" spans="1:53" ht="12.75" customHeight="1">
      <c r="A251" s="29"/>
      <c r="B251" s="7"/>
      <c r="C251" s="7"/>
      <c r="D251" s="60" t="s">
        <v>97</v>
      </c>
      <c r="E251" s="7"/>
      <c r="F251" s="7"/>
      <c r="M251" s="1312" t="s">
        <v>1662</v>
      </c>
      <c r="N251" s="1312"/>
      <c r="O251" s="1312"/>
      <c r="P251" s="1312"/>
      <c r="Q251" s="1312"/>
      <c r="R251" s="1312"/>
      <c r="S251" s="1312"/>
      <c r="T251" s="1312"/>
      <c r="U251" s="1312"/>
      <c r="V251" s="1312"/>
      <c r="W251" s="1312"/>
      <c r="X251" s="1312"/>
      <c r="Y251" s="1312"/>
      <c r="Z251" s="1312"/>
      <c r="AA251" s="1312"/>
      <c r="AB251" s="1312"/>
      <c r="AC251" s="1312"/>
      <c r="AD251" s="1312"/>
      <c r="AE251" s="131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580</v>
      </c>
      <c r="N252" s="1088"/>
      <c r="O252" s="1088"/>
      <c r="P252" s="1088"/>
      <c r="Q252" s="1088"/>
      <c r="R252" s="1088"/>
      <c r="S252" s="1088"/>
      <c r="T252" s="1088"/>
      <c r="U252" s="404" t="s">
        <v>1004</v>
      </c>
      <c r="V252" s="335"/>
      <c r="W252" s="335"/>
      <c r="X252" s="335"/>
      <c r="Y252" s="335"/>
      <c r="Z252" s="335"/>
      <c r="AA252" s="1319" t="s">
        <v>641</v>
      </c>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4"/>
      <c r="N254" s="1314"/>
      <c r="O254" s="1314"/>
      <c r="P254" s="1314"/>
      <c r="Q254" s="1314"/>
      <c r="R254" s="1314"/>
      <c r="S254" s="1314"/>
      <c r="T254" s="1314"/>
      <c r="U254" s="1314"/>
      <c r="V254" s="1314"/>
      <c r="W254" s="1314"/>
      <c r="X254" s="1314"/>
      <c r="Y254" s="1314"/>
      <c r="Z254" s="1314"/>
      <c r="AA254" s="1314"/>
      <c r="AB254" s="1314"/>
      <c r="AC254" s="1314"/>
      <c r="AD254" s="1314"/>
      <c r="AE254" s="1314"/>
      <c r="AF254" s="1314" t="s">
        <v>328</v>
      </c>
      <c r="AG254" s="1314"/>
      <c r="AH254" s="1314"/>
      <c r="AI254" s="1314"/>
      <c r="AJ254" s="1314"/>
      <c r="AK254" s="1314"/>
      <c r="AL254" s="58"/>
      <c r="BA254" s="61"/>
    </row>
    <row r="255" spans="1:53" ht="12.75">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1418</v>
      </c>
      <c r="AG255" s="743"/>
      <c r="AH255" s="743"/>
      <c r="AI255" s="743"/>
      <c r="AJ255" s="743"/>
      <c r="AK255" s="743"/>
      <c r="AL255" s="58"/>
      <c r="BA255" s="61"/>
    </row>
    <row r="256" spans="1:53" ht="12.75">
      <c r="A256" s="23"/>
      <c r="B256" s="7"/>
      <c r="C256" s="7"/>
      <c r="D256" s="57" t="s">
        <v>630</v>
      </c>
      <c r="E256" s="57"/>
      <c r="M256" s="1148"/>
      <c r="N256" s="1148"/>
      <c r="O256" s="1148"/>
      <c r="P256" s="1148"/>
      <c r="Q256" s="1148"/>
      <c r="R256" s="1148"/>
      <c r="S256" s="1148"/>
      <c r="T256" s="1148"/>
      <c r="V256" s="59" t="s">
        <v>93</v>
      </c>
      <c r="W256" s="1153"/>
      <c r="X256" s="1153"/>
      <c r="Y256" s="57" t="s">
        <v>633</v>
      </c>
      <c r="AC256" s="1148"/>
      <c r="AD256" s="1148"/>
      <c r="AE256" s="1148"/>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219</v>
      </c>
      <c r="T258" s="7"/>
      <c r="U258" s="1153"/>
      <c r="V258" s="1153"/>
      <c r="W258" s="1153"/>
      <c r="X258" s="7" t="s">
        <v>96</v>
      </c>
      <c r="Z258" s="1123"/>
      <c r="AA258" s="1123"/>
      <c r="AB258" s="1123"/>
      <c r="AC258" s="1123"/>
      <c r="AD258" s="1123"/>
      <c r="AE258" s="1123"/>
      <c r="AL258" s="58"/>
      <c r="BA258" s="61"/>
    </row>
    <row r="259" spans="1:53" ht="12.75">
      <c r="A259" s="23"/>
      <c r="B259" s="7"/>
      <c r="C259" s="7"/>
      <c r="D259" s="60" t="s">
        <v>97</v>
      </c>
      <c r="E259" s="7"/>
      <c r="F259" s="7"/>
      <c r="M259" s="1312"/>
      <c r="N259" s="1312"/>
      <c r="O259" s="1312"/>
      <c r="P259" s="1312"/>
      <c r="Q259" s="1312"/>
      <c r="R259" s="1312"/>
      <c r="S259" s="1312"/>
      <c r="T259" s="1312"/>
      <c r="U259" s="1312"/>
      <c r="V259" s="1312"/>
      <c r="W259" s="1312"/>
      <c r="X259" s="1312"/>
      <c r="Y259" s="1312"/>
      <c r="Z259" s="1312"/>
      <c r="AA259" s="1328"/>
      <c r="AB259" s="1328"/>
      <c r="AC259" s="1328"/>
      <c r="AD259" s="1328"/>
      <c r="AE259" s="1328"/>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328</v>
      </c>
      <c r="N260" s="1088"/>
      <c r="O260" s="1088"/>
      <c r="P260" s="1088"/>
      <c r="Q260" s="1088"/>
      <c r="R260" s="1088"/>
      <c r="S260" s="1088"/>
      <c r="T260" s="1088"/>
      <c r="U260" s="404" t="s">
        <v>1004</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3" t="str">
        <f>BB239</f>
        <v>Joint Venture</v>
      </c>
      <c r="U262" s="1323"/>
      <c r="V262" s="1323"/>
      <c r="W262" s="1323"/>
      <c r="X262" s="132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8" t="s">
        <v>295</v>
      </c>
      <c r="E265" s="1148"/>
      <c r="F265" s="1148"/>
      <c r="G265" s="1148"/>
      <c r="H265" s="1148"/>
      <c r="J265" s="12" t="s">
        <v>294</v>
      </c>
      <c r="X265" s="1322"/>
      <c r="Y265" s="1322"/>
      <c r="Z265" s="1322"/>
      <c r="AA265" s="1322"/>
      <c r="AB265" s="1322"/>
      <c r="AC265" s="1322"/>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5" t="s">
        <v>1675</v>
      </c>
      <c r="M269" s="1314"/>
      <c r="N269" s="1314"/>
      <c r="O269" s="1314"/>
      <c r="P269" s="1314"/>
      <c r="Q269" s="1314"/>
      <c r="R269" s="1314"/>
      <c r="S269" s="1314"/>
      <c r="T269" s="1314"/>
      <c r="U269" s="1314"/>
      <c r="V269" s="1314"/>
      <c r="W269" s="1314"/>
      <c r="X269" s="1314"/>
      <c r="Y269" s="1314"/>
      <c r="Z269" s="1314"/>
      <c r="AA269" s="1314"/>
      <c r="AB269" s="1314"/>
      <c r="AC269" s="1314"/>
      <c r="AD269" s="1314"/>
      <c r="AE269" s="1314"/>
      <c r="AF269" s="1314"/>
      <c r="AG269" s="1314"/>
      <c r="AH269" s="1314"/>
      <c r="AI269" s="1314"/>
      <c r="AJ269" s="1314"/>
      <c r="AK269" s="58"/>
      <c r="AL269" s="58"/>
      <c r="BA269" s="61"/>
    </row>
    <row r="270" spans="1:53" ht="12.75" customHeight="1">
      <c r="D270" s="57" t="s">
        <v>92</v>
      </c>
      <c r="E270" s="57"/>
      <c r="F270" s="57"/>
      <c r="G270" s="57"/>
      <c r="H270" s="57"/>
      <c r="I270" s="57"/>
      <c r="J270" s="57"/>
      <c r="K270" s="7"/>
      <c r="L270" s="1317" t="s">
        <v>1665</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2.75">
      <c r="D271" s="57" t="s">
        <v>630</v>
      </c>
      <c r="E271" s="57"/>
      <c r="L271" s="1317" t="s">
        <v>1666</v>
      </c>
      <c r="M271" s="1148"/>
      <c r="N271" s="1148"/>
      <c r="O271" s="1148"/>
      <c r="P271" s="1148"/>
      <c r="Q271" s="1148"/>
      <c r="R271" s="1148"/>
      <c r="S271" s="1148"/>
      <c r="U271" s="59" t="s">
        <v>93</v>
      </c>
      <c r="V271" s="1177" t="s">
        <v>1667</v>
      </c>
      <c r="W271" s="1153"/>
      <c r="X271" s="57" t="s">
        <v>633</v>
      </c>
      <c r="AB271" s="1148">
        <v>83616</v>
      </c>
      <c r="AC271" s="1148"/>
      <c r="AD271" s="1148"/>
      <c r="AK271" s="58"/>
      <c r="AL271" s="58"/>
      <c r="BA271" s="61"/>
    </row>
    <row r="272" spans="1:53" ht="12.75">
      <c r="D272" s="60" t="s">
        <v>94</v>
      </c>
      <c r="E272" s="7"/>
      <c r="F272" s="7"/>
      <c r="G272" s="7"/>
      <c r="H272" s="7"/>
      <c r="I272" s="7"/>
      <c r="J272" s="7"/>
      <c r="K272" s="29"/>
      <c r="L272" s="1317" t="s">
        <v>1676</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2.75">
      <c r="D273" s="60" t="s">
        <v>95</v>
      </c>
      <c r="E273" s="7"/>
      <c r="F273" s="7"/>
      <c r="L273" s="1158" t="s">
        <v>1677</v>
      </c>
      <c r="M273" s="1123"/>
      <c r="N273" s="1123"/>
      <c r="O273" s="1123"/>
      <c r="P273" s="1123"/>
      <c r="Q273" s="1123"/>
      <c r="R273" s="7" t="s">
        <v>219</v>
      </c>
      <c r="S273" s="7"/>
      <c r="T273" s="1153"/>
      <c r="U273" s="1153"/>
      <c r="V273" s="1153"/>
      <c r="W273" s="7" t="s">
        <v>96</v>
      </c>
      <c r="Y273" s="1158" t="s">
        <v>1670</v>
      </c>
      <c r="Z273" s="1123"/>
      <c r="AA273" s="1123"/>
      <c r="AB273" s="1123"/>
      <c r="AC273" s="1123"/>
      <c r="AD273" s="1123"/>
      <c r="BA273" s="61"/>
    </row>
    <row r="274" spans="1:53" ht="12.75">
      <c r="D274" s="60" t="s">
        <v>97</v>
      </c>
      <c r="E274" s="7"/>
      <c r="F274" s="7"/>
      <c r="L274" s="1312" t="s">
        <v>1678</v>
      </c>
      <c r="M274" s="1312"/>
      <c r="N274" s="1312"/>
      <c r="O274" s="1312"/>
      <c r="P274" s="1312"/>
      <c r="Q274" s="1312"/>
      <c r="R274" s="1312"/>
      <c r="S274" s="1312"/>
      <c r="T274" s="1312"/>
      <c r="U274" s="1312"/>
      <c r="V274" s="1312"/>
      <c r="W274" s="1312"/>
      <c r="X274" s="1312"/>
      <c r="Y274" s="1312"/>
      <c r="Z274" s="1312"/>
      <c r="AA274" s="1312"/>
      <c r="AB274" s="1312"/>
      <c r="AC274" s="1312"/>
      <c r="AD274" s="1312"/>
      <c r="AF274" s="7"/>
      <c r="AG274" s="7"/>
      <c r="AH274" s="7"/>
      <c r="AI274" s="7"/>
      <c r="AJ274" s="7"/>
      <c r="BA274" s="61"/>
    </row>
    <row r="275" spans="1:53" ht="12.75">
      <c r="D275" s="58" t="s">
        <v>673</v>
      </c>
      <c r="E275" s="58"/>
      <c r="F275" s="58"/>
      <c r="G275" s="58"/>
      <c r="H275" s="58"/>
      <c r="I275" s="58"/>
      <c r="L275" s="1177" t="s">
        <v>1679</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75">
      <c r="L276" s="35" t="s">
        <v>674</v>
      </c>
      <c r="BA276" s="61"/>
    </row>
    <row r="277" spans="1:53" ht="12.75">
      <c r="A277" s="1150" t="s">
        <v>587</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9" t="s">
        <v>1675</v>
      </c>
      <c r="I282" s="1089"/>
      <c r="J282" s="1089"/>
      <c r="K282" s="1089"/>
      <c r="L282" s="1089"/>
      <c r="M282" s="1089"/>
      <c r="N282" s="1089"/>
      <c r="O282" s="1089"/>
      <c r="P282" s="1089"/>
      <c r="Q282" s="1089"/>
      <c r="R282" s="1089"/>
      <c r="T282" s="58" t="s">
        <v>615</v>
      </c>
      <c r="V282" s="58"/>
      <c r="W282" s="58"/>
      <c r="X282" s="58"/>
      <c r="Y282" s="58"/>
      <c r="AA282" s="1089" t="s">
        <v>1680</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
        <v>1665</v>
      </c>
      <c r="I283" s="1088"/>
      <c r="J283" s="1088"/>
      <c r="K283" s="1088"/>
      <c r="L283" s="1088"/>
      <c r="M283" s="1088"/>
      <c r="N283" s="1088"/>
      <c r="O283" s="1088"/>
      <c r="P283" s="1088"/>
      <c r="Q283" s="1088"/>
      <c r="R283" s="1088"/>
      <c r="T283" s="58" t="s">
        <v>517</v>
      </c>
      <c r="V283" s="58"/>
      <c r="W283" s="58"/>
      <c r="X283" s="58"/>
      <c r="Y283" s="58"/>
      <c r="AA283" s="1088" t="s">
        <v>1681</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088" t="s">
        <v>1682</v>
      </c>
      <c r="I284" s="1088"/>
      <c r="J284" s="1088"/>
      <c r="K284" s="1088"/>
      <c r="L284" s="1088"/>
      <c r="M284" s="1088"/>
      <c r="N284" s="1088"/>
      <c r="O284" s="1088"/>
      <c r="P284" s="1088"/>
      <c r="Q284" s="1088"/>
      <c r="R284" s="1088"/>
      <c r="T284" s="58" t="s">
        <v>81</v>
      </c>
      <c r="V284" s="58"/>
      <c r="W284" s="58"/>
      <c r="X284" s="58"/>
      <c r="Y284" s="58"/>
      <c r="AA284" s="1088" t="s">
        <v>1683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1668</v>
      </c>
      <c r="I285" s="1088"/>
      <c r="J285" s="1088"/>
      <c r="K285" s="1088"/>
      <c r="L285" s="1088"/>
      <c r="M285" s="1088"/>
      <c r="N285" s="1088"/>
      <c r="O285" s="1088"/>
      <c r="P285" s="1088"/>
      <c r="Q285" s="1088"/>
      <c r="R285" s="1088"/>
      <c r="T285" s="58" t="s">
        <v>94</v>
      </c>
      <c r="V285" s="58"/>
      <c r="W285" s="58"/>
      <c r="X285" s="58"/>
      <c r="Y285" s="58"/>
      <c r="AA285" s="1088" t="s">
        <v>1684</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t="s">
        <v>1669</v>
      </c>
      <c r="I286" s="1103"/>
      <c r="J286" s="1103"/>
      <c r="K286" s="1103"/>
      <c r="L286" s="1103"/>
      <c r="M286" s="1103"/>
      <c r="N286" s="7" t="s">
        <v>219</v>
      </c>
      <c r="O286" s="7"/>
      <c r="P286" s="1148">
        <v>3015</v>
      </c>
      <c r="Q286" s="1148"/>
      <c r="R286" s="1148"/>
      <c r="S286" s="58"/>
      <c r="T286" s="58" t="s">
        <v>95</v>
      </c>
      <c r="V286" s="58"/>
      <c r="W286" s="58"/>
      <c r="X286" s="58"/>
      <c r="Y286" s="58"/>
      <c r="AA286" s="1102" t="s">
        <v>1685</v>
      </c>
      <c r="AB286" s="1103"/>
      <c r="AC286" s="1103"/>
      <c r="AD286" s="1103"/>
      <c r="AE286" s="1103"/>
      <c r="AF286" s="1103"/>
      <c r="AG286" s="7" t="s">
        <v>219</v>
      </c>
      <c r="AH286" s="7"/>
      <c r="AI286" s="1148"/>
      <c r="AJ286" s="1148"/>
      <c r="AK286" s="1148"/>
      <c r="BA286" s="61"/>
    </row>
    <row r="287" spans="1:53" ht="12.75">
      <c r="B287" s="58" t="s">
        <v>96</v>
      </c>
      <c r="C287" s="58"/>
      <c r="D287" s="58"/>
      <c r="E287" s="58"/>
      <c r="F287" s="58"/>
      <c r="G287" s="58"/>
      <c r="H287" s="1158" t="s">
        <v>1686</v>
      </c>
      <c r="I287" s="1123"/>
      <c r="J287" s="1123"/>
      <c r="K287" s="1123"/>
      <c r="L287" s="1123"/>
      <c r="M287" s="1123"/>
      <c r="N287" s="60"/>
      <c r="O287" s="60"/>
      <c r="P287" s="62"/>
      <c r="Q287" s="62"/>
      <c r="R287" s="62"/>
      <c r="S287" s="58"/>
      <c r="T287" s="58" t="s">
        <v>96</v>
      </c>
      <c r="V287" s="58"/>
      <c r="W287" s="58"/>
      <c r="X287" s="58"/>
      <c r="Y287" s="58"/>
      <c r="AA287" s="1158" t="s">
        <v>1687</v>
      </c>
      <c r="AB287" s="1123"/>
      <c r="AC287" s="1123"/>
      <c r="AD287" s="1123"/>
      <c r="AE287" s="1123"/>
      <c r="AF287" s="1123"/>
      <c r="AG287" s="60"/>
      <c r="AH287" s="60"/>
      <c r="AI287" s="62"/>
      <c r="AJ287" s="62"/>
      <c r="AK287" s="62"/>
      <c r="BA287" s="61"/>
    </row>
    <row r="288" spans="1:53" ht="12.75">
      <c r="B288" s="58" t="s">
        <v>82</v>
      </c>
      <c r="C288" s="58"/>
      <c r="D288" s="58"/>
      <c r="E288" s="58"/>
      <c r="F288" s="58"/>
      <c r="G288" s="58"/>
      <c r="H288" s="1088" t="s">
        <v>1671</v>
      </c>
      <c r="I288" s="1088"/>
      <c r="J288" s="1088"/>
      <c r="K288" s="1088"/>
      <c r="L288" s="1088"/>
      <c r="M288" s="1088"/>
      <c r="N288" s="1089"/>
      <c r="O288" s="1089"/>
      <c r="P288" s="1089"/>
      <c r="Q288" s="1089"/>
      <c r="R288" s="1089"/>
      <c r="S288" s="58"/>
      <c r="T288" s="58" t="s">
        <v>82</v>
      </c>
      <c r="V288" s="58"/>
      <c r="W288" s="58"/>
      <c r="X288" s="58"/>
      <c r="Y288" s="58"/>
      <c r="AA288" s="1088" t="s">
        <v>1688</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89" t="s">
        <v>1689</v>
      </c>
      <c r="I290" s="1089"/>
      <c r="J290" s="1089"/>
      <c r="K290" s="1089"/>
      <c r="L290" s="1089"/>
      <c r="M290" s="1089"/>
      <c r="N290" s="1089"/>
      <c r="O290" s="1089"/>
      <c r="P290" s="1089"/>
      <c r="Q290" s="1089"/>
      <c r="R290" s="1089"/>
      <c r="T290" s="58" t="s">
        <v>387</v>
      </c>
      <c r="V290" s="58"/>
      <c r="W290" s="58"/>
      <c r="X290" s="58"/>
      <c r="Y290" s="58"/>
      <c r="AA290" s="1089" t="s">
        <v>1690</v>
      </c>
      <c r="AB290" s="1089"/>
      <c r="AC290" s="1089"/>
      <c r="AD290" s="1089"/>
      <c r="AE290" s="1089"/>
      <c r="AF290" s="1089"/>
      <c r="AG290" s="1089"/>
      <c r="AH290" s="1089"/>
      <c r="AI290" s="1089"/>
      <c r="AJ290" s="1089"/>
      <c r="AK290" s="1089"/>
      <c r="BA290" s="61"/>
    </row>
    <row r="291" spans="2:53" ht="12.75">
      <c r="B291" s="58" t="s">
        <v>517</v>
      </c>
      <c r="C291" s="58"/>
      <c r="D291" s="58"/>
      <c r="E291" s="58"/>
      <c r="F291" s="58"/>
      <c r="H291" s="1088" t="s">
        <v>1691</v>
      </c>
      <c r="I291" s="1088"/>
      <c r="J291" s="1088"/>
      <c r="K291" s="1088"/>
      <c r="L291" s="1088"/>
      <c r="M291" s="1088"/>
      <c r="N291" s="1088"/>
      <c r="O291" s="1088"/>
      <c r="P291" s="1088"/>
      <c r="Q291" s="1088"/>
      <c r="R291" s="1088"/>
      <c r="T291" s="58" t="s">
        <v>517</v>
      </c>
      <c r="V291" s="58"/>
      <c r="W291" s="58"/>
      <c r="X291" s="58"/>
      <c r="Y291" s="58"/>
      <c r="AA291" s="1088" t="s">
        <v>1665</v>
      </c>
      <c r="AB291" s="1088"/>
      <c r="AC291" s="1088"/>
      <c r="AD291" s="1088"/>
      <c r="AE291" s="1088"/>
      <c r="AF291" s="1088"/>
      <c r="AG291" s="1088"/>
      <c r="AH291" s="1088"/>
      <c r="AI291" s="1088"/>
      <c r="AJ291" s="1088"/>
      <c r="AK291" s="1088"/>
      <c r="BA291" s="61"/>
    </row>
    <row r="292" spans="2:53" ht="12.75">
      <c r="B292" s="58" t="s">
        <v>518</v>
      </c>
      <c r="C292" s="58"/>
      <c r="D292" s="58"/>
      <c r="E292" s="58"/>
      <c r="F292" s="58"/>
      <c r="H292" s="1088" t="s">
        <v>1682</v>
      </c>
      <c r="I292" s="1088"/>
      <c r="J292" s="1088"/>
      <c r="K292" s="1088"/>
      <c r="L292" s="1088"/>
      <c r="M292" s="1088"/>
      <c r="N292" s="1088"/>
      <c r="O292" s="1088"/>
      <c r="P292" s="1088"/>
      <c r="Q292" s="1088"/>
      <c r="R292" s="1088"/>
      <c r="T292" s="58" t="s">
        <v>81</v>
      </c>
      <c r="V292" s="58"/>
      <c r="W292" s="58"/>
      <c r="X292" s="58"/>
      <c r="Y292" s="58"/>
      <c r="AA292" s="1088" t="s">
        <v>1682</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1692</v>
      </c>
      <c r="I293" s="1088"/>
      <c r="J293" s="1088"/>
      <c r="K293" s="1088"/>
      <c r="L293" s="1088"/>
      <c r="M293" s="1088"/>
      <c r="N293" s="1088"/>
      <c r="O293" s="1088"/>
      <c r="P293" s="1088"/>
      <c r="Q293" s="1088"/>
      <c r="R293" s="1088"/>
      <c r="T293" s="58" t="s">
        <v>94</v>
      </c>
      <c r="V293" s="58"/>
      <c r="W293" s="58"/>
      <c r="X293" s="58"/>
      <c r="Y293" s="58"/>
      <c r="AA293" s="1088" t="s">
        <v>1668</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1693</v>
      </c>
      <c r="I294" s="1103"/>
      <c r="J294" s="1103"/>
      <c r="K294" s="1103"/>
      <c r="L294" s="1103"/>
      <c r="M294" s="1103"/>
      <c r="N294" s="7" t="s">
        <v>219</v>
      </c>
      <c r="O294" s="7"/>
      <c r="P294" s="1148"/>
      <c r="Q294" s="1148"/>
      <c r="R294" s="1148"/>
      <c r="S294" s="58"/>
      <c r="T294" s="58" t="s">
        <v>95</v>
      </c>
      <c r="V294" s="58"/>
      <c r="W294" s="58"/>
      <c r="X294" s="58"/>
      <c r="Y294" s="58"/>
      <c r="AA294" s="1102" t="s">
        <v>1669</v>
      </c>
      <c r="AB294" s="1103"/>
      <c r="AC294" s="1103"/>
      <c r="AD294" s="1103"/>
      <c r="AE294" s="1103"/>
      <c r="AF294" s="1103"/>
      <c r="AG294" s="7" t="s">
        <v>219</v>
      </c>
      <c r="AH294" s="7"/>
      <c r="AI294" s="1148">
        <v>3015</v>
      </c>
      <c r="AJ294" s="1148"/>
      <c r="AK294" s="1148"/>
      <c r="BA294" s="61"/>
    </row>
    <row r="295" spans="2:53" ht="12.75" customHeight="1">
      <c r="B295" s="58" t="s">
        <v>96</v>
      </c>
      <c r="C295" s="58"/>
      <c r="D295" s="58"/>
      <c r="E295" s="58"/>
      <c r="F295" s="58"/>
      <c r="G295" s="58"/>
      <c r="H295" s="1158" t="s">
        <v>1670</v>
      </c>
      <c r="I295" s="1123"/>
      <c r="J295" s="1123"/>
      <c r="K295" s="1123"/>
      <c r="L295" s="1123"/>
      <c r="M295" s="1123"/>
      <c r="N295" s="60"/>
      <c r="O295" s="60"/>
      <c r="P295" s="62"/>
      <c r="Q295" s="62"/>
      <c r="R295" s="62"/>
      <c r="S295" s="58"/>
      <c r="T295" s="58" t="s">
        <v>96</v>
      </c>
      <c r="V295" s="58"/>
      <c r="W295" s="58"/>
      <c r="X295" s="58"/>
      <c r="Y295" s="58"/>
      <c r="AA295" s="1158" t="s">
        <v>1686</v>
      </c>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8" t="s">
        <v>1694</v>
      </c>
      <c r="I296" s="1088"/>
      <c r="J296" s="1088"/>
      <c r="K296" s="1088"/>
      <c r="L296" s="1088"/>
      <c r="M296" s="1088"/>
      <c r="N296" s="1089"/>
      <c r="O296" s="1089"/>
      <c r="P296" s="1089"/>
      <c r="Q296" s="1089"/>
      <c r="R296" s="1089"/>
      <c r="S296" s="58"/>
      <c r="T296" s="58" t="s">
        <v>82</v>
      </c>
      <c r="V296" s="58"/>
      <c r="W296" s="58"/>
      <c r="X296" s="58"/>
      <c r="Y296" s="58"/>
      <c r="AA296" s="1088" t="s">
        <v>1671</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1695</v>
      </c>
      <c r="I298" s="1089"/>
      <c r="J298" s="1089"/>
      <c r="K298" s="1089"/>
      <c r="L298" s="1089"/>
      <c r="M298" s="1089"/>
      <c r="N298" s="1089"/>
      <c r="O298" s="1089"/>
      <c r="P298" s="1089"/>
      <c r="Q298" s="1089"/>
      <c r="R298" s="1089"/>
      <c r="T298" s="7" t="s">
        <v>972</v>
      </c>
      <c r="V298" s="58"/>
      <c r="W298" s="58"/>
      <c r="X298" s="58"/>
      <c r="Y298" s="58"/>
      <c r="AA298" s="1089" t="s">
        <v>1696</v>
      </c>
      <c r="AB298" s="1089"/>
      <c r="AC298" s="1089"/>
      <c r="AD298" s="1089"/>
      <c r="AE298" s="1089"/>
      <c r="AF298" s="1089"/>
      <c r="AG298" s="1089"/>
      <c r="AH298" s="1089"/>
      <c r="AI298" s="1089"/>
      <c r="AJ298" s="1089"/>
      <c r="AK298" s="1089"/>
      <c r="BA298" s="61"/>
    </row>
    <row r="299" spans="2:53" ht="12.75">
      <c r="B299" s="58" t="s">
        <v>517</v>
      </c>
      <c r="C299" s="58"/>
      <c r="D299" s="58"/>
      <c r="E299" s="58"/>
      <c r="F299" s="58"/>
      <c r="H299" s="1088" t="s">
        <v>1697</v>
      </c>
      <c r="I299" s="1088"/>
      <c r="J299" s="1088"/>
      <c r="K299" s="1088"/>
      <c r="L299" s="1088"/>
      <c r="M299" s="1088"/>
      <c r="N299" s="1088"/>
      <c r="O299" s="1088"/>
      <c r="P299" s="1088"/>
      <c r="Q299" s="1088"/>
      <c r="R299" s="1088"/>
      <c r="T299" s="58" t="s">
        <v>517</v>
      </c>
      <c r="V299" s="58"/>
      <c r="W299" s="58"/>
      <c r="X299" s="58"/>
      <c r="Y299" s="58"/>
      <c r="AA299" s="1088" t="s">
        <v>1698</v>
      </c>
      <c r="AB299" s="1088"/>
      <c r="AC299" s="1088"/>
      <c r="AD299" s="1088"/>
      <c r="AE299" s="1088"/>
      <c r="AF299" s="1088"/>
      <c r="AG299" s="1088"/>
      <c r="AH299" s="1088"/>
      <c r="AI299" s="1088"/>
      <c r="AJ299" s="1088"/>
      <c r="AK299" s="1088"/>
      <c r="BA299" s="61"/>
    </row>
    <row r="300" spans="2:53" ht="12.75">
      <c r="B300" s="58" t="s">
        <v>518</v>
      </c>
      <c r="C300" s="58"/>
      <c r="D300" s="58"/>
      <c r="E300" s="58"/>
      <c r="F300" s="58"/>
      <c r="H300" s="1088" t="s">
        <v>1699</v>
      </c>
      <c r="I300" s="1088"/>
      <c r="J300" s="1088"/>
      <c r="K300" s="1088"/>
      <c r="L300" s="1088"/>
      <c r="M300" s="1088"/>
      <c r="N300" s="1088"/>
      <c r="O300" s="1088"/>
      <c r="P300" s="1088"/>
      <c r="Q300" s="1088"/>
      <c r="R300" s="1088"/>
      <c r="T300" s="58" t="s">
        <v>81</v>
      </c>
      <c r="V300" s="58"/>
      <c r="W300" s="58"/>
      <c r="X300" s="58"/>
      <c r="Y300" s="58"/>
      <c r="AA300" s="1088" t="s">
        <v>1700</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t="s">
        <v>1701</v>
      </c>
      <c r="I301" s="1088"/>
      <c r="J301" s="1088"/>
      <c r="K301" s="1088"/>
      <c r="L301" s="1088"/>
      <c r="M301" s="1088"/>
      <c r="N301" s="1088"/>
      <c r="O301" s="1088"/>
      <c r="P301" s="1088"/>
      <c r="Q301" s="1088"/>
      <c r="R301" s="1088"/>
      <c r="T301" s="58" t="s">
        <v>94</v>
      </c>
      <c r="V301" s="58"/>
      <c r="W301" s="58"/>
      <c r="X301" s="58"/>
      <c r="Y301" s="58"/>
      <c r="AA301" s="1088" t="s">
        <v>1702</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1703</v>
      </c>
      <c r="I302" s="1103"/>
      <c r="J302" s="1103"/>
      <c r="K302" s="1103"/>
      <c r="L302" s="1103"/>
      <c r="M302" s="1103"/>
      <c r="N302" s="7" t="s">
        <v>219</v>
      </c>
      <c r="O302" s="7"/>
      <c r="P302" s="1148"/>
      <c r="Q302" s="1148"/>
      <c r="R302" s="1148"/>
      <c r="S302" s="58"/>
      <c r="T302" s="58" t="s">
        <v>95</v>
      </c>
      <c r="V302" s="58"/>
      <c r="W302" s="58"/>
      <c r="X302" s="58"/>
      <c r="Y302" s="58"/>
      <c r="AA302" s="1102" t="s">
        <v>1704</v>
      </c>
      <c r="AB302" s="1103"/>
      <c r="AC302" s="1103"/>
      <c r="AD302" s="1103"/>
      <c r="AE302" s="1103"/>
      <c r="AF302" s="1103"/>
      <c r="AG302" s="7" t="s">
        <v>219</v>
      </c>
      <c r="AH302" s="7"/>
      <c r="AI302" s="1148"/>
      <c r="AJ302" s="1148"/>
      <c r="AK302" s="1148"/>
      <c r="BA302" s="61"/>
    </row>
    <row r="303" spans="2:53" ht="12.75">
      <c r="B303" s="58" t="s">
        <v>96</v>
      </c>
      <c r="C303" s="58"/>
      <c r="D303" s="58"/>
      <c r="E303" s="58"/>
      <c r="F303" s="58"/>
      <c r="G303" s="58"/>
      <c r="H303" s="1158" t="s">
        <v>1705</v>
      </c>
      <c r="I303" s="1123"/>
      <c r="J303" s="1123"/>
      <c r="K303" s="1123"/>
      <c r="L303" s="1123"/>
      <c r="M303" s="1123"/>
      <c r="N303" s="60"/>
      <c r="O303" s="60"/>
      <c r="P303" s="62"/>
      <c r="Q303" s="62"/>
      <c r="R303" s="62"/>
      <c r="S303" s="58"/>
      <c r="T303" s="58" t="s">
        <v>96</v>
      </c>
      <c r="V303" s="58"/>
      <c r="W303" s="58"/>
      <c r="X303" s="58"/>
      <c r="Y303" s="58"/>
      <c r="AA303" s="1158" t="s">
        <v>1706</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8" t="s">
        <v>1707</v>
      </c>
      <c r="I304" s="1088"/>
      <c r="J304" s="1088"/>
      <c r="K304" s="1088"/>
      <c r="L304" s="1088"/>
      <c r="M304" s="1088"/>
      <c r="N304" s="1089"/>
      <c r="O304" s="1089"/>
      <c r="P304" s="1089"/>
      <c r="Q304" s="1089"/>
      <c r="R304" s="1089"/>
      <c r="S304" s="58"/>
      <c r="T304" s="58" t="s">
        <v>82</v>
      </c>
      <c r="V304" s="58"/>
      <c r="W304" s="58"/>
      <c r="X304" s="58"/>
      <c r="Y304" s="58"/>
      <c r="AA304" s="1088" t="s">
        <v>1708</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9" t="s">
        <v>1709</v>
      </c>
      <c r="I306" s="1089"/>
      <c r="J306" s="1089"/>
      <c r="K306" s="1089"/>
      <c r="L306" s="1089"/>
      <c r="M306" s="1089"/>
      <c r="N306" s="1089"/>
      <c r="O306" s="1089"/>
      <c r="P306" s="1089"/>
      <c r="Q306" s="1089"/>
      <c r="R306" s="1089"/>
      <c r="S306" s="58"/>
      <c r="T306" s="58" t="s">
        <v>388</v>
      </c>
      <c r="V306" s="58"/>
      <c r="W306" s="58"/>
      <c r="X306" s="58"/>
      <c r="Y306" s="58"/>
      <c r="AA306" s="1089" t="s">
        <v>1710</v>
      </c>
      <c r="AB306" s="1089"/>
      <c r="AC306" s="1089"/>
      <c r="AD306" s="1089"/>
      <c r="AE306" s="1089"/>
      <c r="AF306" s="1089"/>
      <c r="AG306" s="1089"/>
      <c r="AH306" s="1089"/>
      <c r="AI306" s="1089"/>
      <c r="AJ306" s="1089"/>
      <c r="AK306" s="1089"/>
      <c r="BA306" s="61"/>
    </row>
    <row r="307" spans="1:53" ht="12.75">
      <c r="B307" s="58" t="s">
        <v>517</v>
      </c>
      <c r="C307" s="58"/>
      <c r="D307" s="58"/>
      <c r="E307" s="58"/>
      <c r="F307" s="58"/>
      <c r="H307" s="1088" t="s">
        <v>1711</v>
      </c>
      <c r="I307" s="1088"/>
      <c r="J307" s="1088"/>
      <c r="K307" s="1088"/>
      <c r="L307" s="1088"/>
      <c r="M307" s="1088"/>
      <c r="N307" s="1088"/>
      <c r="O307" s="1088"/>
      <c r="P307" s="1088"/>
      <c r="Q307" s="1088"/>
      <c r="R307" s="1088"/>
      <c r="S307" s="58"/>
      <c r="T307" s="58" t="s">
        <v>517</v>
      </c>
      <c r="V307" s="58"/>
      <c r="W307" s="58"/>
      <c r="X307" s="58"/>
      <c r="Y307" s="58"/>
      <c r="AA307" s="1088" t="s">
        <v>1712</v>
      </c>
      <c r="AB307" s="1088"/>
      <c r="AC307" s="1088"/>
      <c r="AD307" s="1088"/>
      <c r="AE307" s="1088"/>
      <c r="AF307" s="1088"/>
      <c r="AG307" s="1088"/>
      <c r="AH307" s="1088"/>
      <c r="AI307" s="1088"/>
      <c r="AJ307" s="1088"/>
      <c r="AK307" s="1088"/>
      <c r="BA307" s="61"/>
    </row>
    <row r="308" spans="1:53" ht="12.75">
      <c r="B308" s="58" t="s">
        <v>518</v>
      </c>
      <c r="C308" s="58"/>
      <c r="D308" s="58"/>
      <c r="E308" s="58"/>
      <c r="F308" s="58"/>
      <c r="H308" s="1088" t="s">
        <v>1713</v>
      </c>
      <c r="I308" s="1088"/>
      <c r="J308" s="1088"/>
      <c r="K308" s="1088"/>
      <c r="L308" s="1088"/>
      <c r="M308" s="1088"/>
      <c r="N308" s="1088"/>
      <c r="O308" s="1088"/>
      <c r="P308" s="1088"/>
      <c r="Q308" s="1088"/>
      <c r="R308" s="1088"/>
      <c r="S308" s="58"/>
      <c r="T308" s="58" t="s">
        <v>81</v>
      </c>
      <c r="V308" s="58"/>
      <c r="W308" s="58"/>
      <c r="X308" s="58"/>
      <c r="Y308" s="58"/>
      <c r="AA308" s="1088" t="s">
        <v>1714</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1715</v>
      </c>
      <c r="I309" s="1088"/>
      <c r="J309" s="1088"/>
      <c r="K309" s="1088"/>
      <c r="L309" s="1088"/>
      <c r="M309" s="1088"/>
      <c r="N309" s="1088"/>
      <c r="O309" s="1088"/>
      <c r="P309" s="1088"/>
      <c r="Q309" s="1088"/>
      <c r="R309" s="1088"/>
      <c r="S309" s="58"/>
      <c r="T309" s="58" t="s">
        <v>94</v>
      </c>
      <c r="V309" s="58"/>
      <c r="W309" s="58"/>
      <c r="X309" s="58"/>
      <c r="Y309" s="58"/>
      <c r="AA309" s="1088" t="s">
        <v>1716</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t="s">
        <v>1717</v>
      </c>
      <c r="I310" s="1103"/>
      <c r="J310" s="1103"/>
      <c r="K310" s="1103"/>
      <c r="L310" s="1103"/>
      <c r="M310" s="1103"/>
      <c r="N310" s="7" t="s">
        <v>219</v>
      </c>
      <c r="O310" s="7"/>
      <c r="P310" s="1148"/>
      <c r="Q310" s="1148"/>
      <c r="R310" s="1148"/>
      <c r="S310" s="58"/>
      <c r="T310" s="58" t="s">
        <v>95</v>
      </c>
      <c r="V310" s="58"/>
      <c r="W310" s="58"/>
      <c r="X310" s="58"/>
      <c r="Y310" s="58"/>
      <c r="AA310" s="1102" t="s">
        <v>1718</v>
      </c>
      <c r="AB310" s="1103"/>
      <c r="AC310" s="1103"/>
      <c r="AD310" s="1103"/>
      <c r="AE310" s="1103"/>
      <c r="AF310" s="1103"/>
      <c r="AG310" s="7" t="s">
        <v>219</v>
      </c>
      <c r="AH310" s="7"/>
      <c r="AI310" s="1148"/>
      <c r="AJ310" s="1148"/>
      <c r="AK310" s="1148"/>
      <c r="BA310" s="61"/>
    </row>
    <row r="311" spans="1:53" ht="12.75">
      <c r="B311" s="58" t="s">
        <v>96</v>
      </c>
      <c r="C311" s="58"/>
      <c r="D311" s="58"/>
      <c r="E311" s="58"/>
      <c r="F311" s="58"/>
      <c r="G311" s="58"/>
      <c r="H311" s="1158" t="s">
        <v>1719</v>
      </c>
      <c r="I311" s="1123"/>
      <c r="J311" s="1123"/>
      <c r="K311" s="1123"/>
      <c r="L311" s="1123"/>
      <c r="M311" s="1123"/>
      <c r="N311" s="60"/>
      <c r="O311" s="60"/>
      <c r="P311" s="62"/>
      <c r="Q311" s="62"/>
      <c r="R311" s="62"/>
      <c r="S311" s="58"/>
      <c r="T311" s="58" t="s">
        <v>96</v>
      </c>
      <c r="V311" s="58"/>
      <c r="W311" s="58"/>
      <c r="X311" s="58"/>
      <c r="Y311" s="58"/>
      <c r="AA311" s="1158" t="s">
        <v>1720</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8" t="s">
        <v>1721</v>
      </c>
      <c r="I312" s="1088"/>
      <c r="J312" s="1088"/>
      <c r="K312" s="1088"/>
      <c r="L312" s="1088"/>
      <c r="M312" s="1088"/>
      <c r="N312" s="1089"/>
      <c r="O312" s="1089"/>
      <c r="P312" s="1089"/>
      <c r="Q312" s="1089"/>
      <c r="R312" s="1089"/>
      <c r="S312" s="58"/>
      <c r="T312" s="58" t="s">
        <v>82</v>
      </c>
      <c r="V312" s="58"/>
      <c r="W312" s="58"/>
      <c r="X312" s="58"/>
      <c r="Y312" s="58"/>
      <c r="AA312" s="1088" t="s">
        <v>1722</v>
      </c>
      <c r="AB312" s="1088"/>
      <c r="AC312" s="1088"/>
      <c r="AD312" s="1088"/>
      <c r="AE312" s="1088"/>
      <c r="AF312" s="1088"/>
      <c r="AG312" s="1089"/>
      <c r="AH312" s="1089"/>
      <c r="AI312" s="1089"/>
      <c r="AJ312" s="1089"/>
      <c r="AK312" s="1089"/>
      <c r="BA312" s="61"/>
    </row>
    <row r="313" spans="1:53" ht="12.75">
      <c r="BA313" s="61"/>
    </row>
    <row r="314" spans="1:53" ht="12.75">
      <c r="B314" s="7" t="s">
        <v>1006</v>
      </c>
      <c r="C314" s="58"/>
      <c r="D314" s="58"/>
      <c r="E314" s="58"/>
      <c r="F314" s="58"/>
      <c r="H314" s="1089" t="s">
        <v>1723</v>
      </c>
      <c r="I314" s="1089"/>
      <c r="J314" s="1089"/>
      <c r="K314" s="1089"/>
      <c r="L314" s="1089"/>
      <c r="M314" s="1089"/>
      <c r="N314" s="1089"/>
      <c r="O314" s="1089"/>
      <c r="P314" s="1089"/>
      <c r="Q314" s="1089"/>
      <c r="R314" s="1089"/>
      <c r="T314" s="58" t="s">
        <v>389</v>
      </c>
      <c r="V314" s="58"/>
      <c r="W314" s="58"/>
      <c r="X314" s="58"/>
      <c r="Y314" s="58"/>
      <c r="AA314" s="1089" t="s">
        <v>1724</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c r="I315" s="1088"/>
      <c r="J315" s="1088"/>
      <c r="K315" s="1088"/>
      <c r="L315" s="1088"/>
      <c r="M315" s="1088"/>
      <c r="N315" s="1088"/>
      <c r="O315" s="1088"/>
      <c r="P315" s="1088"/>
      <c r="Q315" s="1088"/>
      <c r="R315" s="1088"/>
      <c r="T315" s="58" t="s">
        <v>517</v>
      </c>
      <c r="V315" s="58"/>
      <c r="W315" s="58"/>
      <c r="X315" s="58"/>
      <c r="Y315" s="58"/>
      <c r="AA315" s="1088" t="s">
        <v>1725</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088" t="s">
        <v>1726</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088" t="s">
        <v>1727</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c r="I318" s="1103"/>
      <c r="J318" s="1103"/>
      <c r="K318" s="1103"/>
      <c r="L318" s="1103"/>
      <c r="M318" s="1103"/>
      <c r="N318" s="7" t="s">
        <v>219</v>
      </c>
      <c r="O318" s="7"/>
      <c r="P318" s="1148"/>
      <c r="Q318" s="1148"/>
      <c r="R318" s="1148"/>
      <c r="S318" s="58"/>
      <c r="T318" s="58" t="s">
        <v>95</v>
      </c>
      <c r="V318" s="58"/>
      <c r="W318" s="58"/>
      <c r="X318" s="58"/>
      <c r="Y318" s="58"/>
      <c r="AA318" s="1102" t="s">
        <v>1728</v>
      </c>
      <c r="AB318" s="1103"/>
      <c r="AC318" s="1103"/>
      <c r="AD318" s="1103"/>
      <c r="AE318" s="1103"/>
      <c r="AF318" s="1103"/>
      <c r="AG318" s="7" t="s">
        <v>219</v>
      </c>
      <c r="AH318" s="7"/>
      <c r="AI318" s="1148"/>
      <c r="AJ318" s="1148"/>
      <c r="AK318" s="1148"/>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088" t="s">
        <v>1729</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9" t="s">
        <v>1723</v>
      </c>
      <c r="I322" s="1089"/>
      <c r="J322" s="1089"/>
      <c r="K322" s="1089"/>
      <c r="L322" s="1089"/>
      <c r="M322" s="1089"/>
      <c r="N322" s="1089"/>
      <c r="O322" s="1089"/>
      <c r="P322" s="1089"/>
      <c r="Q322" s="1089"/>
      <c r="R322" s="1089"/>
      <c r="T322" s="58" t="s">
        <v>391</v>
      </c>
      <c r="V322" s="58"/>
      <c r="W322" s="58"/>
      <c r="X322" s="58"/>
      <c r="Y322" s="58"/>
      <c r="AA322" s="1089" t="s">
        <v>1723</v>
      </c>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8"/>
      <c r="I323" s="1088"/>
      <c r="J323" s="1088"/>
      <c r="K323" s="1088"/>
      <c r="L323" s="1088"/>
      <c r="M323" s="1088"/>
      <c r="N323" s="1088"/>
      <c r="O323" s="1088"/>
      <c r="P323" s="1088"/>
      <c r="Q323" s="1088"/>
      <c r="R323" s="1088"/>
      <c r="T323" s="58" t="s">
        <v>517</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8"/>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3"/>
      <c r="I326" s="1103"/>
      <c r="J326" s="1103"/>
      <c r="K326" s="1103"/>
      <c r="L326" s="1103"/>
      <c r="M326" s="1103"/>
      <c r="N326" s="7" t="s">
        <v>219</v>
      </c>
      <c r="O326" s="7"/>
      <c r="P326" s="1148"/>
      <c r="Q326" s="1148"/>
      <c r="R326" s="1148"/>
      <c r="S326" s="58"/>
      <c r="T326" s="58" t="s">
        <v>95</v>
      </c>
      <c r="V326" s="58"/>
      <c r="W326" s="58"/>
      <c r="X326" s="58"/>
      <c r="Y326" s="58"/>
      <c r="AA326" s="1103"/>
      <c r="AB326" s="1103"/>
      <c r="AC326" s="1103"/>
      <c r="AD326" s="1103"/>
      <c r="AE326" s="1103"/>
      <c r="AF326" s="1103"/>
      <c r="AG326" s="7" t="s">
        <v>219</v>
      </c>
      <c r="AH326" s="7"/>
      <c r="AI326" s="1148"/>
      <c r="AJ326" s="1148"/>
      <c r="AK326" s="1148"/>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8"/>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9" t="s">
        <v>1730</v>
      </c>
      <c r="I330" s="1089"/>
      <c r="J330" s="1089"/>
      <c r="K330" s="1089"/>
      <c r="L330" s="1089"/>
      <c r="M330" s="1089"/>
      <c r="N330" s="1089"/>
      <c r="O330" s="1089"/>
      <c r="P330" s="1089"/>
      <c r="Q330" s="1089"/>
      <c r="R330" s="1089"/>
      <c r="T330" s="422" t="s">
        <v>981</v>
      </c>
      <c r="V330" s="58"/>
      <c r="W330" s="58"/>
      <c r="X330" s="58"/>
      <c r="Y330" s="58"/>
      <c r="AA330" s="1089" t="s">
        <v>1731</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088" t="s">
        <v>1732</v>
      </c>
      <c r="I331" s="1088"/>
      <c r="J331" s="1088"/>
      <c r="K331" s="1088"/>
      <c r="L331" s="1088"/>
      <c r="M331" s="1088"/>
      <c r="N331" s="1088"/>
      <c r="O331" s="1088"/>
      <c r="P331" s="1088"/>
      <c r="Q331" s="1088"/>
      <c r="R331" s="1088"/>
      <c r="T331" s="58" t="s">
        <v>517</v>
      </c>
      <c r="V331" s="58"/>
      <c r="W331" s="58"/>
      <c r="X331" s="58"/>
      <c r="Y331" s="58"/>
      <c r="AA331" s="1088" t="s">
        <v>1733</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1734</v>
      </c>
      <c r="I332" s="1088"/>
      <c r="J332" s="1088"/>
      <c r="K332" s="1088"/>
      <c r="L332" s="1088"/>
      <c r="M332" s="1088"/>
      <c r="N332" s="1088"/>
      <c r="O332" s="1088"/>
      <c r="P332" s="1088"/>
      <c r="Q332" s="1088"/>
      <c r="R332" s="1088"/>
      <c r="T332" s="58" t="s">
        <v>81</v>
      </c>
      <c r="V332" s="58"/>
      <c r="W332" s="58"/>
      <c r="X332" s="58"/>
      <c r="Y332" s="58"/>
      <c r="AA332" s="1088" t="s">
        <v>1735</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1736</v>
      </c>
      <c r="I333" s="1088"/>
      <c r="J333" s="1088"/>
      <c r="K333" s="1088"/>
      <c r="L333" s="1088"/>
      <c r="M333" s="1088"/>
      <c r="N333" s="1088"/>
      <c r="O333" s="1088"/>
      <c r="P333" s="1088"/>
      <c r="Q333" s="1088"/>
      <c r="R333" s="1088"/>
      <c r="T333" s="58" t="s">
        <v>94</v>
      </c>
      <c r="V333" s="58"/>
      <c r="W333" s="58"/>
      <c r="X333" s="58"/>
      <c r="Y333" s="58"/>
      <c r="AA333" s="1088" t="s">
        <v>1737</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1738</v>
      </c>
      <c r="I334" s="1103"/>
      <c r="J334" s="1103"/>
      <c r="K334" s="1103"/>
      <c r="L334" s="1103"/>
      <c r="M334" s="1103"/>
      <c r="N334" s="7" t="s">
        <v>219</v>
      </c>
      <c r="O334" s="7"/>
      <c r="P334" s="1148"/>
      <c r="Q334" s="1148"/>
      <c r="R334" s="1148"/>
      <c r="S334" s="58"/>
      <c r="T334" s="58" t="s">
        <v>95</v>
      </c>
      <c r="V334" s="58"/>
      <c r="W334" s="58"/>
      <c r="X334" s="58"/>
      <c r="Y334" s="58"/>
      <c r="AA334" s="1102" t="s">
        <v>1739</v>
      </c>
      <c r="AB334" s="1103"/>
      <c r="AC334" s="1103"/>
      <c r="AD334" s="1103"/>
      <c r="AE334" s="1103"/>
      <c r="AF334" s="1103"/>
      <c r="AG334" s="7" t="s">
        <v>219</v>
      </c>
      <c r="AH334" s="7"/>
      <c r="AI334" s="1148"/>
      <c r="AJ334" s="1148"/>
      <c r="AK334" s="1148"/>
      <c r="AL334" s="39"/>
    </row>
    <row r="335" spans="1:53" ht="12.75" customHeight="1">
      <c r="A335" s="39"/>
      <c r="B335" s="58" t="s">
        <v>96</v>
      </c>
      <c r="C335" s="248"/>
      <c r="D335" s="248"/>
      <c r="E335" s="248"/>
      <c r="F335" s="248"/>
      <c r="G335" s="248"/>
      <c r="H335" s="1158" t="s">
        <v>1740</v>
      </c>
      <c r="I335" s="1123"/>
      <c r="J335" s="1123"/>
      <c r="K335" s="1123"/>
      <c r="L335" s="1123"/>
      <c r="M335" s="1123"/>
      <c r="N335" s="60"/>
      <c r="O335" s="60"/>
      <c r="P335" s="62"/>
      <c r="Q335" s="62"/>
      <c r="R335" s="62"/>
      <c r="S335" s="58"/>
      <c r="T335" s="58" t="s">
        <v>96</v>
      </c>
      <c r="V335" s="58"/>
      <c r="W335" s="58"/>
      <c r="X335" s="58"/>
      <c r="Y335" s="58"/>
      <c r="AA335" s="1158" t="s">
        <v>1741</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8" t="s">
        <v>1742</v>
      </c>
      <c r="I336" s="1088"/>
      <c r="J336" s="1088"/>
      <c r="K336" s="1088"/>
      <c r="L336" s="1088"/>
      <c r="M336" s="1088"/>
      <c r="N336" s="1089"/>
      <c r="O336" s="1089"/>
      <c r="P336" s="1089"/>
      <c r="Q336" s="1089"/>
      <c r="R336" s="1089"/>
      <c r="S336" s="58"/>
      <c r="T336" s="58" t="s">
        <v>82</v>
      </c>
      <c r="V336" s="58"/>
      <c r="W336" s="58"/>
      <c r="X336" s="58"/>
      <c r="Y336" s="58"/>
      <c r="AA336" s="1088" t="s">
        <v>1743</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9" t="s">
        <v>1723</v>
      </c>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219</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588</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7" t="s">
        <v>591</v>
      </c>
      <c r="N350" s="1117"/>
      <c r="P350" s="12" t="s">
        <v>598</v>
      </c>
      <c r="AJ350" s="1117" t="s">
        <v>722</v>
      </c>
      <c r="AK350" s="1117"/>
    </row>
    <row r="351" spans="1:53" ht="12.75" customHeight="1">
      <c r="D351" s="7" t="s">
        <v>955</v>
      </c>
      <c r="R351" s="12" t="s">
        <v>599</v>
      </c>
      <c r="AJ351" s="1117" t="s">
        <v>641</v>
      </c>
      <c r="AK351" s="1117"/>
    </row>
    <row r="352" spans="1:53" ht="12.75" customHeight="1">
      <c r="D352" s="12" t="s">
        <v>765</v>
      </c>
      <c r="M352" s="1117" t="s">
        <v>641</v>
      </c>
      <c r="N352" s="1117"/>
      <c r="P352" s="7" t="s">
        <v>952</v>
      </c>
      <c r="AJ352" s="1117" t="s">
        <v>722</v>
      </c>
      <c r="AK352" s="1117"/>
    </row>
    <row r="353" spans="1:34" ht="12.75" customHeight="1">
      <c r="D353" s="12" t="s">
        <v>766</v>
      </c>
      <c r="M353" s="1117" t="s">
        <v>641</v>
      </c>
      <c r="N353" s="111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7" t="s">
        <v>641</v>
      </c>
      <c r="O358" s="1117"/>
      <c r="P358" s="69"/>
      <c r="Q358" s="69"/>
      <c r="R358" s="69"/>
      <c r="S358" s="69"/>
      <c r="T358" s="69"/>
      <c r="U358" s="69"/>
      <c r="V358" s="69"/>
      <c r="W358" s="69"/>
      <c r="X358" s="69"/>
      <c r="Y358" s="70"/>
      <c r="Z358" s="70"/>
      <c r="AC358" s="69"/>
      <c r="AD358" s="69"/>
      <c r="AE358" s="69"/>
    </row>
    <row r="359" spans="1:34" ht="12.75" customHeight="1">
      <c r="E359" s="12" t="s">
        <v>394</v>
      </c>
      <c r="Y359" s="1117" t="s">
        <v>641</v>
      </c>
      <c r="Z359" s="1117"/>
    </row>
    <row r="360" spans="1:34" ht="12.75" customHeight="1">
      <c r="D360" s="7" t="s">
        <v>1091</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7" t="s">
        <v>641</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0" t="s">
        <v>767</v>
      </c>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c r="AA363" s="1560"/>
      <c r="AB363" s="1560"/>
      <c r="AC363" s="1560"/>
      <c r="AD363" s="1560"/>
      <c r="AE363" s="1560"/>
      <c r="AF363" s="1560"/>
      <c r="AG363" s="1560"/>
      <c r="AH363" s="1560"/>
    </row>
    <row r="364" spans="1:34" ht="12.75" customHeight="1">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c r="AA364" s="1560"/>
      <c r="AB364" s="1560"/>
      <c r="AC364" s="1560"/>
      <c r="AD364" s="1560"/>
      <c r="AE364" s="1560"/>
      <c r="AF364" s="1560"/>
      <c r="AG364" s="1560"/>
      <c r="AH364" s="1560"/>
    </row>
    <row r="365" spans="1:34" ht="12.75" customHeight="1">
      <c r="E365" s="7" t="s">
        <v>492</v>
      </c>
      <c r="F365" s="7"/>
      <c r="G365" s="7"/>
      <c r="H365" s="7"/>
      <c r="I365" s="7"/>
      <c r="J365" s="7"/>
      <c r="K365" s="7"/>
      <c r="L365" s="7"/>
      <c r="N365" s="1137"/>
      <c r="O365" s="1137"/>
      <c r="P365" s="1137"/>
      <c r="Q365" s="1137"/>
      <c r="R365" s="7"/>
      <c r="U365" s="7" t="s">
        <v>493</v>
      </c>
      <c r="V365" s="7"/>
      <c r="W365" s="7"/>
      <c r="X365" s="7"/>
      <c r="Y365" s="7"/>
      <c r="Z365" s="7"/>
      <c r="AA365" s="7"/>
      <c r="AB365" s="7"/>
      <c r="AC365" s="1137"/>
      <c r="AD365" s="1137"/>
      <c r="AE365" s="1137"/>
      <c r="AF365" s="1137"/>
    </row>
    <row r="366" spans="1:34" ht="12.75" customHeight="1">
      <c r="E366" s="7" t="s">
        <v>494</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6"/>
      <c r="T372" s="1116"/>
      <c r="U372" s="4" t="s">
        <v>327</v>
      </c>
      <c r="V372" s="1116"/>
      <c r="W372" s="1116"/>
      <c r="Y372" s="25" t="s">
        <v>325</v>
      </c>
      <c r="AA372" s="25"/>
      <c r="AB372" s="25" t="s">
        <v>326</v>
      </c>
      <c r="AD372" s="1116"/>
      <c r="AE372" s="1116"/>
      <c r="AF372" s="4" t="s">
        <v>327</v>
      </c>
      <c r="AG372" s="1116"/>
      <c r="AH372" s="1116"/>
    </row>
    <row r="373" spans="1:38" ht="12.75" customHeight="1">
      <c r="E373" s="7" t="s">
        <v>1126</v>
      </c>
      <c r="F373" s="7"/>
      <c r="G373" s="7"/>
      <c r="H373" s="7"/>
      <c r="I373" s="7"/>
      <c r="J373" s="7"/>
      <c r="K373" s="7"/>
      <c r="L373" s="7"/>
      <c r="N373" s="1116"/>
      <c r="O373" s="1116"/>
      <c r="P373" s="1116"/>
    </row>
    <row r="374" spans="1:38" ht="12.75" customHeight="1">
      <c r="E374" s="399" t="s">
        <v>1128</v>
      </c>
      <c r="F374" s="7"/>
      <c r="G374" s="7"/>
      <c r="H374" s="7"/>
      <c r="I374" s="7"/>
      <c r="J374" s="7"/>
      <c r="K374" s="7"/>
      <c r="L374" s="7"/>
      <c r="AG374" s="1543" t="s">
        <v>641</v>
      </c>
      <c r="AH374" s="1543"/>
    </row>
    <row r="375" spans="1:38" ht="12.75" customHeight="1">
      <c r="E375" s="7"/>
      <c r="F375" s="7"/>
      <c r="G375" s="7" t="s">
        <v>1149</v>
      </c>
      <c r="H375" s="7"/>
      <c r="I375" s="7"/>
      <c r="J375" s="7"/>
      <c r="K375" s="7"/>
      <c r="L375" s="7"/>
      <c r="AG375" s="1543" t="s">
        <v>641</v>
      </c>
      <c r="AH375" s="1543"/>
    </row>
    <row r="376" spans="1:38" ht="12.75" customHeight="1">
      <c r="E376" s="7"/>
      <c r="F376" s="7"/>
      <c r="G376" s="530" t="s">
        <v>1129</v>
      </c>
      <c r="H376" s="7"/>
      <c r="I376" s="7"/>
      <c r="J376" s="7"/>
      <c r="K376" s="7"/>
      <c r="L376" s="7"/>
      <c r="V376" s="1117" t="s">
        <v>641</v>
      </c>
      <c r="W376" s="1117"/>
      <c r="Y376" s="35" t="s">
        <v>1093</v>
      </c>
    </row>
    <row r="377" spans="1:38" ht="12.75" customHeight="1">
      <c r="E377" s="7" t="s">
        <v>1094</v>
      </c>
      <c r="F377" s="7"/>
      <c r="G377" s="7"/>
      <c r="H377" s="7"/>
      <c r="I377" s="7"/>
      <c r="J377" s="7"/>
      <c r="K377" s="7"/>
      <c r="L377" s="7"/>
      <c r="V377" s="1117" t="s">
        <v>641</v>
      </c>
      <c r="W377" s="1117"/>
      <c r="Y377" s="7" t="s">
        <v>1095</v>
      </c>
    </row>
    <row r="378" spans="1:38" ht="12.75" customHeight="1"/>
    <row r="379" spans="1:38" ht="12.75" customHeight="1">
      <c r="A379" s="50" t="s">
        <v>84</v>
      </c>
      <c r="B379" s="50"/>
    </row>
    <row r="380" spans="1:38" ht="12.75" customHeight="1">
      <c r="D380" s="12" t="s">
        <v>462</v>
      </c>
      <c r="J380" s="1089" t="s">
        <v>1744</v>
      </c>
      <c r="K380" s="1089"/>
      <c r="L380" s="1089"/>
      <c r="M380" s="1089"/>
      <c r="N380" s="1089"/>
      <c r="O380" s="1089"/>
      <c r="P380" s="1089"/>
      <c r="Q380" s="1089"/>
      <c r="R380" s="1089"/>
      <c r="S380" s="1089"/>
      <c r="T380" s="1089"/>
      <c r="U380" s="1089"/>
      <c r="V380" s="14" t="s">
        <v>90</v>
      </c>
      <c r="W380" s="14"/>
      <c r="X380" s="14"/>
      <c r="Y380" s="14"/>
      <c r="Z380" s="14"/>
      <c r="AA380" s="14"/>
      <c r="AB380" s="14"/>
      <c r="AC380" s="1089" t="s">
        <v>1745</v>
      </c>
      <c r="AD380" s="1089"/>
      <c r="AE380" s="1089"/>
      <c r="AF380" s="1089"/>
      <c r="AG380" s="1089"/>
      <c r="AH380" s="1089"/>
      <c r="AI380" s="1089"/>
      <c r="AJ380" s="1089"/>
    </row>
    <row r="381" spans="1:38" ht="12.75" customHeight="1">
      <c r="A381" s="743"/>
      <c r="B381" s="743"/>
      <c r="C381" s="743"/>
      <c r="D381" s="58" t="s">
        <v>1421</v>
      </c>
      <c r="E381" s="743"/>
      <c r="F381" s="743"/>
      <c r="G381" s="743"/>
      <c r="H381" s="743"/>
      <c r="I381" s="743"/>
      <c r="J381" s="1088" t="s">
        <v>1745</v>
      </c>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t="s">
        <v>1746</v>
      </c>
      <c r="K382" s="1088"/>
      <c r="L382" s="1088"/>
      <c r="M382" s="1088"/>
      <c r="N382" s="1088"/>
      <c r="O382" s="1088"/>
      <c r="P382" s="1088"/>
      <c r="Q382" s="1088"/>
      <c r="R382" s="1088"/>
      <c r="S382" s="1088"/>
      <c r="T382" s="1088"/>
      <c r="U382" s="1088"/>
      <c r="V382" s="58" t="s">
        <v>477</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1417</v>
      </c>
      <c r="E383" s="743"/>
      <c r="F383" s="743"/>
      <c r="G383" s="743"/>
      <c r="H383" s="743"/>
      <c r="I383" s="88"/>
      <c r="J383" s="1120" t="s">
        <v>1747</v>
      </c>
      <c r="K383" s="1120"/>
      <c r="L383" s="1120"/>
      <c r="M383" s="1120"/>
      <c r="N383" s="1120"/>
      <c r="O383" s="1120"/>
      <c r="P383" s="1120"/>
      <c r="Q383" s="1120"/>
      <c r="R383" s="1120"/>
      <c r="S383" s="1120"/>
      <c r="T383" s="1120"/>
      <c r="U383" s="1120"/>
      <c r="V383" s="1089" t="s">
        <v>1748</v>
      </c>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0">
        <v>43570</v>
      </c>
      <c r="R384" s="1250"/>
      <c r="S384" s="1250"/>
      <c r="T384" s="1250"/>
      <c r="U384" s="1250"/>
      <c r="V384" s="12" t="s">
        <v>330</v>
      </c>
      <c r="AI384" s="1117" t="s">
        <v>722</v>
      </c>
      <c r="AJ384" s="1117"/>
    </row>
    <row r="385" spans="1:38" ht="12.75" customHeight="1">
      <c r="D385" s="12" t="s">
        <v>5</v>
      </c>
      <c r="Q385" s="1414">
        <v>44104</v>
      </c>
      <c r="R385" s="1559"/>
      <c r="S385" s="1559"/>
      <c r="T385" s="1559"/>
      <c r="U385" s="1559"/>
      <c r="W385" s="33" t="s">
        <v>80</v>
      </c>
      <c r="AG385" s="1122"/>
      <c r="AH385" s="1122"/>
      <c r="AI385" s="1122"/>
      <c r="AJ385" s="1122"/>
    </row>
    <row r="386" spans="1:38" ht="12.75" customHeight="1">
      <c r="D386" s="12" t="s">
        <v>461</v>
      </c>
      <c r="Q386" s="1154">
        <v>4545000</v>
      </c>
      <c r="R386" s="1154"/>
      <c r="S386" s="1154"/>
      <c r="T386" s="1154"/>
      <c r="U386" s="1154"/>
      <c r="V386" s="58" t="s">
        <v>1420</v>
      </c>
      <c r="AG386" s="1259">
        <v>44075</v>
      </c>
      <c r="AH386" s="1259"/>
      <c r="AI386" s="1259"/>
      <c r="AJ386" s="1259"/>
    </row>
    <row r="387" spans="1:38" ht="12.75" customHeight="1">
      <c r="D387" s="12" t="s">
        <v>95</v>
      </c>
      <c r="I387" s="1102" t="s">
        <v>1749</v>
      </c>
      <c r="J387" s="1103"/>
      <c r="K387" s="1103"/>
      <c r="L387" s="1103"/>
      <c r="M387" s="1103"/>
      <c r="N387" s="1103"/>
      <c r="Q387" s="57" t="s">
        <v>219</v>
      </c>
      <c r="S387" s="1149"/>
      <c r="T387" s="1149"/>
      <c r="U387" s="1149"/>
      <c r="V387" s="12" t="s">
        <v>79</v>
      </c>
      <c r="AI387" s="1117" t="s">
        <v>722</v>
      </c>
      <c r="AJ387" s="1117"/>
    </row>
    <row r="388" spans="1:38" ht="12.75">
      <c r="D388" s="12" t="s">
        <v>331</v>
      </c>
      <c r="Q388" s="1155"/>
      <c r="R388" s="1155"/>
      <c r="S388" s="1155"/>
      <c r="T388" s="1155"/>
      <c r="U388" s="1155"/>
      <c r="V388" s="12" t="s">
        <v>332</v>
      </c>
      <c r="AG388" s="1122"/>
      <c r="AH388" s="1122"/>
      <c r="AI388" s="1122"/>
      <c r="AJ388" s="1122"/>
    </row>
    <row r="389" spans="1:38" ht="12.75">
      <c r="D389" s="12" t="s">
        <v>333</v>
      </c>
      <c r="Q389" s="1260">
        <v>1E-8</v>
      </c>
      <c r="R389" s="1260"/>
      <c r="S389" s="1260"/>
      <c r="T389" s="1260"/>
      <c r="U389" s="1260"/>
      <c r="V389" s="743" t="s">
        <v>1397</v>
      </c>
      <c r="AG389" s="1122"/>
      <c r="AH389" s="1122"/>
      <c r="AI389" s="1122"/>
      <c r="AJ389" s="1122"/>
    </row>
    <row r="390" spans="1:38" ht="12.75">
      <c r="D390" s="743" t="s">
        <v>1396</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317" t="s">
        <v>1750</v>
      </c>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row>
    <row r="394" spans="1:38" ht="12.75" customHeight="1">
      <c r="C394" s="25"/>
      <c r="D394" s="25"/>
      <c r="E394" s="12" t="s">
        <v>113</v>
      </c>
      <c r="F394" s="25"/>
      <c r="G394" s="25"/>
      <c r="H394" s="25"/>
      <c r="I394" s="25"/>
      <c r="J394" s="25"/>
      <c r="K394" s="25"/>
      <c r="L394" s="25"/>
      <c r="M394" s="25"/>
      <c r="N394" s="25"/>
      <c r="O394" s="25"/>
      <c r="P394" s="743"/>
      <c r="Q394" s="743"/>
      <c r="R394" s="1117" t="s">
        <v>591</v>
      </c>
      <c r="S394" s="1117"/>
      <c r="T394" s="12" t="s">
        <v>619</v>
      </c>
      <c r="U394" s="743"/>
      <c r="V394" s="743"/>
      <c r="W394" s="743"/>
      <c r="X394" s="743"/>
      <c r="Y394" s="743"/>
      <c r="Z394" s="743"/>
      <c r="AA394" s="743"/>
      <c r="AB394" s="743"/>
      <c r="AC394" s="743"/>
      <c r="AD394" s="1137">
        <v>5</v>
      </c>
      <c r="AE394" s="1137"/>
      <c r="AF394" s="743"/>
    </row>
    <row r="395" spans="1:38" ht="12.75" customHeight="1">
      <c r="C395" s="25"/>
      <c r="E395" s="12" t="s">
        <v>114</v>
      </c>
      <c r="F395" s="743"/>
      <c r="G395" s="743"/>
      <c r="H395" s="743"/>
      <c r="I395" s="743"/>
      <c r="J395" s="743"/>
      <c r="K395" s="743"/>
      <c r="L395" s="743"/>
      <c r="M395" s="743"/>
      <c r="N395" s="25"/>
      <c r="O395" s="25"/>
      <c r="P395" s="743"/>
      <c r="Q395" s="743"/>
      <c r="R395" s="1117" t="s">
        <v>641</v>
      </c>
      <c r="S395" s="1117"/>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641</v>
      </c>
      <c r="T396" s="1117"/>
      <c r="U396" s="743"/>
      <c r="V396" s="743"/>
      <c r="W396" s="743"/>
      <c r="X396" s="743"/>
      <c r="Y396" s="743"/>
      <c r="Z396" s="743"/>
      <c r="AA396" s="743"/>
      <c r="AB396" s="743"/>
      <c r="AC396" s="743"/>
      <c r="AD396" s="743"/>
      <c r="AE396" s="743"/>
      <c r="AF396" s="743"/>
    </row>
    <row r="397" spans="1:38" ht="12.75" customHeight="1">
      <c r="E397" s="12" t="s">
        <v>176</v>
      </c>
      <c r="F397" s="743"/>
      <c r="G397" s="743"/>
      <c r="H397" s="1146" t="s">
        <v>1799</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6"/>
      <c r="F406" s="1116"/>
      <c r="G406" s="1116"/>
      <c r="H406" s="23" t="s">
        <v>122</v>
      </c>
      <c r="I406" s="1116"/>
      <c r="J406" s="1116"/>
      <c r="K406" s="1116"/>
      <c r="L406" s="12" t="s">
        <v>123</v>
      </c>
      <c r="N406" s="144" t="s">
        <v>625</v>
      </c>
      <c r="P406" s="1267">
        <v>1.33</v>
      </c>
      <c r="Q406" s="1267"/>
      <c r="R406" s="1267"/>
      <c r="S406" s="12" t="s">
        <v>124</v>
      </c>
      <c r="W406" s="1152">
        <f>IF(E406&gt;0,(E406*I406),(P406*43560))</f>
        <v>57934.8</v>
      </c>
      <c r="X406" s="1152"/>
      <c r="Y406" s="1152"/>
      <c r="Z406" s="12" t="s">
        <v>125</v>
      </c>
      <c r="AF406" s="1267">
        <f>AG424/P406</f>
        <v>98.496240601503757</v>
      </c>
      <c r="AG406" s="1267"/>
      <c r="AH406" s="1267"/>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642</v>
      </c>
      <c r="B410" s="50"/>
      <c r="C410" s="50"/>
      <c r="D410" s="50" t="s">
        <v>127</v>
      </c>
    </row>
    <row r="411" spans="1:36" ht="12.75">
      <c r="E411" s="12" t="s">
        <v>128</v>
      </c>
      <c r="P411" s="1117">
        <v>1</v>
      </c>
      <c r="Q411" s="1117"/>
      <c r="S411" s="12" t="s">
        <v>202</v>
      </c>
      <c r="AE411" s="1117">
        <v>1</v>
      </c>
      <c r="AF411" s="1117"/>
    </row>
    <row r="412" spans="1:36" ht="12.75">
      <c r="E412" s="12" t="s">
        <v>203</v>
      </c>
      <c r="P412" s="1117">
        <v>0</v>
      </c>
      <c r="Q412" s="1117"/>
      <c r="S412" s="12" t="s">
        <v>138</v>
      </c>
      <c r="AE412" s="1117" t="s">
        <v>641</v>
      </c>
      <c r="AF412" s="1117"/>
    </row>
    <row r="413" spans="1:36" ht="12.75" customHeight="1">
      <c r="F413" s="67" t="s">
        <v>139</v>
      </c>
    </row>
    <row r="414" spans="1:36" ht="12.75" customHeight="1">
      <c r="F414" s="1248" t="s">
        <v>1751</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7" t="s">
        <v>591</v>
      </c>
      <c r="R416" s="111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7" t="s">
        <v>641</v>
      </c>
      <c r="AG417" s="1133"/>
    </row>
    <row r="418" spans="1:96" ht="12.75" customHeight="1">
      <c r="S418" s="25"/>
      <c r="T418" s="25"/>
    </row>
    <row r="419" spans="1:96" ht="12.75" customHeight="1">
      <c r="A419" s="50"/>
      <c r="B419" s="50"/>
      <c r="C419" s="50"/>
      <c r="E419" s="7" t="s">
        <v>329</v>
      </c>
      <c r="Z419" s="1117" t="s">
        <v>722</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7" t="s">
        <v>641</v>
      </c>
      <c r="AA421" s="1117"/>
    </row>
    <row r="422" spans="1:96" ht="12.75" customHeight="1"/>
    <row r="423" spans="1:96" ht="12.75" customHeight="1">
      <c r="A423" s="50" t="s">
        <v>513</v>
      </c>
      <c r="B423" s="50"/>
      <c r="C423" s="50"/>
      <c r="D423" s="50" t="s">
        <v>842</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131</v>
      </c>
      <c r="AH424" s="1134"/>
      <c r="AI424" s="1134"/>
      <c r="AJ424" s="1134"/>
    </row>
    <row r="425" spans="1:96" ht="12.75" customHeight="1">
      <c r="D425" s="1138" t="s">
        <v>1488</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4"/>
      <c r="AH425" s="1275"/>
      <c r="AI425" s="1275"/>
      <c r="AJ425" s="1275"/>
    </row>
    <row r="426" spans="1:96" ht="12.75"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130</v>
      </c>
      <c r="AH426" s="1134"/>
      <c r="AI426" s="1134"/>
      <c r="AJ426" s="1134"/>
    </row>
    <row r="427" spans="1:96" ht="12.75"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130</v>
      </c>
      <c r="AH427" s="1134"/>
      <c r="AI427" s="1134"/>
      <c r="AJ427" s="1134"/>
    </row>
    <row r="428" spans="1:96" ht="12.75"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143011</v>
      </c>
      <c r="AH429" s="1135"/>
      <c r="AI429" s="1135"/>
      <c r="AJ429" s="1135"/>
    </row>
    <row r="430" spans="1:96" ht="12.75"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143011</v>
      </c>
      <c r="AH430" s="1135"/>
      <c r="AI430" s="1135"/>
      <c r="AJ430" s="1135"/>
    </row>
    <row r="431" spans="1:96" ht="12.75"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1459</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4420</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617</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1460</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72875</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1190</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299">
        <f>AG429+AG433+AG435+AG436</f>
        <v>220306</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1461</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630573.17557251907</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630573.17557251907</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582904.40458015271</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27" t="s">
        <v>641</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27" t="s">
        <v>641</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27" t="s">
        <v>641</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27" t="s">
        <v>641</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27" t="s">
        <v>641</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27" t="s">
        <v>641</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27" t="s">
        <v>641</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296"/>
      <c r="H459" s="1297"/>
      <c r="I459" s="1297"/>
      <c r="J459" s="1297"/>
      <c r="K459" s="1297"/>
      <c r="L459" s="1297"/>
      <c r="M459" s="1297"/>
      <c r="N459" s="1297"/>
      <c r="O459" s="1297"/>
      <c r="P459" s="1297"/>
      <c r="Q459" s="1297"/>
      <c r="R459" s="1297"/>
      <c r="S459" s="1297"/>
      <c r="T459" s="1297"/>
      <c r="U459" s="1297"/>
      <c r="V459" s="1298"/>
      <c r="W459" s="1227" t="s">
        <v>641</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7" t="s">
        <v>754</v>
      </c>
      <c r="E463" s="1338"/>
      <c r="F463" s="1338"/>
      <c r="G463" s="1338"/>
      <c r="H463" s="1338"/>
      <c r="I463" s="1338"/>
      <c r="J463" s="1338"/>
      <c r="K463" s="1338"/>
      <c r="L463" s="1338"/>
      <c r="M463" s="1338"/>
      <c r="N463" s="1338"/>
      <c r="O463" s="1338"/>
      <c r="P463" s="1338"/>
      <c r="Q463" s="1338"/>
      <c r="R463" s="1338"/>
      <c r="S463" s="1338"/>
      <c r="T463" s="1338"/>
      <c r="U463" s="1338"/>
      <c r="V463" s="1338"/>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27" t="s">
        <v>641</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892</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361</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t="s">
        <v>641</v>
      </c>
      <c r="U474" s="1161"/>
      <c r="V474" s="1161"/>
      <c r="W474" s="1161"/>
      <c r="X474" s="1161"/>
      <c r="Y474" s="1161" t="s">
        <v>641</v>
      </c>
      <c r="Z474" s="1161"/>
      <c r="AA474" s="1161"/>
      <c r="AB474" s="1161"/>
      <c r="AC474" s="1161"/>
      <c r="AD474" s="1161" t="s">
        <v>641</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t="s">
        <v>641</v>
      </c>
      <c r="U475" s="1161"/>
      <c r="V475" s="1161"/>
      <c r="W475" s="1161"/>
      <c r="X475" s="1161"/>
      <c r="Y475" s="1161" t="s">
        <v>641</v>
      </c>
      <c r="Z475" s="1161"/>
      <c r="AA475" s="1161"/>
      <c r="AB475" s="1161"/>
      <c r="AC475" s="1161"/>
      <c r="AD475" s="1161" t="s">
        <v>641</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t="s">
        <v>641</v>
      </c>
      <c r="U476" s="1161"/>
      <c r="V476" s="1161"/>
      <c r="W476" s="1161"/>
      <c r="X476" s="1161"/>
      <c r="Y476" s="1161" t="s">
        <v>641</v>
      </c>
      <c r="Z476" s="1161"/>
      <c r="AA476" s="1161"/>
      <c r="AB476" s="1161"/>
      <c r="AC476" s="1161"/>
      <c r="AD476" s="1161" t="s">
        <v>641</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t="s">
        <v>641</v>
      </c>
      <c r="U477" s="1161"/>
      <c r="V477" s="1161"/>
      <c r="W477" s="1161"/>
      <c r="X477" s="1161"/>
      <c r="Y477" s="1161" t="s">
        <v>641</v>
      </c>
      <c r="Z477" s="1161"/>
      <c r="AA477" s="1161"/>
      <c r="AB477" s="1161"/>
      <c r="AC477" s="1161"/>
      <c r="AD477" s="1161" t="s">
        <v>641</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t="s">
        <v>641</v>
      </c>
      <c r="U478" s="1161"/>
      <c r="V478" s="1161"/>
      <c r="W478" s="1161"/>
      <c r="X478" s="1161"/>
      <c r="Y478" s="1161" t="s">
        <v>641</v>
      </c>
      <c r="Z478" s="1161"/>
      <c r="AA478" s="1161"/>
      <c r="AB478" s="1161"/>
      <c r="AC478" s="1161"/>
      <c r="AD478" s="1161" t="s">
        <v>641</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t="s">
        <v>641</v>
      </c>
      <c r="U479" s="1161"/>
      <c r="V479" s="1161"/>
      <c r="W479" s="1161"/>
      <c r="X479" s="1161"/>
      <c r="Y479" s="1161" t="s">
        <v>641</v>
      </c>
      <c r="Z479" s="1161"/>
      <c r="AA479" s="1161"/>
      <c r="AB479" s="1161"/>
      <c r="AC479" s="1161"/>
      <c r="AD479" s="1161" t="s">
        <v>641</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v>42538</v>
      </c>
      <c r="U480" s="1161"/>
      <c r="V480" s="1161"/>
      <c r="W480" s="1161"/>
      <c r="X480" s="1161"/>
      <c r="Y480" s="1161">
        <v>0</v>
      </c>
      <c r="Z480" s="1161"/>
      <c r="AA480" s="1161"/>
      <c r="AB480" s="1161"/>
      <c r="AC480" s="1161"/>
      <c r="AD480" s="1161">
        <v>42558</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t="s">
        <v>641</v>
      </c>
      <c r="U481" s="1161"/>
      <c r="V481" s="1161"/>
      <c r="W481" s="1161"/>
      <c r="X481" s="1161"/>
      <c r="Y481" s="1161" t="s">
        <v>641</v>
      </c>
      <c r="Z481" s="1161"/>
      <c r="AA481" s="1161"/>
      <c r="AB481" s="1161"/>
      <c r="AC481" s="1161"/>
      <c r="AD481" s="1161" t="s">
        <v>641</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t="s">
        <v>641</v>
      </c>
      <c r="U482" s="1161"/>
      <c r="V482" s="1161"/>
      <c r="W482" s="1161"/>
      <c r="X482" s="1161"/>
      <c r="Y482" s="1161" t="s">
        <v>641</v>
      </c>
      <c r="Z482" s="1161"/>
      <c r="AA482" s="1161"/>
      <c r="AB482" s="1161"/>
      <c r="AC482" s="1161"/>
      <c r="AD482" s="1161" t="s">
        <v>641</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t="s">
        <v>641</v>
      </c>
      <c r="U483" s="1161"/>
      <c r="V483" s="1161"/>
      <c r="W483" s="1161"/>
      <c r="X483" s="1161"/>
      <c r="Y483" s="1161" t="s">
        <v>641</v>
      </c>
      <c r="Z483" s="1161"/>
      <c r="AA483" s="1161"/>
      <c r="AB483" s="1161"/>
      <c r="AC483" s="1161"/>
      <c r="AD483" s="1161" t="s">
        <v>641</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427</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1752</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1753</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1753</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9" t="s">
        <v>431</v>
      </c>
      <c r="C489" s="1340"/>
      <c r="D489" s="1340"/>
      <c r="E489" s="1340"/>
      <c r="F489" s="1340"/>
      <c r="G489" s="1340"/>
      <c r="H489" s="1340"/>
      <c r="I489" s="1340"/>
      <c r="J489" s="1340"/>
      <c r="K489" s="1340"/>
      <c r="L489" s="1340"/>
      <c r="M489" s="1340"/>
      <c r="N489" s="1340"/>
      <c r="O489" s="1340"/>
      <c r="P489" s="134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2"/>
      <c r="C490" s="1343"/>
      <c r="D490" s="1343"/>
      <c r="E490" s="1343"/>
      <c r="F490" s="1343"/>
      <c r="G490" s="1343"/>
      <c r="H490" s="1343"/>
      <c r="I490" s="1343"/>
      <c r="J490" s="1343"/>
      <c r="K490" s="1343"/>
      <c r="L490" s="1343"/>
      <c r="M490" s="1343"/>
      <c r="N490" s="1343"/>
      <c r="O490" s="1343"/>
      <c r="P490" s="1344"/>
      <c r="Q490" s="1348" t="s">
        <v>591</v>
      </c>
      <c r="R490" s="1349"/>
      <c r="S490" s="1583" t="s">
        <v>1754</v>
      </c>
      <c r="T490" s="1584"/>
      <c r="U490" s="1584"/>
      <c r="V490" s="1584"/>
      <c r="W490" s="1584"/>
      <c r="X490" s="1584"/>
      <c r="Y490" s="1584"/>
      <c r="Z490" s="1584"/>
      <c r="AA490" s="1584"/>
      <c r="AB490" s="1584"/>
      <c r="AC490" s="1584"/>
      <c r="AD490" s="1584"/>
      <c r="AE490" s="1584"/>
      <c r="AF490" s="1584"/>
      <c r="AG490" s="1584"/>
      <c r="AH490" s="1584"/>
      <c r="AI490" s="1584"/>
      <c r="AJ490" s="1584"/>
      <c r="AK490" s="158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5"/>
      <c r="C491" s="1346"/>
      <c r="D491" s="1346"/>
      <c r="E491" s="1346"/>
      <c r="F491" s="1346"/>
      <c r="G491" s="1346"/>
      <c r="H491" s="1346"/>
      <c r="I491" s="1346"/>
      <c r="J491" s="1346"/>
      <c r="K491" s="1346"/>
      <c r="L491" s="1346"/>
      <c r="M491" s="1346"/>
      <c r="N491" s="1346"/>
      <c r="O491" s="1346"/>
      <c r="P491" s="1347"/>
      <c r="Q491" s="1350"/>
      <c r="R491" s="1351"/>
      <c r="S491" s="1586"/>
      <c r="T491" s="1587"/>
      <c r="U491" s="1587"/>
      <c r="V491" s="1587"/>
      <c r="W491" s="1587"/>
      <c r="X491" s="1587"/>
      <c r="Y491" s="1587"/>
      <c r="Z491" s="1587"/>
      <c r="AA491" s="1587"/>
      <c r="AB491" s="1587"/>
      <c r="AC491" s="1587"/>
      <c r="AD491" s="1587"/>
      <c r="AE491" s="1587"/>
      <c r="AF491" s="1587"/>
      <c r="AG491" s="1587"/>
      <c r="AH491" s="1587"/>
      <c r="AI491" s="1587"/>
      <c r="AJ491" s="1587"/>
      <c r="AK491" s="158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2" t="s">
        <v>1755</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2" t="s">
        <v>1756</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435</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436</v>
      </c>
      <c r="AD499" s="1231"/>
      <c r="AE499" s="1231"/>
      <c r="AF499" s="1231"/>
      <c r="AG499" s="82" t="s">
        <v>437</v>
      </c>
      <c r="AH499" s="1231" t="s">
        <v>438</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439</v>
      </c>
      <c r="C500" s="1254"/>
      <c r="D500" s="1254"/>
      <c r="E500" s="1254"/>
      <c r="F500" s="1254"/>
      <c r="G500" s="1254"/>
      <c r="H500" s="1255"/>
      <c r="I500" s="72" t="s">
        <v>440</v>
      </c>
      <c r="J500" s="72"/>
      <c r="K500" s="72"/>
      <c r="L500" s="72"/>
      <c r="M500" s="72"/>
      <c r="N500" s="72"/>
      <c r="O500" s="72"/>
      <c r="P500" s="72"/>
      <c r="Q500" s="72"/>
      <c r="R500" s="72"/>
      <c r="S500" s="72"/>
      <c r="T500" s="72"/>
      <c r="U500" s="72"/>
      <c r="V500" s="72"/>
      <c r="W500" s="72"/>
      <c r="X500" s="25"/>
      <c r="Y500" s="25"/>
      <c r="AC500" s="1170" t="s">
        <v>641</v>
      </c>
      <c r="AD500" s="1137"/>
      <c r="AE500" s="1137"/>
      <c r="AF500" s="1137"/>
      <c r="AG500" s="75" t="s">
        <v>437</v>
      </c>
      <c r="AH500" s="1120">
        <v>0</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441</v>
      </c>
      <c r="J501" s="80"/>
      <c r="K501" s="80"/>
      <c r="L501" s="80"/>
      <c r="M501" s="80"/>
      <c r="N501" s="80"/>
      <c r="O501" s="80"/>
      <c r="P501" s="80"/>
      <c r="Q501" s="80"/>
      <c r="R501" s="80"/>
      <c r="S501" s="80"/>
      <c r="T501" s="80"/>
      <c r="U501" s="80"/>
      <c r="V501" s="80"/>
      <c r="W501" s="80"/>
      <c r="X501" s="80"/>
      <c r="Y501" s="80"/>
      <c r="Z501" s="80"/>
      <c r="AA501" s="80"/>
      <c r="AB501" s="80"/>
      <c r="AC501" s="1170">
        <v>9</v>
      </c>
      <c r="AD501" s="1137"/>
      <c r="AE501" s="1137"/>
      <c r="AF501" s="1137"/>
      <c r="AG501" s="65" t="s">
        <v>437</v>
      </c>
      <c r="AH501" s="1120">
        <v>2020</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442</v>
      </c>
      <c r="C502" s="1254"/>
      <c r="D502" s="1254"/>
      <c r="E502" s="1254"/>
      <c r="F502" s="1254"/>
      <c r="G502" s="1254"/>
      <c r="H502" s="1255"/>
      <c r="I502" s="72" t="s">
        <v>443</v>
      </c>
      <c r="J502" s="72"/>
      <c r="K502" s="72"/>
      <c r="L502" s="72"/>
      <c r="M502" s="72"/>
      <c r="N502" s="72"/>
      <c r="O502" s="72"/>
      <c r="P502" s="72"/>
      <c r="Q502" s="72"/>
      <c r="R502" s="72"/>
      <c r="S502" s="72"/>
      <c r="T502" s="72"/>
      <c r="U502" s="72"/>
      <c r="V502" s="72"/>
      <c r="W502" s="72"/>
      <c r="X502" s="25"/>
      <c r="Y502" s="25"/>
      <c r="AC502" s="1170" t="s">
        <v>641</v>
      </c>
      <c r="AD502" s="1137"/>
      <c r="AE502" s="1137"/>
      <c r="AF502" s="1137"/>
      <c r="AG502" s="75" t="s">
        <v>437</v>
      </c>
      <c r="AH502" s="1120"/>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444</v>
      </c>
      <c r="J503" s="25"/>
      <c r="K503" s="25"/>
      <c r="L503" s="25"/>
      <c r="M503" s="25"/>
      <c r="N503" s="25"/>
      <c r="O503" s="25"/>
      <c r="P503" s="25"/>
      <c r="Q503" s="25"/>
      <c r="R503" s="25"/>
      <c r="S503" s="25"/>
      <c r="T503" s="25"/>
      <c r="U503" s="25"/>
      <c r="V503" s="25"/>
      <c r="W503" s="25"/>
      <c r="X503" s="25"/>
      <c r="Y503" s="25"/>
      <c r="AC503" s="1170" t="s">
        <v>641</v>
      </c>
      <c r="AD503" s="1137"/>
      <c r="AE503" s="1137"/>
      <c r="AF503" s="1137"/>
      <c r="AG503" s="75" t="s">
        <v>437</v>
      </c>
      <c r="AH503" s="1120"/>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445</v>
      </c>
      <c r="J504" s="25"/>
      <c r="K504" s="25"/>
      <c r="L504" s="25"/>
      <c r="M504" s="25"/>
      <c r="N504" s="25"/>
      <c r="O504" s="25"/>
      <c r="P504" s="25"/>
      <c r="Q504" s="25"/>
      <c r="R504" s="25"/>
      <c r="S504" s="25"/>
      <c r="T504" s="25"/>
      <c r="U504" s="25"/>
      <c r="V504" s="25"/>
      <c r="W504" s="25"/>
      <c r="X504" s="25"/>
      <c r="Y504" s="25"/>
      <c r="AC504" s="1170">
        <v>7</v>
      </c>
      <c r="AD504" s="1137"/>
      <c r="AE504" s="1137"/>
      <c r="AF504" s="1137"/>
      <c r="AG504" s="75" t="s">
        <v>437</v>
      </c>
      <c r="AH504" s="1120">
        <v>2016</v>
      </c>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446</v>
      </c>
      <c r="J505" s="25"/>
      <c r="K505" s="25"/>
      <c r="L505" s="25"/>
      <c r="M505" s="25"/>
      <c r="N505" s="25"/>
      <c r="O505" s="25"/>
      <c r="P505" s="25"/>
      <c r="Q505" s="25"/>
      <c r="R505" s="25"/>
      <c r="S505" s="25"/>
      <c r="T505" s="25"/>
      <c r="U505" s="25"/>
      <c r="V505" s="25"/>
      <c r="W505" s="25"/>
      <c r="X505" s="25"/>
      <c r="Y505" s="25"/>
      <c r="AC505" s="1170">
        <v>9</v>
      </c>
      <c r="AD505" s="1137"/>
      <c r="AE505" s="1137"/>
      <c r="AF505" s="1137"/>
      <c r="AG505" s="75" t="s">
        <v>437</v>
      </c>
      <c r="AH505" s="1120">
        <v>2020</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447</v>
      </c>
      <c r="J506" s="80"/>
      <c r="K506" s="80"/>
      <c r="L506" s="80"/>
      <c r="M506" s="80"/>
      <c r="N506" s="80"/>
      <c r="O506" s="80"/>
      <c r="P506" s="80"/>
      <c r="Q506" s="80"/>
      <c r="R506" s="80"/>
      <c r="S506" s="80"/>
      <c r="T506" s="80"/>
      <c r="U506" s="80"/>
      <c r="V506" s="80"/>
      <c r="W506" s="80"/>
      <c r="X506" s="80"/>
      <c r="Y506" s="80"/>
      <c r="Z506" s="80"/>
      <c r="AA506" s="80"/>
      <c r="AB506" s="80"/>
      <c r="AC506" s="1170">
        <v>9</v>
      </c>
      <c r="AD506" s="1137"/>
      <c r="AE506" s="1137"/>
      <c r="AF506" s="1137"/>
      <c r="AG506" s="65" t="s">
        <v>437</v>
      </c>
      <c r="AH506" s="1120">
        <v>2020</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448</v>
      </c>
      <c r="C507" s="1254"/>
      <c r="D507" s="1254"/>
      <c r="E507" s="1254"/>
      <c r="F507" s="1254"/>
      <c r="G507" s="1254"/>
      <c r="H507" s="1255"/>
      <c r="I507" s="72" t="s">
        <v>449</v>
      </c>
      <c r="J507" s="72"/>
      <c r="K507" s="72"/>
      <c r="L507" s="72"/>
      <c r="M507" s="72"/>
      <c r="N507" s="72"/>
      <c r="O507" s="72"/>
      <c r="P507" s="72"/>
      <c r="Q507" s="72"/>
      <c r="R507" s="72"/>
      <c r="S507" s="72"/>
      <c r="T507" s="72"/>
      <c r="U507" s="72"/>
      <c r="V507" s="72"/>
      <c r="W507" s="72"/>
      <c r="X507" s="25"/>
      <c r="Y507" s="25"/>
      <c r="AC507" s="1170">
        <v>12</v>
      </c>
      <c r="AD507" s="1137"/>
      <c r="AE507" s="1137"/>
      <c r="AF507" s="1137"/>
      <c r="AG507" s="75" t="s">
        <v>437</v>
      </c>
      <c r="AH507" s="1120">
        <v>2019</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450</v>
      </c>
      <c r="J508" s="25"/>
      <c r="K508" s="25"/>
      <c r="L508" s="25"/>
      <c r="M508" s="25"/>
      <c r="N508" s="25"/>
      <c r="O508" s="25"/>
      <c r="P508" s="25"/>
      <c r="Q508" s="25"/>
      <c r="R508" s="25"/>
      <c r="S508" s="25"/>
      <c r="T508" s="25"/>
      <c r="U508" s="25"/>
      <c r="V508" s="25"/>
      <c r="W508" s="25"/>
      <c r="X508" s="25"/>
      <c r="Y508" s="25"/>
      <c r="AC508" s="1170">
        <v>1</v>
      </c>
      <c r="AD508" s="1137"/>
      <c r="AE508" s="1137"/>
      <c r="AF508" s="1137"/>
      <c r="AG508" s="75" t="s">
        <v>437</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451</v>
      </c>
      <c r="J509" s="80"/>
      <c r="K509" s="80"/>
      <c r="L509" s="80"/>
      <c r="M509" s="80"/>
      <c r="N509" s="80"/>
      <c r="O509" s="80"/>
      <c r="P509" s="80"/>
      <c r="Q509" s="80"/>
      <c r="R509" s="80"/>
      <c r="S509" s="80"/>
      <c r="T509" s="80"/>
      <c r="U509" s="80"/>
      <c r="V509" s="80"/>
      <c r="W509" s="80"/>
      <c r="X509" s="80"/>
      <c r="Y509" s="80"/>
      <c r="Z509" s="80"/>
      <c r="AA509" s="80"/>
      <c r="AB509" s="80"/>
      <c r="AC509" s="1170">
        <v>9</v>
      </c>
      <c r="AD509" s="1137"/>
      <c r="AE509" s="1137"/>
      <c r="AF509" s="1137"/>
      <c r="AG509" s="65" t="s">
        <v>437</v>
      </c>
      <c r="AH509" s="1120">
        <v>2020</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452</v>
      </c>
      <c r="C510" s="1254"/>
      <c r="D510" s="1254"/>
      <c r="E510" s="1254"/>
      <c r="F510" s="1254"/>
      <c r="G510" s="1254"/>
      <c r="H510" s="1255"/>
      <c r="I510" s="72" t="s">
        <v>449</v>
      </c>
      <c r="J510" s="72"/>
      <c r="K510" s="72"/>
      <c r="L510" s="72"/>
      <c r="M510" s="72"/>
      <c r="N510" s="72"/>
      <c r="O510" s="72"/>
      <c r="P510" s="72"/>
      <c r="Q510" s="72"/>
      <c r="R510" s="72"/>
      <c r="S510" s="72"/>
      <c r="T510" s="72"/>
      <c r="U510" s="72"/>
      <c r="V510" s="72"/>
      <c r="W510" s="72"/>
      <c r="X510" s="72"/>
      <c r="Y510" s="72"/>
      <c r="Z510" s="72"/>
      <c r="AA510" s="72"/>
      <c r="AB510" s="72"/>
      <c r="AC510" s="1261">
        <v>12</v>
      </c>
      <c r="AD510" s="1262"/>
      <c r="AE510" s="1262"/>
      <c r="AF510" s="1262"/>
      <c r="AG510" s="204" t="s">
        <v>437</v>
      </c>
      <c r="AH510" s="1120">
        <v>2019</v>
      </c>
      <c r="AI510" s="1120"/>
      <c r="AJ510" s="1120"/>
      <c r="AK510" s="11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450</v>
      </c>
      <c r="J511" s="25"/>
      <c r="K511" s="25"/>
      <c r="L511" s="25"/>
      <c r="M511" s="25"/>
      <c r="N511" s="25"/>
      <c r="O511" s="25"/>
      <c r="P511" s="25"/>
      <c r="Q511" s="25"/>
      <c r="R511" s="25"/>
      <c r="S511" s="25"/>
      <c r="T511" s="25"/>
      <c r="U511" s="25"/>
      <c r="V511" s="25"/>
      <c r="W511" s="25"/>
      <c r="X511" s="25"/>
      <c r="Y511" s="25"/>
      <c r="Z511" s="25"/>
      <c r="AA511" s="25"/>
      <c r="AB511" s="25"/>
      <c r="AC511" s="1170">
        <v>1</v>
      </c>
      <c r="AD511" s="1137"/>
      <c r="AE511" s="1137"/>
      <c r="AF511" s="1137"/>
      <c r="AG511" s="75" t="s">
        <v>437</v>
      </c>
      <c r="AH511" s="1120">
        <v>2020</v>
      </c>
      <c r="AI511" s="1120"/>
      <c r="AJ511" s="1120"/>
      <c r="AK511" s="11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1"/>
      <c r="C512" s="1302"/>
      <c r="D512" s="1302"/>
      <c r="E512" s="1302"/>
      <c r="F512" s="1302"/>
      <c r="G512" s="1302"/>
      <c r="H512" s="1303"/>
      <c r="I512" s="80" t="s">
        <v>451</v>
      </c>
      <c r="J512" s="80"/>
      <c r="K512" s="80"/>
      <c r="L512" s="80"/>
      <c r="M512" s="80"/>
      <c r="N512" s="80"/>
      <c r="O512" s="80"/>
      <c r="P512" s="80"/>
      <c r="Q512" s="80"/>
      <c r="R512" s="80"/>
      <c r="S512" s="80"/>
      <c r="T512" s="80"/>
      <c r="U512" s="80"/>
      <c r="V512" s="80"/>
      <c r="W512" s="80"/>
      <c r="X512" s="80"/>
      <c r="Y512" s="80"/>
      <c r="Z512" s="80"/>
      <c r="AA512" s="80"/>
      <c r="AB512" s="80"/>
      <c r="AC512" s="1170">
        <v>9</v>
      </c>
      <c r="AD512" s="1137"/>
      <c r="AE512" s="1137"/>
      <c r="AF512" s="1137"/>
      <c r="AG512" s="65" t="s">
        <v>437</v>
      </c>
      <c r="AH512" s="1120">
        <v>2023</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453</v>
      </c>
      <c r="C513" s="1254"/>
      <c r="D513" s="1254"/>
      <c r="E513" s="1254"/>
      <c r="F513" s="1254"/>
      <c r="G513" s="1254"/>
      <c r="H513" s="1255"/>
      <c r="I513" s="71" t="s">
        <v>454</v>
      </c>
      <c r="J513" s="72"/>
      <c r="K513" s="72"/>
      <c r="L513" s="72"/>
      <c r="M513" s="72"/>
      <c r="N513" s="72"/>
      <c r="O513" s="1088" t="s">
        <v>1757</v>
      </c>
      <c r="P513" s="1088"/>
      <c r="Q513" s="1088"/>
      <c r="R513" s="1088"/>
      <c r="S513" s="1088"/>
      <c r="T513" s="1088"/>
      <c r="U513" s="1088"/>
      <c r="V513" s="1088"/>
      <c r="W513" s="1088"/>
      <c r="X513" s="1088"/>
      <c r="Y513" s="1088"/>
      <c r="Z513" s="1088"/>
      <c r="AA513" s="1088"/>
      <c r="AB513" s="94"/>
      <c r="AC513" s="1261"/>
      <c r="AD513" s="1262"/>
      <c r="AE513" s="1262"/>
      <c r="AF513" s="1262"/>
      <c r="AG513" s="204" t="s">
        <v>437</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455</v>
      </c>
      <c r="J514" s="25"/>
      <c r="K514" s="25"/>
      <c r="L514" s="25"/>
      <c r="M514" s="25"/>
      <c r="N514" s="25"/>
      <c r="O514" s="25"/>
      <c r="P514" s="25"/>
      <c r="Q514" s="25"/>
      <c r="R514" s="25"/>
      <c r="S514" s="25"/>
      <c r="T514" s="25"/>
      <c r="U514" s="25"/>
      <c r="V514" s="25"/>
      <c r="W514" s="25"/>
      <c r="X514" s="25"/>
      <c r="Y514" s="25"/>
      <c r="Z514" s="25"/>
      <c r="AA514" s="25"/>
      <c r="AB514" s="101"/>
      <c r="AC514" s="1170">
        <v>11</v>
      </c>
      <c r="AD514" s="1137"/>
      <c r="AE514" s="1137"/>
      <c r="AF514" s="1137"/>
      <c r="AG514" s="75" t="s">
        <v>437</v>
      </c>
      <c r="AH514" s="1120">
        <v>2019</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456</v>
      </c>
      <c r="J515" s="80"/>
      <c r="K515" s="80"/>
      <c r="L515" s="80"/>
      <c r="M515" s="80"/>
      <c r="N515" s="80"/>
      <c r="O515" s="80"/>
      <c r="P515" s="80"/>
      <c r="Q515" s="80"/>
      <c r="R515" s="80"/>
      <c r="S515" s="80"/>
      <c r="T515" s="80"/>
      <c r="U515" s="80"/>
      <c r="V515" s="80"/>
      <c r="W515" s="80"/>
      <c r="X515" s="80"/>
      <c r="Y515" s="80"/>
      <c r="Z515" s="80"/>
      <c r="AA515" s="80"/>
      <c r="AB515" s="81"/>
      <c r="AC515" s="1170">
        <v>9</v>
      </c>
      <c r="AD515" s="1137"/>
      <c r="AE515" s="1137"/>
      <c r="AF515" s="1137"/>
      <c r="AG515" s="65" t="s">
        <v>437</v>
      </c>
      <c r="AH515" s="1120">
        <v>2020</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457</v>
      </c>
      <c r="J516" s="72"/>
      <c r="K516" s="72"/>
      <c r="L516" s="72"/>
      <c r="M516" s="72"/>
      <c r="N516" s="72"/>
      <c r="O516" s="1089" t="s">
        <v>1758</v>
      </c>
      <c r="P516" s="1089"/>
      <c r="Q516" s="1089"/>
      <c r="R516" s="1089"/>
      <c r="S516" s="1089"/>
      <c r="T516" s="1089"/>
      <c r="U516" s="1089"/>
      <c r="V516" s="1089"/>
      <c r="W516" s="1089"/>
      <c r="X516" s="1089"/>
      <c r="Y516" s="1089"/>
      <c r="Z516" s="1089"/>
      <c r="AA516" s="1089"/>
      <c r="AC516" s="1170"/>
      <c r="AD516" s="1137"/>
      <c r="AE516" s="1137"/>
      <c r="AF516" s="1137"/>
      <c r="AG516" s="75" t="s">
        <v>437</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455</v>
      </c>
      <c r="J517" s="25"/>
      <c r="K517" s="25"/>
      <c r="L517" s="25"/>
      <c r="M517" s="25"/>
      <c r="N517" s="25"/>
      <c r="O517" s="25"/>
      <c r="P517" s="25"/>
      <c r="Q517" s="25"/>
      <c r="R517" s="25"/>
      <c r="S517" s="25"/>
      <c r="T517" s="25"/>
      <c r="U517" s="25"/>
      <c r="V517" s="25"/>
      <c r="W517" s="25"/>
      <c r="X517" s="25"/>
      <c r="Y517" s="25"/>
      <c r="AC517" s="1170">
        <v>12</v>
      </c>
      <c r="AD517" s="1137"/>
      <c r="AE517" s="1137"/>
      <c r="AF517" s="1137"/>
      <c r="AG517" s="75" t="s">
        <v>437</v>
      </c>
      <c r="AH517" s="1120">
        <v>2019</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456</v>
      </c>
      <c r="J518" s="80"/>
      <c r="K518" s="80"/>
      <c r="L518" s="80"/>
      <c r="M518" s="80"/>
      <c r="N518" s="80"/>
      <c r="O518" s="80"/>
      <c r="P518" s="80"/>
      <c r="Q518" s="80"/>
      <c r="R518" s="80"/>
      <c r="S518" s="80"/>
      <c r="T518" s="80"/>
      <c r="U518" s="80"/>
      <c r="V518" s="80"/>
      <c r="W518" s="80"/>
      <c r="X518" s="80"/>
      <c r="Y518" s="80"/>
      <c r="Z518" s="80"/>
      <c r="AA518" s="80"/>
      <c r="AB518" s="80"/>
      <c r="AC518" s="1170">
        <v>6</v>
      </c>
      <c r="AD518" s="1137"/>
      <c r="AE518" s="1137"/>
      <c r="AF518" s="1137"/>
      <c r="AG518" s="65" t="s">
        <v>437</v>
      </c>
      <c r="AH518" s="1120">
        <v>2023</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457</v>
      </c>
      <c r="J519" s="72"/>
      <c r="K519" s="72"/>
      <c r="L519" s="72"/>
      <c r="M519" s="72"/>
      <c r="N519" s="72"/>
      <c r="O519" s="1089" t="s">
        <v>356</v>
      </c>
      <c r="P519" s="1089"/>
      <c r="Q519" s="1089"/>
      <c r="R519" s="1089"/>
      <c r="S519" s="1089"/>
      <c r="T519" s="1089"/>
      <c r="U519" s="1089"/>
      <c r="V519" s="1089"/>
      <c r="W519" s="1089"/>
      <c r="X519" s="1089"/>
      <c r="Y519" s="1089"/>
      <c r="Z519" s="1089"/>
      <c r="AA519" s="1089"/>
      <c r="AC519" s="1170" t="s">
        <v>641</v>
      </c>
      <c r="AD519" s="1137"/>
      <c r="AE519" s="1137"/>
      <c r="AF519" s="1137"/>
      <c r="AG519" s="75" t="s">
        <v>437</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455</v>
      </c>
      <c r="J520" s="25"/>
      <c r="K520" s="25"/>
      <c r="L520" s="25"/>
      <c r="M520" s="25"/>
      <c r="N520" s="25"/>
      <c r="O520" s="25"/>
      <c r="P520" s="25"/>
      <c r="Q520" s="25"/>
      <c r="R520" s="25"/>
      <c r="S520" s="25"/>
      <c r="T520" s="25"/>
      <c r="U520" s="25"/>
      <c r="V520" s="25"/>
      <c r="W520" s="25"/>
      <c r="X520" s="25"/>
      <c r="Y520" s="25"/>
      <c r="AC520" s="1170" t="s">
        <v>641</v>
      </c>
      <c r="AD520" s="1137"/>
      <c r="AE520" s="1137"/>
      <c r="AF520" s="1137"/>
      <c r="AG520" s="75" t="s">
        <v>437</v>
      </c>
      <c r="AH520" s="1120"/>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456</v>
      </c>
      <c r="J521" s="80"/>
      <c r="K521" s="80"/>
      <c r="L521" s="80"/>
      <c r="M521" s="80"/>
      <c r="N521" s="80"/>
      <c r="O521" s="80"/>
      <c r="P521" s="80"/>
      <c r="Q521" s="80"/>
      <c r="R521" s="80"/>
      <c r="S521" s="80"/>
      <c r="T521" s="80"/>
      <c r="U521" s="80"/>
      <c r="V521" s="80"/>
      <c r="W521" s="80"/>
      <c r="X521" s="80"/>
      <c r="Y521" s="80"/>
      <c r="Z521" s="80"/>
      <c r="AA521" s="80"/>
      <c r="AB521" s="80"/>
      <c r="AC521" s="1170" t="s">
        <v>641</v>
      </c>
      <c r="AD521" s="1137"/>
      <c r="AE521" s="1137"/>
      <c r="AF521" s="1137"/>
      <c r="AG521" s="65" t="s">
        <v>437</v>
      </c>
      <c r="AH521" s="1120"/>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457</v>
      </c>
      <c r="J522" s="72"/>
      <c r="K522" s="72"/>
      <c r="L522" s="72"/>
      <c r="M522" s="72"/>
      <c r="N522" s="72"/>
      <c r="O522" s="1089" t="s">
        <v>356</v>
      </c>
      <c r="P522" s="1089"/>
      <c r="Q522" s="1089"/>
      <c r="R522" s="1089"/>
      <c r="S522" s="1089"/>
      <c r="T522" s="1089"/>
      <c r="U522" s="1089"/>
      <c r="V522" s="1089"/>
      <c r="W522" s="1089"/>
      <c r="X522" s="1089"/>
      <c r="Y522" s="1089"/>
      <c r="Z522" s="1089"/>
      <c r="AA522" s="1089"/>
      <c r="AC522" s="1170" t="s">
        <v>641</v>
      </c>
      <c r="AD522" s="1137"/>
      <c r="AE522" s="1137"/>
      <c r="AF522" s="1137"/>
      <c r="AG522" s="75" t="s">
        <v>437</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455</v>
      </c>
      <c r="J523" s="25"/>
      <c r="K523" s="25"/>
      <c r="L523" s="25"/>
      <c r="M523" s="25"/>
      <c r="N523" s="25"/>
      <c r="O523" s="25"/>
      <c r="P523" s="25"/>
      <c r="Q523" s="25"/>
      <c r="R523" s="25"/>
      <c r="S523" s="25"/>
      <c r="T523" s="25"/>
      <c r="U523" s="25"/>
      <c r="V523" s="25"/>
      <c r="W523" s="25"/>
      <c r="X523" s="25"/>
      <c r="Y523" s="25"/>
      <c r="AC523" s="1170" t="s">
        <v>641</v>
      </c>
      <c r="AD523" s="1137"/>
      <c r="AE523" s="1137"/>
      <c r="AF523" s="1137"/>
      <c r="AG523" s="75" t="s">
        <v>437</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456</v>
      </c>
      <c r="J524" s="80"/>
      <c r="K524" s="80"/>
      <c r="L524" s="80"/>
      <c r="M524" s="80"/>
      <c r="N524" s="80"/>
      <c r="O524" s="80"/>
      <c r="P524" s="80"/>
      <c r="Q524" s="80"/>
      <c r="R524" s="80"/>
      <c r="S524" s="80"/>
      <c r="T524" s="80"/>
      <c r="U524" s="80"/>
      <c r="V524" s="80"/>
      <c r="W524" s="80"/>
      <c r="X524" s="80"/>
      <c r="Y524" s="80"/>
      <c r="Z524" s="80"/>
      <c r="AA524" s="80"/>
      <c r="AB524" s="80"/>
      <c r="AC524" s="1170" t="s">
        <v>641</v>
      </c>
      <c r="AD524" s="1137"/>
      <c r="AE524" s="1137"/>
      <c r="AF524" s="1137"/>
      <c r="AG524" s="65" t="s">
        <v>437</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457</v>
      </c>
      <c r="J525" s="72"/>
      <c r="K525" s="72"/>
      <c r="L525" s="72"/>
      <c r="M525" s="72"/>
      <c r="N525" s="72"/>
      <c r="O525" s="1089" t="s">
        <v>356</v>
      </c>
      <c r="P525" s="1089"/>
      <c r="Q525" s="1089"/>
      <c r="R525" s="1089"/>
      <c r="S525" s="1089"/>
      <c r="T525" s="1089"/>
      <c r="U525" s="1089"/>
      <c r="V525" s="1089"/>
      <c r="W525" s="1089"/>
      <c r="X525" s="1089"/>
      <c r="Y525" s="1089"/>
      <c r="Z525" s="1089"/>
      <c r="AA525" s="1089"/>
      <c r="AC525" s="1170" t="s">
        <v>641</v>
      </c>
      <c r="AD525" s="1137"/>
      <c r="AE525" s="1137"/>
      <c r="AF525" s="1137"/>
      <c r="AG525" s="75" t="s">
        <v>437</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455</v>
      </c>
      <c r="J526" s="25"/>
      <c r="K526" s="25"/>
      <c r="L526" s="25"/>
      <c r="M526" s="25"/>
      <c r="N526" s="25"/>
      <c r="O526" s="25"/>
      <c r="P526" s="25"/>
      <c r="Q526" s="25"/>
      <c r="R526" s="25"/>
      <c r="S526" s="25"/>
      <c r="T526" s="25"/>
      <c r="U526" s="25"/>
      <c r="V526" s="25"/>
      <c r="W526" s="25"/>
      <c r="X526" s="25"/>
      <c r="Y526" s="25"/>
      <c r="AC526" s="1170" t="s">
        <v>641</v>
      </c>
      <c r="AD526" s="1137"/>
      <c r="AE526" s="1137"/>
      <c r="AF526" s="1137"/>
      <c r="AG526" s="65" t="s">
        <v>437</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456</v>
      </c>
      <c r="J527" s="80"/>
      <c r="K527" s="80"/>
      <c r="L527" s="80"/>
      <c r="M527" s="80"/>
      <c r="N527" s="80"/>
      <c r="O527" s="80"/>
      <c r="P527" s="80"/>
      <c r="Q527" s="80"/>
      <c r="R527" s="80"/>
      <c r="S527" s="80"/>
      <c r="T527" s="80"/>
      <c r="U527" s="80"/>
      <c r="V527" s="80"/>
      <c r="W527" s="80"/>
      <c r="X527" s="80"/>
      <c r="Y527" s="80"/>
      <c r="Z527" s="80"/>
      <c r="AA527" s="80"/>
      <c r="AB527" s="80"/>
      <c r="AC527" s="1170" t="s">
        <v>641</v>
      </c>
      <c r="AD527" s="1137"/>
      <c r="AE527" s="1137"/>
      <c r="AF527" s="1137"/>
      <c r="AG527" s="75" t="s">
        <v>437</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457</v>
      </c>
      <c r="J528" s="72"/>
      <c r="K528" s="72"/>
      <c r="L528" s="72"/>
      <c r="M528" s="72"/>
      <c r="N528" s="72"/>
      <c r="O528" s="1089" t="s">
        <v>356</v>
      </c>
      <c r="P528" s="1089"/>
      <c r="Q528" s="1089"/>
      <c r="R528" s="1089"/>
      <c r="S528" s="1089"/>
      <c r="T528" s="1089"/>
      <c r="U528" s="1089"/>
      <c r="V528" s="1089"/>
      <c r="W528" s="1089"/>
      <c r="X528" s="1089"/>
      <c r="Y528" s="1089"/>
      <c r="Z528" s="1089"/>
      <c r="AA528" s="1089"/>
      <c r="AC528" s="1170" t="s">
        <v>641</v>
      </c>
      <c r="AD528" s="1137"/>
      <c r="AE528" s="1137"/>
      <c r="AF528" s="1137"/>
      <c r="AG528" s="65" t="s">
        <v>437</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455</v>
      </c>
      <c r="J529" s="25"/>
      <c r="K529" s="25"/>
      <c r="L529" s="25"/>
      <c r="M529" s="25"/>
      <c r="N529" s="25"/>
      <c r="O529" s="25"/>
      <c r="P529" s="25"/>
      <c r="Q529" s="25"/>
      <c r="R529" s="25"/>
      <c r="S529" s="25"/>
      <c r="T529" s="25"/>
      <c r="U529" s="25"/>
      <c r="V529" s="25"/>
      <c r="W529" s="25"/>
      <c r="X529" s="25"/>
      <c r="Y529" s="25"/>
      <c r="AC529" s="1170" t="s">
        <v>641</v>
      </c>
      <c r="AD529" s="1137"/>
      <c r="AE529" s="1137"/>
      <c r="AF529" s="1137"/>
      <c r="AG529" s="75" t="s">
        <v>437</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456</v>
      </c>
      <c r="J530" s="80"/>
      <c r="K530" s="80"/>
      <c r="L530" s="80"/>
      <c r="M530" s="80"/>
      <c r="N530" s="80"/>
      <c r="O530" s="80"/>
      <c r="P530" s="80"/>
      <c r="Q530" s="80"/>
      <c r="R530" s="80"/>
      <c r="S530" s="80"/>
      <c r="T530" s="80"/>
      <c r="U530" s="80"/>
      <c r="V530" s="80"/>
      <c r="W530" s="80"/>
      <c r="X530" s="80"/>
      <c r="Y530" s="80"/>
      <c r="Z530" s="80"/>
      <c r="AA530" s="80"/>
      <c r="AB530" s="80"/>
      <c r="AC530" s="1170" t="s">
        <v>641</v>
      </c>
      <c r="AD530" s="1137"/>
      <c r="AE530" s="1137"/>
      <c r="AF530" s="1137"/>
      <c r="AG530" s="65" t="s">
        <v>437</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0" t="s">
        <v>641</v>
      </c>
      <c r="AD531" s="1137"/>
      <c r="AE531" s="1137"/>
      <c r="AF531" s="1137"/>
      <c r="AG531" s="65" t="s">
        <v>437</v>
      </c>
      <c r="AH531" s="1120"/>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0">
        <v>9</v>
      </c>
      <c r="AD532" s="1137"/>
      <c r="AE532" s="1137"/>
      <c r="AF532" s="1137"/>
      <c r="AG532" s="75" t="s">
        <v>437</v>
      </c>
      <c r="AH532" s="1120">
        <v>2020</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0">
        <v>9</v>
      </c>
      <c r="AD533" s="1137"/>
      <c r="AE533" s="1137"/>
      <c r="AF533" s="1137"/>
      <c r="AG533" s="65" t="s">
        <v>437</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0">
        <v>9</v>
      </c>
      <c r="AD534" s="1137"/>
      <c r="AE534" s="1137"/>
      <c r="AF534" s="1137"/>
      <c r="AG534" s="65" t="s">
        <v>437</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1"/>
      <c r="C535" s="1302"/>
      <c r="D535" s="1302"/>
      <c r="E535" s="1302"/>
      <c r="F535" s="1302"/>
      <c r="G535" s="1302"/>
      <c r="H535" s="1303"/>
      <c r="I535" s="80" t="s">
        <v>495</v>
      </c>
      <c r="J535" s="80"/>
      <c r="K535" s="80"/>
      <c r="L535" s="80"/>
      <c r="M535" s="80"/>
      <c r="N535" s="80"/>
      <c r="O535" s="80"/>
      <c r="P535" s="80"/>
      <c r="Q535" s="80"/>
      <c r="R535" s="80"/>
      <c r="S535" s="80"/>
      <c r="T535" s="80"/>
      <c r="U535" s="80"/>
      <c r="V535" s="80"/>
      <c r="W535" s="80"/>
      <c r="X535" s="80"/>
      <c r="Y535" s="80"/>
      <c r="Z535" s="80"/>
      <c r="AA535" s="80"/>
      <c r="AB535" s="80"/>
      <c r="AC535" s="1170">
        <v>3</v>
      </c>
      <c r="AD535" s="1137"/>
      <c r="AE535" s="1137"/>
      <c r="AF535" s="1137"/>
      <c r="AG535" s="65" t="s">
        <v>437</v>
      </c>
      <c r="AH535" s="1120">
        <v>2023</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345</v>
      </c>
      <c r="Q544" s="1129"/>
      <c r="R544" s="1129"/>
      <c r="S544" s="1129"/>
      <c r="T544" s="1130"/>
      <c r="U544" s="1128" t="s">
        <v>498</v>
      </c>
      <c r="V544" s="1129"/>
      <c r="W544" s="1129"/>
      <c r="X544" s="1129"/>
      <c r="Y544" s="1130"/>
      <c r="Z544" s="1304" t="s">
        <v>1423</v>
      </c>
      <c r="AA544" s="1305"/>
      <c r="AB544" s="1305"/>
      <c r="AC544" s="1305"/>
      <c r="AD544" s="1306"/>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7" t="s">
        <v>1759</v>
      </c>
      <c r="D545" s="1153"/>
      <c r="E545" s="1153"/>
      <c r="F545" s="1153"/>
      <c r="G545" s="1153"/>
      <c r="H545" s="1153"/>
      <c r="I545" s="1153"/>
      <c r="J545" s="1153"/>
      <c r="K545" s="1153"/>
      <c r="L545" s="1153"/>
      <c r="M545" s="1153"/>
      <c r="N545" s="1153"/>
      <c r="O545" s="1178"/>
      <c r="P545" s="1119">
        <v>30</v>
      </c>
      <c r="Q545" s="1120"/>
      <c r="R545" s="1120"/>
      <c r="S545" s="1120"/>
      <c r="T545" s="1121"/>
      <c r="U545" s="1173">
        <v>4.4999999999999998E-2</v>
      </c>
      <c r="V545" s="1174"/>
      <c r="W545" s="1174"/>
      <c r="X545" s="1174"/>
      <c r="Y545" s="1175"/>
      <c r="Z545" s="1131" t="s">
        <v>1760</v>
      </c>
      <c r="AA545" s="1131"/>
      <c r="AB545" s="1131"/>
      <c r="AC545" s="1131"/>
      <c r="AD545" s="1132"/>
      <c r="AE545" s="1202">
        <v>38000000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7" t="s">
        <v>1761</v>
      </c>
      <c r="D546" s="1153"/>
      <c r="E546" s="1153"/>
      <c r="F546" s="1153"/>
      <c r="G546" s="1153"/>
      <c r="H546" s="1153"/>
      <c r="I546" s="1153"/>
      <c r="J546" s="1153"/>
      <c r="K546" s="1153"/>
      <c r="L546" s="1153"/>
      <c r="M546" s="1153"/>
      <c r="N546" s="1153"/>
      <c r="O546" s="1178"/>
      <c r="P546" s="1119">
        <v>30</v>
      </c>
      <c r="Q546" s="1120"/>
      <c r="R546" s="1120"/>
      <c r="S546" s="1120"/>
      <c r="T546" s="1121"/>
      <c r="U546" s="1173">
        <v>4.4999999999999998E-2</v>
      </c>
      <c r="V546" s="1174"/>
      <c r="W546" s="1174"/>
      <c r="X546" s="1174"/>
      <c r="Y546" s="1175"/>
      <c r="Z546" s="1131" t="s">
        <v>1760</v>
      </c>
      <c r="AA546" s="1131"/>
      <c r="AB546" s="1131"/>
      <c r="AC546" s="1131"/>
      <c r="AD546" s="1132"/>
      <c r="AE546" s="1202">
        <v>22000000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7" t="s">
        <v>1762</v>
      </c>
      <c r="D547" s="1153"/>
      <c r="E547" s="1153"/>
      <c r="F547" s="1153"/>
      <c r="G547" s="1153"/>
      <c r="H547" s="1153"/>
      <c r="I547" s="1153"/>
      <c r="J547" s="1153"/>
      <c r="K547" s="1153"/>
      <c r="L547" s="1153"/>
      <c r="M547" s="1153"/>
      <c r="N547" s="1153"/>
      <c r="O547" s="1178"/>
      <c r="P547" s="1119">
        <v>30</v>
      </c>
      <c r="Q547" s="1120"/>
      <c r="R547" s="1120"/>
      <c r="S547" s="1120"/>
      <c r="T547" s="1121"/>
      <c r="U547" s="1173">
        <v>0.05</v>
      </c>
      <c r="V547" s="1174"/>
      <c r="W547" s="1174"/>
      <c r="X547" s="1174"/>
      <c r="Y547" s="1175"/>
      <c r="Z547" s="1131" t="s">
        <v>1760</v>
      </c>
      <c r="AA547" s="1131"/>
      <c r="AB547" s="1131"/>
      <c r="AC547" s="1131"/>
      <c r="AD547" s="1132"/>
      <c r="AE547" s="1202">
        <v>10000000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77" t="s">
        <v>1763</v>
      </c>
      <c r="D548" s="1153"/>
      <c r="E548" s="1153"/>
      <c r="F548" s="1153"/>
      <c r="G548" s="1153"/>
      <c r="H548" s="1153"/>
      <c r="I548" s="1153"/>
      <c r="J548" s="1153"/>
      <c r="K548" s="1153"/>
      <c r="L548" s="1153"/>
      <c r="M548" s="1153"/>
      <c r="N548" s="1153"/>
      <c r="O548" s="1178"/>
      <c r="P548" s="1119">
        <v>30</v>
      </c>
      <c r="Q548" s="1120"/>
      <c r="R548" s="1120"/>
      <c r="S548" s="1120"/>
      <c r="T548" s="1121"/>
      <c r="U548" s="1173">
        <v>9.9999999999999995E-8</v>
      </c>
      <c r="V548" s="1174"/>
      <c r="W548" s="1174"/>
      <c r="X548" s="1174"/>
      <c r="Y548" s="1175"/>
      <c r="Z548" s="1131" t="s">
        <v>1760</v>
      </c>
      <c r="AA548" s="1131"/>
      <c r="AB548" s="1131"/>
      <c r="AC548" s="1131"/>
      <c r="AD548" s="1132"/>
      <c r="AE548" s="1202">
        <v>8000000</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77" t="s">
        <v>1764</v>
      </c>
      <c r="D549" s="1153"/>
      <c r="E549" s="1153"/>
      <c r="F549" s="1153"/>
      <c r="G549" s="1153"/>
      <c r="H549" s="1153"/>
      <c r="I549" s="1153"/>
      <c r="J549" s="1153"/>
      <c r="K549" s="1153"/>
      <c r="L549" s="1153"/>
      <c r="M549" s="1153"/>
      <c r="N549" s="1153"/>
      <c r="O549" s="1178"/>
      <c r="P549" s="1119" t="s">
        <v>641</v>
      </c>
      <c r="Q549" s="1120"/>
      <c r="R549" s="1120"/>
      <c r="S549" s="1120"/>
      <c r="T549" s="1121"/>
      <c r="U549" s="1173" t="s">
        <v>641</v>
      </c>
      <c r="V549" s="1174"/>
      <c r="W549" s="1174"/>
      <c r="X549" s="1174"/>
      <c r="Y549" s="1175"/>
      <c r="Z549" s="1131" t="s">
        <v>641</v>
      </c>
      <c r="AA549" s="1131"/>
      <c r="AB549" s="1131"/>
      <c r="AC549" s="1131"/>
      <c r="AD549" s="1132"/>
      <c r="AE549" s="1202">
        <v>943645</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77" t="s">
        <v>1765</v>
      </c>
      <c r="D550" s="1153"/>
      <c r="E550" s="1153"/>
      <c r="F550" s="1153"/>
      <c r="G550" s="1153"/>
      <c r="H550" s="1153"/>
      <c r="I550" s="1153"/>
      <c r="J550" s="1153"/>
      <c r="K550" s="1153"/>
      <c r="L550" s="1153"/>
      <c r="M550" s="1153"/>
      <c r="N550" s="1153"/>
      <c r="O550" s="1178"/>
      <c r="P550" s="1119" t="s">
        <v>641</v>
      </c>
      <c r="Q550" s="1120"/>
      <c r="R550" s="1120"/>
      <c r="S550" s="1120"/>
      <c r="T550" s="1121"/>
      <c r="U550" s="1173" t="s">
        <v>641</v>
      </c>
      <c r="V550" s="1174"/>
      <c r="W550" s="1174"/>
      <c r="X550" s="1174"/>
      <c r="Y550" s="1175"/>
      <c r="Z550" s="1131" t="s">
        <v>641</v>
      </c>
      <c r="AA550" s="1131"/>
      <c r="AB550" s="1131"/>
      <c r="AC550" s="1131"/>
      <c r="AD550" s="1132"/>
      <c r="AE550" s="1202">
        <v>3661441</v>
      </c>
      <c r="AF550" s="1203"/>
      <c r="AG550" s="1203"/>
      <c r="AH550" s="1203"/>
      <c r="AI550" s="1203"/>
      <c r="AJ550" s="1203"/>
      <c r="AK550" s="1204"/>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3"/>
      <c r="D551" s="1153"/>
      <c r="E551" s="1153"/>
      <c r="F551" s="1153"/>
      <c r="G551" s="1153"/>
      <c r="H551" s="1153"/>
      <c r="I551" s="1153"/>
      <c r="J551" s="1153"/>
      <c r="K551" s="1153"/>
      <c r="L551" s="1153"/>
      <c r="M551" s="1153"/>
      <c r="N551" s="1153"/>
      <c r="O551" s="1178"/>
      <c r="P551" s="1119"/>
      <c r="Q551" s="1120"/>
      <c r="R551" s="1120"/>
      <c r="S551" s="1120"/>
      <c r="T551" s="1121"/>
      <c r="U551" s="1173"/>
      <c r="V551" s="1174"/>
      <c r="W551" s="1174"/>
      <c r="X551" s="1174"/>
      <c r="Y551" s="1175"/>
      <c r="Z551" s="1131"/>
      <c r="AA551" s="1131"/>
      <c r="AB551" s="1131"/>
      <c r="AC551" s="1131"/>
      <c r="AD551" s="1132"/>
      <c r="AE551" s="1202"/>
      <c r="AF551" s="1203"/>
      <c r="AG551" s="1203"/>
      <c r="AH551" s="1203"/>
      <c r="AI551" s="1203"/>
      <c r="AJ551" s="1203"/>
      <c r="AK551" s="1204"/>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3"/>
      <c r="D552" s="1153"/>
      <c r="E552" s="1153"/>
      <c r="F552" s="1153"/>
      <c r="G552" s="1153"/>
      <c r="H552" s="1153"/>
      <c r="I552" s="1153"/>
      <c r="J552" s="1153"/>
      <c r="K552" s="1153"/>
      <c r="L552" s="1153"/>
      <c r="M552" s="1153"/>
      <c r="N552" s="1153"/>
      <c r="O552" s="1178"/>
      <c r="P552" s="1119"/>
      <c r="Q552" s="1120"/>
      <c r="R552" s="1120"/>
      <c r="S552" s="1120"/>
      <c r="T552" s="1121"/>
      <c r="U552" s="1173"/>
      <c r="V552" s="1174"/>
      <c r="W552" s="1174"/>
      <c r="X552" s="1174"/>
      <c r="Y552" s="1175"/>
      <c r="Z552" s="1131"/>
      <c r="AA552" s="1131"/>
      <c r="AB552" s="1131"/>
      <c r="AC552" s="1131"/>
      <c r="AD552" s="1132"/>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3"/>
      <c r="D553" s="1153"/>
      <c r="E553" s="1153"/>
      <c r="F553" s="1153"/>
      <c r="G553" s="1153"/>
      <c r="H553" s="1153"/>
      <c r="I553" s="1153"/>
      <c r="J553" s="1153"/>
      <c r="K553" s="1153"/>
      <c r="L553" s="1153"/>
      <c r="M553" s="1153"/>
      <c r="N553" s="1153"/>
      <c r="O553" s="1178"/>
      <c r="P553" s="1119"/>
      <c r="Q553" s="1120"/>
      <c r="R553" s="1120"/>
      <c r="S553" s="1120"/>
      <c r="T553" s="1121"/>
      <c r="U553" s="1173"/>
      <c r="V553" s="1174"/>
      <c r="W553" s="1174"/>
      <c r="X553" s="1174"/>
      <c r="Y553" s="1175"/>
      <c r="Z553" s="1131"/>
      <c r="AA553" s="1131"/>
      <c r="AB553" s="1131"/>
      <c r="AC553" s="1131"/>
      <c r="AD553" s="1132"/>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3"/>
      <c r="D554" s="1153"/>
      <c r="E554" s="1153"/>
      <c r="F554" s="1153"/>
      <c r="G554" s="1153"/>
      <c r="H554" s="1153"/>
      <c r="I554" s="1153"/>
      <c r="J554" s="1153"/>
      <c r="K554" s="1153"/>
      <c r="L554" s="1153"/>
      <c r="M554" s="1153"/>
      <c r="N554" s="1153"/>
      <c r="O554" s="1178"/>
      <c r="P554" s="1119"/>
      <c r="Q554" s="1120"/>
      <c r="R554" s="1120"/>
      <c r="S554" s="1120"/>
      <c r="T554" s="1121"/>
      <c r="U554" s="1173"/>
      <c r="V554" s="1174"/>
      <c r="W554" s="1174"/>
      <c r="X554" s="1174"/>
      <c r="Y554" s="1175"/>
      <c r="Z554" s="1131"/>
      <c r="AA554" s="1131"/>
      <c r="AB554" s="1131"/>
      <c r="AC554" s="1131"/>
      <c r="AD554" s="1132"/>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3"/>
      <c r="D555" s="1153"/>
      <c r="E555" s="1153"/>
      <c r="F555" s="1153"/>
      <c r="G555" s="1153"/>
      <c r="H555" s="1153"/>
      <c r="I555" s="1153"/>
      <c r="J555" s="1153"/>
      <c r="K555" s="1153"/>
      <c r="L555" s="1153"/>
      <c r="M555" s="1153"/>
      <c r="N555" s="1153"/>
      <c r="O555" s="1178"/>
      <c r="P555" s="1119"/>
      <c r="Q555" s="1120"/>
      <c r="R555" s="1120"/>
      <c r="S555" s="1120"/>
      <c r="T555" s="1121"/>
      <c r="U555" s="1173"/>
      <c r="V555" s="1174"/>
      <c r="W555" s="1174"/>
      <c r="X555" s="1174"/>
      <c r="Y555" s="1175"/>
      <c r="Z555" s="1131"/>
      <c r="AA555" s="1131"/>
      <c r="AB555" s="1131"/>
      <c r="AC555" s="1131"/>
      <c r="AD555" s="1132"/>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3"/>
      <c r="D556" s="1153"/>
      <c r="E556" s="1153"/>
      <c r="F556" s="1153"/>
      <c r="G556" s="1153"/>
      <c r="H556" s="1153"/>
      <c r="I556" s="1153"/>
      <c r="J556" s="1153"/>
      <c r="K556" s="1153"/>
      <c r="L556" s="1153"/>
      <c r="M556" s="1153"/>
      <c r="N556" s="1153"/>
      <c r="O556" s="1178"/>
      <c r="P556" s="1119"/>
      <c r="Q556" s="1120"/>
      <c r="R556" s="1120"/>
      <c r="S556" s="1120"/>
      <c r="T556" s="1121"/>
      <c r="U556" s="1173"/>
      <c r="V556" s="1174"/>
      <c r="W556" s="1174"/>
      <c r="X556" s="1174"/>
      <c r="Y556" s="1175"/>
      <c r="Z556" s="1131"/>
      <c r="AA556" s="1131"/>
      <c r="AB556" s="1131"/>
      <c r="AC556" s="1131"/>
      <c r="AD556" s="1132"/>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82605086</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Citibank, N.A. - T.E. Bonds (Series A)</v>
      </c>
      <c r="H559" s="1176"/>
      <c r="I559" s="1176"/>
      <c r="J559" s="1176"/>
      <c r="K559" s="1176"/>
      <c r="L559" s="1176"/>
      <c r="M559" s="1176"/>
      <c r="N559" s="1176"/>
      <c r="O559" s="1176"/>
      <c r="P559" s="1176"/>
      <c r="Q559" s="1176"/>
      <c r="R559" s="1176"/>
      <c r="S559" s="14"/>
      <c r="T559" s="87" t="s">
        <v>120</v>
      </c>
      <c r="U559" s="12" t="s">
        <v>509</v>
      </c>
      <c r="Z559" s="1176" t="str">
        <f>C546</f>
        <v>Citibank, N.A. - Taxable Bonds (Series A)</v>
      </c>
      <c r="AA559" s="1176"/>
      <c r="AB559" s="1176"/>
      <c r="AC559" s="1176"/>
      <c r="AD559" s="1176"/>
      <c r="AE559" s="1176"/>
      <c r="AF559" s="1176"/>
      <c r="AG559" s="1176"/>
      <c r="AH559" s="1176"/>
      <c r="AI559" s="1176"/>
      <c r="AJ559" s="1176"/>
      <c r="AK559" s="117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1766</v>
      </c>
      <c r="H560" s="1089"/>
      <c r="I560" s="1089"/>
      <c r="J560" s="1089"/>
      <c r="K560" s="1089"/>
      <c r="L560" s="1089"/>
      <c r="M560" s="1089"/>
      <c r="N560" s="1089"/>
      <c r="O560" s="1089"/>
      <c r="P560" s="1089"/>
      <c r="Q560" s="1089"/>
      <c r="R560" s="1089"/>
      <c r="S560" s="14"/>
      <c r="T560" s="35"/>
      <c r="U560" s="12" t="s">
        <v>92</v>
      </c>
      <c r="Z560" s="1089" t="s">
        <v>1766</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9" t="s">
        <v>1767</v>
      </c>
      <c r="H561" s="1089"/>
      <c r="I561" s="1089"/>
      <c r="J561" s="1089"/>
      <c r="K561" s="1089"/>
      <c r="L561" s="1089"/>
      <c r="M561" s="1089"/>
      <c r="N561" s="1089"/>
      <c r="O561" s="1089"/>
      <c r="P561" s="1089"/>
      <c r="Q561" s="1089"/>
      <c r="R561" s="1089"/>
      <c r="S561" s="88"/>
      <c r="T561" s="35"/>
      <c r="U561" s="12" t="s">
        <v>630</v>
      </c>
      <c r="Z561" s="1088" t="s">
        <v>1767</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1768</v>
      </c>
      <c r="H562" s="1089"/>
      <c r="I562" s="1089"/>
      <c r="J562" s="1089"/>
      <c r="K562" s="1089"/>
      <c r="L562" s="1089"/>
      <c r="M562" s="1089"/>
      <c r="N562" s="1089"/>
      <c r="O562" s="1089"/>
      <c r="P562" s="1089"/>
      <c r="Q562" s="1089"/>
      <c r="R562" s="1089"/>
      <c r="S562" s="14"/>
      <c r="T562" s="35"/>
      <c r="U562" s="12" t="s">
        <v>19</v>
      </c>
      <c r="Z562" s="1088" t="s">
        <v>1768</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8" t="s">
        <v>1769</v>
      </c>
      <c r="H563" s="1123"/>
      <c r="I563" s="1123"/>
      <c r="J563" s="1123"/>
      <c r="K563" s="1123"/>
      <c r="L563" s="1123"/>
      <c r="O563" s="140" t="s">
        <v>219</v>
      </c>
      <c r="P563" s="1153"/>
      <c r="Q563" s="1153"/>
      <c r="R563" s="1153"/>
      <c r="S563" s="16"/>
      <c r="T563" s="35"/>
      <c r="U563" s="12" t="s">
        <v>337</v>
      </c>
      <c r="Z563" s="1158" t="s">
        <v>1769</v>
      </c>
      <c r="AA563" s="1123"/>
      <c r="AB563" s="1123"/>
      <c r="AC563" s="1123"/>
      <c r="AD563" s="1123"/>
      <c r="AE563" s="1123"/>
      <c r="AH563" s="140" t="s">
        <v>219</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1770</v>
      </c>
      <c r="I564" s="1089"/>
      <c r="J564" s="1089"/>
      <c r="K564" s="1089"/>
      <c r="L564" s="1089"/>
      <c r="M564" s="1089"/>
      <c r="N564" s="1089"/>
      <c r="O564" s="1089"/>
      <c r="P564" s="1089"/>
      <c r="Q564" s="1089"/>
      <c r="R564" s="1089"/>
      <c r="S564" s="14"/>
      <c r="T564" s="35"/>
      <c r="U564" s="12" t="s">
        <v>20</v>
      </c>
      <c r="AA564" s="1089" t="s">
        <v>1771</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5" t="s">
        <v>641</v>
      </c>
      <c r="N565" s="1295"/>
      <c r="O565" s="1295"/>
      <c r="P565" s="1295"/>
      <c r="Q565" s="1295"/>
      <c r="R565" s="1295"/>
      <c r="S565" s="14"/>
      <c r="T565" s="35"/>
      <c r="U565" s="530" t="s">
        <v>1424</v>
      </c>
      <c r="V565" s="743"/>
      <c r="W565" s="743"/>
      <c r="X565" s="743"/>
      <c r="Y565" s="743"/>
      <c r="Z565" s="743"/>
      <c r="AA565" s="14"/>
      <c r="AB565" s="14"/>
      <c r="AC565" s="14"/>
      <c r="AD565" s="14"/>
      <c r="AE565" s="14"/>
      <c r="AF565" s="1295" t="s">
        <v>641</v>
      </c>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591</v>
      </c>
      <c r="O566" s="1117"/>
      <c r="T566" s="35"/>
      <c r="U566" s="12" t="s">
        <v>22</v>
      </c>
      <c r="AG566" s="1117" t="s">
        <v>591</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Bonneville - T.E. Bonds (Series B)</v>
      </c>
      <c r="H568" s="1176"/>
      <c r="I568" s="1176"/>
      <c r="J568" s="1176"/>
      <c r="K568" s="1176"/>
      <c r="L568" s="1176"/>
      <c r="M568" s="1176"/>
      <c r="N568" s="1176"/>
      <c r="O568" s="1176"/>
      <c r="P568" s="1176"/>
      <c r="Q568" s="1176"/>
      <c r="R568" s="1176"/>
      <c r="T568" s="87" t="s">
        <v>631</v>
      </c>
      <c r="U568" s="12" t="s">
        <v>509</v>
      </c>
      <c r="Z568" s="1176" t="str">
        <f>C548</f>
        <v>Pacific West Communities, Inc. - DDF</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1772</v>
      </c>
      <c r="H569" s="1089"/>
      <c r="I569" s="1089"/>
      <c r="J569" s="1089"/>
      <c r="K569" s="1089"/>
      <c r="L569" s="1089"/>
      <c r="M569" s="1089"/>
      <c r="N569" s="1089"/>
      <c r="O569" s="1089"/>
      <c r="P569" s="1089"/>
      <c r="Q569" s="1089"/>
      <c r="R569" s="1089"/>
      <c r="T569" s="35"/>
      <c r="U569" s="12" t="s">
        <v>92</v>
      </c>
      <c r="Z569" s="1089" t="s">
        <v>1665</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8" t="s">
        <v>1773</v>
      </c>
      <c r="H570" s="1088"/>
      <c r="I570" s="1088"/>
      <c r="J570" s="1088"/>
      <c r="K570" s="1088"/>
      <c r="L570" s="1088"/>
      <c r="M570" s="1088"/>
      <c r="N570" s="1088"/>
      <c r="O570" s="1088"/>
      <c r="P570" s="1088"/>
      <c r="Q570" s="1088"/>
      <c r="R570" s="1088"/>
      <c r="T570" s="35"/>
      <c r="U570" s="12" t="s">
        <v>630</v>
      </c>
      <c r="Z570" s="1088" t="s">
        <v>1682</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1774</v>
      </c>
      <c r="H571" s="1088"/>
      <c r="I571" s="1088"/>
      <c r="J571" s="1088"/>
      <c r="K571" s="1088"/>
      <c r="L571" s="1088"/>
      <c r="M571" s="1088"/>
      <c r="N571" s="1088"/>
      <c r="O571" s="1088"/>
      <c r="P571" s="1088"/>
      <c r="Q571" s="1088"/>
      <c r="R571" s="1088"/>
      <c r="T571" s="35"/>
      <c r="U571" s="12" t="s">
        <v>19</v>
      </c>
      <c r="Z571" s="1088" t="s">
        <v>1668</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8" t="s">
        <v>1775</v>
      </c>
      <c r="H572" s="1123"/>
      <c r="I572" s="1123"/>
      <c r="J572" s="1123"/>
      <c r="K572" s="1123"/>
      <c r="L572" s="1123"/>
      <c r="O572" s="140" t="s">
        <v>219</v>
      </c>
      <c r="P572" s="1153"/>
      <c r="Q572" s="1153"/>
      <c r="R572" s="1153"/>
      <c r="T572" s="35"/>
      <c r="U572" s="12" t="s">
        <v>337</v>
      </c>
      <c r="Z572" s="1158" t="s">
        <v>1669</v>
      </c>
      <c r="AA572" s="1123"/>
      <c r="AB572" s="1123"/>
      <c r="AC572" s="1123"/>
      <c r="AD572" s="1123"/>
      <c r="AE572" s="1123"/>
      <c r="AH572" s="140" t="s">
        <v>219</v>
      </c>
      <c r="AI572" s="1153">
        <v>3015</v>
      </c>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1770</v>
      </c>
      <c r="I573" s="1089"/>
      <c r="J573" s="1089"/>
      <c r="K573" s="1089"/>
      <c r="L573" s="1089"/>
      <c r="M573" s="1089"/>
      <c r="N573" s="1089"/>
      <c r="O573" s="1089"/>
      <c r="P573" s="1089"/>
      <c r="Q573" s="1089"/>
      <c r="R573" s="1089"/>
      <c r="T573" s="35"/>
      <c r="U573" s="12" t="s">
        <v>20</v>
      </c>
      <c r="AA573" s="1089" t="s">
        <v>1776</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591</v>
      </c>
      <c r="O574" s="1117"/>
      <c r="T574" s="35"/>
      <c r="U574" s="12" t="s">
        <v>22</v>
      </c>
      <c r="AG574" s="1117" t="s">
        <v>591</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National City Pacific Assoc - Def. Costs</v>
      </c>
      <c r="H576" s="1176"/>
      <c r="I576" s="1176"/>
      <c r="J576" s="1176"/>
      <c r="K576" s="1176"/>
      <c r="L576" s="1176"/>
      <c r="M576" s="1176"/>
      <c r="N576" s="1176"/>
      <c r="O576" s="1176"/>
      <c r="P576" s="1176"/>
      <c r="Q576" s="1176"/>
      <c r="R576" s="1176"/>
      <c r="T576" s="87" t="s">
        <v>634</v>
      </c>
      <c r="U576" s="12" t="s">
        <v>509</v>
      </c>
      <c r="Z576" s="1176" t="str">
        <f>C550</f>
        <v>Boston Capital - LIHTC Equity</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1665</v>
      </c>
      <c r="H577" s="1089"/>
      <c r="I577" s="1089"/>
      <c r="J577" s="1089"/>
      <c r="K577" s="1089"/>
      <c r="L577" s="1089"/>
      <c r="M577" s="1089"/>
      <c r="N577" s="1089"/>
      <c r="O577" s="1089"/>
      <c r="P577" s="1089"/>
      <c r="Q577" s="1089"/>
      <c r="R577" s="1089"/>
      <c r="T577" s="35"/>
      <c r="U577" s="12" t="s">
        <v>92</v>
      </c>
      <c r="Z577" s="1089" t="s">
        <v>1712</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9" t="s">
        <v>1682</v>
      </c>
      <c r="H578" s="1089"/>
      <c r="I578" s="1089"/>
      <c r="J578" s="1089"/>
      <c r="K578" s="1089"/>
      <c r="L578" s="1089"/>
      <c r="M578" s="1089"/>
      <c r="N578" s="1089"/>
      <c r="O578" s="1089"/>
      <c r="P578" s="1089"/>
      <c r="Q578" s="1089"/>
      <c r="R578" s="1089"/>
      <c r="T578" s="35"/>
      <c r="U578" s="12" t="s">
        <v>630</v>
      </c>
      <c r="Z578" s="1088" t="s">
        <v>1714</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1668</v>
      </c>
      <c r="H579" s="1089"/>
      <c r="I579" s="1089"/>
      <c r="J579" s="1089"/>
      <c r="K579" s="1089"/>
      <c r="L579" s="1089"/>
      <c r="M579" s="1089"/>
      <c r="N579" s="1089"/>
      <c r="O579" s="1089"/>
      <c r="P579" s="1089"/>
      <c r="Q579" s="1089"/>
      <c r="R579" s="1089"/>
      <c r="T579" s="35"/>
      <c r="U579" s="12" t="s">
        <v>19</v>
      </c>
      <c r="Z579" s="1088" t="s">
        <v>1716</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58" t="s">
        <v>1669</v>
      </c>
      <c r="H580" s="1123"/>
      <c r="I580" s="1123"/>
      <c r="J580" s="1123"/>
      <c r="K580" s="1123"/>
      <c r="L580" s="1123"/>
      <c r="O580" s="140" t="s">
        <v>219</v>
      </c>
      <c r="P580" s="1153"/>
      <c r="Q580" s="1153"/>
      <c r="R580" s="1153"/>
      <c r="T580" s="35"/>
      <c r="U580" s="12" t="s">
        <v>337</v>
      </c>
      <c r="Z580" s="1158" t="s">
        <v>1718</v>
      </c>
      <c r="AA580" s="1123"/>
      <c r="AB580" s="1123"/>
      <c r="AC580" s="1123"/>
      <c r="AD580" s="1123"/>
      <c r="AE580" s="1123"/>
      <c r="AH580" s="140" t="s">
        <v>219</v>
      </c>
      <c r="AI580" s="1153"/>
      <c r="AJ580" s="1153"/>
      <c r="AK580" s="1153"/>
    </row>
    <row r="581" spans="1:112" ht="12.75">
      <c r="A581" s="35"/>
      <c r="B581" s="12" t="s">
        <v>20</v>
      </c>
      <c r="H581" s="1089" t="s">
        <v>1777</v>
      </c>
      <c r="I581" s="1089"/>
      <c r="J581" s="1089"/>
      <c r="K581" s="1089"/>
      <c r="L581" s="1089"/>
      <c r="M581" s="1089"/>
      <c r="N581" s="1089"/>
      <c r="O581" s="1089"/>
      <c r="P581" s="1089"/>
      <c r="Q581" s="1089"/>
      <c r="R581" s="1089"/>
      <c r="T581" s="35"/>
      <c r="U581" s="12" t="s">
        <v>20</v>
      </c>
      <c r="AA581" s="1089" t="s">
        <v>1778</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591</v>
      </c>
      <c r="O582" s="1117"/>
      <c r="T582" s="35"/>
      <c r="U582" s="12" t="s">
        <v>22</v>
      </c>
      <c r="AG582" s="1117" t="s">
        <v>722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f>C551</f>
        <v>0</v>
      </c>
      <c r="H584" s="1176"/>
      <c r="I584" s="1176"/>
      <c r="J584" s="1176"/>
      <c r="K584" s="1176"/>
      <c r="L584" s="1176"/>
      <c r="M584" s="1176"/>
      <c r="N584" s="1176"/>
      <c r="O584" s="1176"/>
      <c r="P584" s="1176"/>
      <c r="Q584" s="1176"/>
      <c r="R584" s="1176"/>
      <c r="T584" s="87" t="s">
        <v>501</v>
      </c>
      <c r="U584" s="12" t="s">
        <v>509</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3"/>
      <c r="H588" s="1123"/>
      <c r="I588" s="1123"/>
      <c r="J588" s="1123"/>
      <c r="K588" s="1123"/>
      <c r="L588" s="1123"/>
      <c r="M588" s="12"/>
      <c r="N588" s="12"/>
      <c r="O588" s="140" t="s">
        <v>219</v>
      </c>
      <c r="P588" s="1153"/>
      <c r="Q588" s="1153"/>
      <c r="R588" s="1153"/>
      <c r="S588" s="12"/>
      <c r="T588" s="35"/>
      <c r="U588" s="12" t="s">
        <v>337</v>
      </c>
      <c r="V588" s="12"/>
      <c r="W588" s="12"/>
      <c r="X588" s="12"/>
      <c r="Y588" s="12"/>
      <c r="Z588" s="1123"/>
      <c r="AA588" s="1123"/>
      <c r="AB588" s="1123"/>
      <c r="AC588" s="1123"/>
      <c r="AD588" s="1123"/>
      <c r="AE588" s="1123"/>
      <c r="AF588" s="12"/>
      <c r="AG588" s="12"/>
      <c r="AH588" s="140" t="s">
        <v>219</v>
      </c>
      <c r="AI588" s="1153"/>
      <c r="AJ588" s="1153"/>
      <c r="AK588" s="1153"/>
      <c r="AL588" s="12"/>
      <c r="AM588" s="7" t="s">
        <v>346</v>
      </c>
      <c r="AN588" s="58"/>
      <c r="AO588" s="58"/>
      <c r="AP588" s="58"/>
      <c r="AQ588" s="58"/>
      <c r="AR588" s="193" t="s">
        <v>520</v>
      </c>
      <c r="AS588" s="194"/>
      <c r="AT588" s="1288"/>
      <c r="AU588" s="1289"/>
      <c r="AV588" s="193" t="s">
        <v>521</v>
      </c>
      <c r="AW588" s="194"/>
      <c r="AX588" s="1288"/>
      <c r="AY588" s="1289"/>
      <c r="AZ588" s="58"/>
      <c r="BA588" s="1561" t="s">
        <v>683</v>
      </c>
      <c r="BB588" s="1562"/>
      <c r="BC588" s="1562"/>
      <c r="BD588" s="1562"/>
      <c r="BE588" s="1563"/>
      <c r="BF588" s="1294" t="s">
        <v>347</v>
      </c>
      <c r="BG588" s="1294"/>
      <c r="BH588" s="1294"/>
      <c r="BI588" s="1294"/>
      <c r="BJ588" s="1294"/>
      <c r="BK588" s="1294" t="s">
        <v>170</v>
      </c>
      <c r="BL588" s="1294"/>
      <c r="BM588" s="1294"/>
      <c r="BN588" s="1294"/>
      <c r="BO588" s="1294"/>
      <c r="BP588" s="1294" t="s">
        <v>171</v>
      </c>
      <c r="BQ588" s="1294"/>
      <c r="BR588" s="1294"/>
      <c r="BS588" s="1294"/>
      <c r="BT588" s="1294"/>
      <c r="BU588" s="1294" t="s">
        <v>506</v>
      </c>
      <c r="BV588" s="1294"/>
      <c r="BW588" s="1294"/>
      <c r="BX588" s="1294"/>
      <c r="BY588" s="1294"/>
      <c r="BZ588" s="1294" t="s">
        <v>33</v>
      </c>
      <c r="CA588" s="1294"/>
      <c r="CB588" s="1294"/>
      <c r="CC588" s="1294"/>
      <c r="CD588" s="1294"/>
      <c r="CE588" s="1294" t="s">
        <v>683</v>
      </c>
      <c r="CF588" s="1294"/>
      <c r="CG588" s="1294"/>
      <c r="CH588" s="1294"/>
      <c r="CI588" s="1294"/>
      <c r="CJ588" s="1294" t="s">
        <v>347</v>
      </c>
      <c r="CK588" s="1294"/>
      <c r="CL588" s="1294"/>
      <c r="CM588" s="1294"/>
      <c r="CN588" s="1294"/>
      <c r="CO588" s="1294" t="s">
        <v>170</v>
      </c>
      <c r="CP588" s="1294"/>
      <c r="CQ588" s="1294"/>
      <c r="CR588" s="1294"/>
      <c r="CS588" s="1294"/>
      <c r="CT588" s="1294" t="s">
        <v>171</v>
      </c>
      <c r="CU588" s="1294"/>
      <c r="CV588" s="1294"/>
      <c r="CW588" s="1294"/>
      <c r="CX588" s="1294"/>
      <c r="CY588" s="1294" t="s">
        <v>506</v>
      </c>
      <c r="CZ588" s="1294"/>
      <c r="DA588" s="1294"/>
      <c r="DB588" s="1294"/>
      <c r="DC588" s="1294"/>
      <c r="DD588" s="1294" t="s">
        <v>33</v>
      </c>
      <c r="DE588" s="1294"/>
      <c r="DF588" s="1294"/>
      <c r="DG588" s="1294"/>
      <c r="DH588" s="1294"/>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347</v>
      </c>
      <c r="AN589" s="58"/>
      <c r="AO589" s="58"/>
      <c r="AP589" s="58"/>
      <c r="AQ589" s="58"/>
      <c r="AR589" s="1251">
        <f t="shared" ref="AR589:AR613" si="0">IF(AND(AD709&lt;=0.5,AD709&gt;=0.36),1,0)</f>
        <v>1</v>
      </c>
      <c r="AS589" s="1252"/>
      <c r="AT589" s="1288">
        <f t="shared" ref="AT589:AT613" si="1">IF(AR589=1,G709,0)</f>
        <v>12</v>
      </c>
      <c r="AU589" s="1289"/>
      <c r="AV589" s="1251">
        <f t="shared" ref="AV589:AV613" si="2">IF(AND(AD709&lt;=0.35,AD709&gt;0),1,0)</f>
        <v>0</v>
      </c>
      <c r="AW589" s="1252"/>
      <c r="AX589" s="1288">
        <f t="shared" ref="AX589:AX613" si="3">IF(AV589=1,G709,0)</f>
        <v>0</v>
      </c>
      <c r="AY589" s="1289"/>
      <c r="AZ589" s="58"/>
      <c r="BA589" s="1288">
        <f t="shared" ref="BA589:BA613" si="4">IF(B709="SRO/Studio",G709,0)</f>
        <v>0</v>
      </c>
      <c r="BB589" s="1290"/>
      <c r="BC589" s="1290"/>
      <c r="BD589" s="1290"/>
      <c r="BE589" s="1289"/>
      <c r="BF589" s="1285">
        <f t="shared" ref="BF589:BF613" si="5">IF(B709="1 Bedroom",G709,0)</f>
        <v>0</v>
      </c>
      <c r="BG589" s="1285"/>
      <c r="BH589" s="1285"/>
      <c r="BI589" s="1285"/>
      <c r="BJ589" s="1285"/>
      <c r="BK589" s="1285">
        <f t="shared" ref="BK589:BK613" si="6">IF(B709="2 Bedrooms",G709,0)</f>
        <v>12</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64">
        <f t="shared" ref="CE589:CE613" si="10">IF(AND(B709="SRO/Studio",AD709&lt;=0.3),G709,0)</f>
        <v>0</v>
      </c>
      <c r="CF589" s="1564"/>
      <c r="CG589" s="1564"/>
      <c r="CH589" s="1564"/>
      <c r="CI589" s="1564"/>
      <c r="CJ589" s="1564">
        <f t="shared" ref="CJ589:CJ613" si="11">IF(AND(B709="1 Bedroom",AD709&lt;=0.3),G709,0)</f>
        <v>0</v>
      </c>
      <c r="CK589" s="1564"/>
      <c r="CL589" s="1564"/>
      <c r="CM589" s="1564"/>
      <c r="CN589" s="1564"/>
      <c r="CO589" s="1564">
        <f t="shared" ref="CO589:CO613" si="12">IF(AND(B709="2 Bedrooms",AD709&lt;=0.3),G709,0)</f>
        <v>0</v>
      </c>
      <c r="CP589" s="1564"/>
      <c r="CQ589" s="1564"/>
      <c r="CR589" s="1564"/>
      <c r="CS589" s="1564"/>
      <c r="CT589" s="1564">
        <f t="shared" ref="CT589:CT613" si="13">IF(AND(B709="3 Bedrooms",AD709&lt;=0.3),G709,0)</f>
        <v>0</v>
      </c>
      <c r="CU589" s="1564"/>
      <c r="CV589" s="1564"/>
      <c r="CW589" s="1564"/>
      <c r="CX589" s="1564"/>
      <c r="CY589" s="1564">
        <f t="shared" ref="CY589:CY613" si="14">IF(AND(B709="4 Bedrooms",AD709&lt;=0.3),G709,0)</f>
        <v>0</v>
      </c>
      <c r="CZ589" s="1564"/>
      <c r="DA589" s="1564"/>
      <c r="DB589" s="1564"/>
      <c r="DC589" s="1564"/>
      <c r="DD589" s="1564">
        <f t="shared" ref="DD589:DD613" si="15">IF(AND(B709="5 Bedrooms",AD709&lt;=0.3),G709,0)</f>
        <v>0</v>
      </c>
      <c r="DE589" s="1564"/>
      <c r="DF589" s="1564"/>
      <c r="DG589" s="1564"/>
      <c r="DH589" s="1564"/>
    </row>
    <row r="590" spans="1:112" s="7" customFormat="1" ht="12.75">
      <c r="A590" s="35"/>
      <c r="B590" s="12" t="s">
        <v>22</v>
      </c>
      <c r="C590" s="12"/>
      <c r="D590" s="12"/>
      <c r="E590" s="12"/>
      <c r="F590" s="12"/>
      <c r="G590" s="12"/>
      <c r="H590" s="12"/>
      <c r="I590" s="12"/>
      <c r="J590" s="12"/>
      <c r="K590" s="12"/>
      <c r="L590" s="12"/>
      <c r="M590" s="12"/>
      <c r="N590" s="1117" t="s">
        <v>722</v>
      </c>
      <c r="O590" s="1117"/>
      <c r="P590" s="12"/>
      <c r="Q590" s="12"/>
      <c r="R590" s="12"/>
      <c r="S590" s="12"/>
      <c r="T590" s="35"/>
      <c r="U590" s="12" t="s">
        <v>22</v>
      </c>
      <c r="V590" s="12"/>
      <c r="W590" s="12"/>
      <c r="X590" s="12"/>
      <c r="Y590" s="12"/>
      <c r="Z590" s="12"/>
      <c r="AA590" s="12"/>
      <c r="AB590" s="12"/>
      <c r="AC590" s="12"/>
      <c r="AD590" s="12"/>
      <c r="AE590" s="12"/>
      <c r="AF590" s="12"/>
      <c r="AG590" s="1117" t="s">
        <v>722</v>
      </c>
      <c r="AH590" s="1117"/>
      <c r="AI590" s="12"/>
      <c r="AJ590" s="12"/>
      <c r="AK590" s="12"/>
      <c r="AL590" s="12"/>
      <c r="AM590" s="7" t="s">
        <v>170</v>
      </c>
      <c r="AN590" s="58"/>
      <c r="AO590" s="58"/>
      <c r="AP590" s="58"/>
      <c r="AQ590" s="58"/>
      <c r="AR590" s="1251">
        <f t="shared" si="0"/>
        <v>0</v>
      </c>
      <c r="AS590" s="1252"/>
      <c r="AT590" s="1288">
        <f t="shared" si="1"/>
        <v>0</v>
      </c>
      <c r="AU590" s="1289"/>
      <c r="AV590" s="1251">
        <f t="shared" si="2"/>
        <v>0</v>
      </c>
      <c r="AW590" s="1252"/>
      <c r="AX590" s="1288">
        <f t="shared" si="3"/>
        <v>0</v>
      </c>
      <c r="AY590" s="1289"/>
      <c r="AZ590" s="58"/>
      <c r="BA590" s="1288">
        <f t="shared" si="4"/>
        <v>0</v>
      </c>
      <c r="BB590" s="1290"/>
      <c r="BC590" s="1290"/>
      <c r="BD590" s="1290"/>
      <c r="BE590" s="1289"/>
      <c r="BF590" s="1285">
        <f t="shared" si="5"/>
        <v>0</v>
      </c>
      <c r="BG590" s="1285"/>
      <c r="BH590" s="1285"/>
      <c r="BI590" s="1285"/>
      <c r="BJ590" s="1285"/>
      <c r="BK590" s="1285">
        <f t="shared" si="6"/>
        <v>5</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64">
        <f t="shared" si="10"/>
        <v>0</v>
      </c>
      <c r="CF590" s="1564"/>
      <c r="CG590" s="1564"/>
      <c r="CH590" s="1564"/>
      <c r="CI590" s="1564"/>
      <c r="CJ590" s="1564">
        <f t="shared" si="11"/>
        <v>0</v>
      </c>
      <c r="CK590" s="1564"/>
      <c r="CL590" s="1564"/>
      <c r="CM590" s="1564"/>
      <c r="CN590" s="1564"/>
      <c r="CO590" s="1564">
        <f t="shared" si="12"/>
        <v>0</v>
      </c>
      <c r="CP590" s="1564"/>
      <c r="CQ590" s="1564"/>
      <c r="CR590" s="1564"/>
      <c r="CS590" s="1564"/>
      <c r="CT590" s="1564">
        <f t="shared" si="13"/>
        <v>0</v>
      </c>
      <c r="CU590" s="1564"/>
      <c r="CV590" s="1564"/>
      <c r="CW590" s="1564"/>
      <c r="CX590" s="1564"/>
      <c r="CY590" s="1564">
        <f t="shared" si="14"/>
        <v>0</v>
      </c>
      <c r="CZ590" s="1564"/>
      <c r="DA590" s="1564"/>
      <c r="DB590" s="1564"/>
      <c r="DC590" s="1564"/>
      <c r="DD590" s="1564">
        <f t="shared" si="15"/>
        <v>0</v>
      </c>
      <c r="DE590" s="1564"/>
      <c r="DF590" s="1564"/>
      <c r="DG590" s="1564"/>
      <c r="DH590" s="1564"/>
    </row>
    <row r="591" spans="1:112" ht="12.75">
      <c r="A591" s="35"/>
      <c r="T591" s="35"/>
      <c r="AM591" s="7" t="s">
        <v>171</v>
      </c>
      <c r="AN591" s="58"/>
      <c r="AO591" s="58"/>
      <c r="AP591" s="58"/>
      <c r="AQ591" s="58"/>
      <c r="AR591" s="1251">
        <f t="shared" si="0"/>
        <v>0</v>
      </c>
      <c r="AS591" s="1252"/>
      <c r="AT591" s="1288">
        <f t="shared" si="1"/>
        <v>0</v>
      </c>
      <c r="AU591" s="1289"/>
      <c r="AV591" s="1251">
        <f t="shared" si="2"/>
        <v>0</v>
      </c>
      <c r="AW591" s="1252"/>
      <c r="AX591" s="1288">
        <f t="shared" si="3"/>
        <v>0</v>
      </c>
      <c r="AY591" s="1289"/>
      <c r="AZ591" s="58"/>
      <c r="BA591" s="1288">
        <f t="shared" si="4"/>
        <v>0</v>
      </c>
      <c r="BB591" s="1290"/>
      <c r="BC591" s="1290"/>
      <c r="BD591" s="1290"/>
      <c r="BE591" s="1289"/>
      <c r="BF591" s="1285">
        <f t="shared" si="5"/>
        <v>0</v>
      </c>
      <c r="BG591" s="1285"/>
      <c r="BH591" s="1285"/>
      <c r="BI591" s="1285"/>
      <c r="BJ591" s="1285"/>
      <c r="BK591" s="1285">
        <f t="shared" si="6"/>
        <v>2</v>
      </c>
      <c r="BL591" s="1285"/>
      <c r="BM591" s="1285"/>
      <c r="BN591" s="1285"/>
      <c r="BO591" s="1285"/>
      <c r="BP591" s="1285">
        <f t="shared" si="7"/>
        <v>0</v>
      </c>
      <c r="BQ591" s="1285"/>
      <c r="BR591" s="1285"/>
      <c r="BS591" s="1285"/>
      <c r="BT591" s="1285"/>
      <c r="BU591" s="1285">
        <f t="shared" si="8"/>
        <v>0</v>
      </c>
      <c r="BV591" s="1285"/>
      <c r="BW591" s="1285"/>
      <c r="BX591" s="1285"/>
      <c r="BY591" s="1285"/>
      <c r="BZ591" s="1285">
        <f t="shared" si="9"/>
        <v>0</v>
      </c>
      <c r="CA591" s="1285"/>
      <c r="CB591" s="1285"/>
      <c r="CC591" s="1285"/>
      <c r="CD591" s="1285"/>
      <c r="CE591" s="1564">
        <f t="shared" si="10"/>
        <v>0</v>
      </c>
      <c r="CF591" s="1564"/>
      <c r="CG591" s="1564"/>
      <c r="CH591" s="1564"/>
      <c r="CI591" s="1564"/>
      <c r="CJ591" s="1564">
        <f t="shared" si="11"/>
        <v>0</v>
      </c>
      <c r="CK591" s="1564"/>
      <c r="CL591" s="1564"/>
      <c r="CM591" s="1564"/>
      <c r="CN591" s="1564"/>
      <c r="CO591" s="1564">
        <f t="shared" si="12"/>
        <v>0</v>
      </c>
      <c r="CP591" s="1564"/>
      <c r="CQ591" s="1564"/>
      <c r="CR591" s="1564"/>
      <c r="CS591" s="1564"/>
      <c r="CT591" s="1564">
        <f t="shared" si="13"/>
        <v>0</v>
      </c>
      <c r="CU591" s="1564"/>
      <c r="CV591" s="1564"/>
      <c r="CW591" s="1564"/>
      <c r="CX591" s="1564"/>
      <c r="CY591" s="1564">
        <f t="shared" si="14"/>
        <v>0</v>
      </c>
      <c r="CZ591" s="1564"/>
      <c r="DA591" s="1564"/>
      <c r="DB591" s="1564"/>
      <c r="DC591" s="1564"/>
      <c r="DD591" s="1564">
        <f t="shared" si="15"/>
        <v>0</v>
      </c>
      <c r="DE591" s="1564"/>
      <c r="DF591" s="1564"/>
      <c r="DG591" s="1564"/>
      <c r="DH591" s="1564"/>
    </row>
    <row r="592" spans="1:112" ht="12.75">
      <c r="A592" s="87" t="s">
        <v>507</v>
      </c>
      <c r="B592" s="12" t="s">
        <v>509</v>
      </c>
      <c r="G592" s="1176">
        <f>C553</f>
        <v>0</v>
      </c>
      <c r="H592" s="1176"/>
      <c r="I592" s="1176"/>
      <c r="J592" s="1176"/>
      <c r="K592" s="1176"/>
      <c r="L592" s="1176"/>
      <c r="M592" s="1176"/>
      <c r="N592" s="1176"/>
      <c r="O592" s="1176"/>
      <c r="P592" s="1176"/>
      <c r="Q592" s="1176"/>
      <c r="R592" s="1176"/>
      <c r="T592" s="87" t="s">
        <v>696</v>
      </c>
      <c r="U592" s="12" t="s">
        <v>509</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1">
        <f t="shared" si="0"/>
        <v>0</v>
      </c>
      <c r="AS592" s="1252"/>
      <c r="AT592" s="1288">
        <f t="shared" si="1"/>
        <v>0</v>
      </c>
      <c r="AU592" s="1289"/>
      <c r="AV592" s="1251">
        <f t="shared" si="2"/>
        <v>0</v>
      </c>
      <c r="AW592" s="1252"/>
      <c r="AX592" s="1288">
        <f t="shared" si="3"/>
        <v>0</v>
      </c>
      <c r="AY592" s="1289"/>
      <c r="AZ592" s="58"/>
      <c r="BA592" s="1288">
        <f t="shared" si="4"/>
        <v>0</v>
      </c>
      <c r="BB592" s="1290"/>
      <c r="BC592" s="1290"/>
      <c r="BD592" s="1290"/>
      <c r="BE592" s="1289"/>
      <c r="BF592" s="1285">
        <f t="shared" si="5"/>
        <v>0</v>
      </c>
      <c r="BG592" s="1285"/>
      <c r="BH592" s="1285"/>
      <c r="BI592" s="1285"/>
      <c r="BJ592" s="1285"/>
      <c r="BK592" s="1285">
        <f t="shared" si="6"/>
        <v>5</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64">
        <f t="shared" si="10"/>
        <v>0</v>
      </c>
      <c r="CF592" s="1564"/>
      <c r="CG592" s="1564"/>
      <c r="CH592" s="1564"/>
      <c r="CI592" s="1564"/>
      <c r="CJ592" s="1564">
        <f t="shared" si="11"/>
        <v>0</v>
      </c>
      <c r="CK592" s="1564"/>
      <c r="CL592" s="1564"/>
      <c r="CM592" s="1564"/>
      <c r="CN592" s="1564"/>
      <c r="CO592" s="1564">
        <f t="shared" si="12"/>
        <v>0</v>
      </c>
      <c r="CP592" s="1564"/>
      <c r="CQ592" s="1564"/>
      <c r="CR592" s="1564"/>
      <c r="CS592" s="1564"/>
      <c r="CT592" s="1564">
        <f t="shared" si="13"/>
        <v>0</v>
      </c>
      <c r="CU592" s="1564"/>
      <c r="CV592" s="1564"/>
      <c r="CW592" s="1564"/>
      <c r="CX592" s="1564"/>
      <c r="CY592" s="1564">
        <f t="shared" si="14"/>
        <v>0</v>
      </c>
      <c r="CZ592" s="1564"/>
      <c r="DA592" s="1564"/>
      <c r="DB592" s="1564"/>
      <c r="DC592" s="1564"/>
      <c r="DD592" s="1564">
        <f t="shared" si="15"/>
        <v>0</v>
      </c>
      <c r="DE592" s="1564"/>
      <c r="DF592" s="1564"/>
      <c r="DG592" s="1564"/>
      <c r="DH592" s="1564"/>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1">
        <f t="shared" si="0"/>
        <v>1</v>
      </c>
      <c r="AS593" s="1252"/>
      <c r="AT593" s="1288">
        <f t="shared" si="1"/>
        <v>37</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0</v>
      </c>
      <c r="BL593" s="1285"/>
      <c r="BM593" s="1285"/>
      <c r="BN593" s="1285"/>
      <c r="BO593" s="1285"/>
      <c r="BP593" s="1285">
        <f t="shared" si="7"/>
        <v>37</v>
      </c>
      <c r="BQ593" s="1285"/>
      <c r="BR593" s="1285"/>
      <c r="BS593" s="1285"/>
      <c r="BT593" s="1285"/>
      <c r="BU593" s="1285">
        <f t="shared" si="8"/>
        <v>0</v>
      </c>
      <c r="BV593" s="1285"/>
      <c r="BW593" s="1285"/>
      <c r="BX593" s="1285"/>
      <c r="BY593" s="1285"/>
      <c r="BZ593" s="1285">
        <f t="shared" si="9"/>
        <v>0</v>
      </c>
      <c r="CA593" s="1285"/>
      <c r="CB593" s="1285"/>
      <c r="CC593" s="1285"/>
      <c r="CD593" s="1285"/>
      <c r="CE593" s="1564">
        <f t="shared" si="10"/>
        <v>0</v>
      </c>
      <c r="CF593" s="1564"/>
      <c r="CG593" s="1564"/>
      <c r="CH593" s="1564"/>
      <c r="CI593" s="1564"/>
      <c r="CJ593" s="1564">
        <f t="shared" si="11"/>
        <v>0</v>
      </c>
      <c r="CK593" s="1564"/>
      <c r="CL593" s="1564"/>
      <c r="CM593" s="1564"/>
      <c r="CN593" s="1564"/>
      <c r="CO593" s="1564">
        <f t="shared" si="12"/>
        <v>0</v>
      </c>
      <c r="CP593" s="1564"/>
      <c r="CQ593" s="1564"/>
      <c r="CR593" s="1564"/>
      <c r="CS593" s="1564"/>
      <c r="CT593" s="1564">
        <f t="shared" si="13"/>
        <v>0</v>
      </c>
      <c r="CU593" s="1564"/>
      <c r="CV593" s="1564"/>
      <c r="CW593" s="1564"/>
      <c r="CX593" s="1564"/>
      <c r="CY593" s="1564">
        <f t="shared" si="14"/>
        <v>0</v>
      </c>
      <c r="CZ593" s="1564"/>
      <c r="DA593" s="1564"/>
      <c r="DB593" s="1564"/>
      <c r="DC593" s="1564"/>
      <c r="DD593" s="1564">
        <f t="shared" si="15"/>
        <v>0</v>
      </c>
      <c r="DE593" s="1564"/>
      <c r="DF593" s="1564"/>
      <c r="DG593" s="1564"/>
      <c r="DH593" s="1564"/>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8"/>
      <c r="AA594" s="1088"/>
      <c r="AB594" s="1088"/>
      <c r="AC594" s="1088"/>
      <c r="AD594" s="1088"/>
      <c r="AE594" s="1088"/>
      <c r="AF594" s="1088"/>
      <c r="AG594" s="1088"/>
      <c r="AH594" s="1088"/>
      <c r="AI594" s="1088"/>
      <c r="AJ594" s="1088"/>
      <c r="AK594" s="1088"/>
      <c r="AM594" s="58"/>
      <c r="AN594" s="58"/>
      <c r="AO594" s="58"/>
      <c r="AP594" s="58"/>
      <c r="AQ594" s="58"/>
      <c r="AR594" s="1251">
        <f t="shared" si="0"/>
        <v>0</v>
      </c>
      <c r="AS594" s="1252"/>
      <c r="AT594" s="1288">
        <f t="shared" si="1"/>
        <v>0</v>
      </c>
      <c r="AU594" s="1289"/>
      <c r="AV594" s="1251">
        <f t="shared" si="2"/>
        <v>0</v>
      </c>
      <c r="AW594" s="1252"/>
      <c r="AX594" s="1288">
        <f t="shared" si="3"/>
        <v>0</v>
      </c>
      <c r="AY594" s="1289"/>
      <c r="AZ594" s="58"/>
      <c r="BA594" s="1288">
        <f t="shared" si="4"/>
        <v>0</v>
      </c>
      <c r="BB594" s="1290"/>
      <c r="BC594" s="1290"/>
      <c r="BD594" s="1290"/>
      <c r="BE594" s="1289"/>
      <c r="BF594" s="1285">
        <f t="shared" si="5"/>
        <v>0</v>
      </c>
      <c r="BG594" s="1285"/>
      <c r="BH594" s="1285"/>
      <c r="BI594" s="1285"/>
      <c r="BJ594" s="1285"/>
      <c r="BK594" s="1285">
        <f t="shared" si="6"/>
        <v>0</v>
      </c>
      <c r="BL594" s="1285"/>
      <c r="BM594" s="1285"/>
      <c r="BN594" s="1285"/>
      <c r="BO594" s="1285"/>
      <c r="BP594" s="1285">
        <f t="shared" si="7"/>
        <v>15</v>
      </c>
      <c r="BQ594" s="1285"/>
      <c r="BR594" s="1285"/>
      <c r="BS594" s="1285"/>
      <c r="BT594" s="1285"/>
      <c r="BU594" s="1285">
        <f t="shared" si="8"/>
        <v>0</v>
      </c>
      <c r="BV594" s="1285"/>
      <c r="BW594" s="1285"/>
      <c r="BX594" s="1285"/>
      <c r="BY594" s="1285"/>
      <c r="BZ594" s="1285">
        <f t="shared" si="9"/>
        <v>0</v>
      </c>
      <c r="CA594" s="1285"/>
      <c r="CB594" s="1285"/>
      <c r="CC594" s="1285"/>
      <c r="CD594" s="1285"/>
      <c r="CE594" s="1564">
        <f t="shared" si="10"/>
        <v>0</v>
      </c>
      <c r="CF594" s="1564"/>
      <c r="CG594" s="1564"/>
      <c r="CH594" s="1564"/>
      <c r="CI594" s="1564"/>
      <c r="CJ594" s="1564">
        <f t="shared" si="11"/>
        <v>0</v>
      </c>
      <c r="CK594" s="1564"/>
      <c r="CL594" s="1564"/>
      <c r="CM594" s="1564"/>
      <c r="CN594" s="1564"/>
      <c r="CO594" s="1564">
        <f t="shared" si="12"/>
        <v>0</v>
      </c>
      <c r="CP594" s="1564"/>
      <c r="CQ594" s="1564"/>
      <c r="CR594" s="1564"/>
      <c r="CS594" s="1564"/>
      <c r="CT594" s="1564">
        <f t="shared" si="13"/>
        <v>0</v>
      </c>
      <c r="CU594" s="1564"/>
      <c r="CV594" s="1564"/>
      <c r="CW594" s="1564"/>
      <c r="CX594" s="1564"/>
      <c r="CY594" s="1564">
        <f t="shared" si="14"/>
        <v>0</v>
      </c>
      <c r="CZ594" s="1564"/>
      <c r="DA594" s="1564"/>
      <c r="DB594" s="1564"/>
      <c r="DC594" s="1564"/>
      <c r="DD594" s="1564">
        <f t="shared" si="15"/>
        <v>0</v>
      </c>
      <c r="DE594" s="1564"/>
      <c r="DF594" s="1564"/>
      <c r="DG594" s="1564"/>
      <c r="DH594" s="1564"/>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1">
        <f t="shared" si="0"/>
        <v>0</v>
      </c>
      <c r="AS595" s="1252"/>
      <c r="AT595" s="1288">
        <f t="shared" si="1"/>
        <v>0</v>
      </c>
      <c r="AU595" s="1289"/>
      <c r="AV595" s="1251">
        <f t="shared" si="2"/>
        <v>0</v>
      </c>
      <c r="AW595" s="1252"/>
      <c r="AX595" s="1288">
        <f t="shared" si="3"/>
        <v>0</v>
      </c>
      <c r="AY595" s="1289"/>
      <c r="AZ595" s="58"/>
      <c r="BA595" s="1288">
        <f t="shared" si="4"/>
        <v>0</v>
      </c>
      <c r="BB595" s="1290"/>
      <c r="BC595" s="1290"/>
      <c r="BD595" s="1290"/>
      <c r="BE595" s="1289"/>
      <c r="BF595" s="1285">
        <f t="shared" si="5"/>
        <v>0</v>
      </c>
      <c r="BG595" s="1285"/>
      <c r="BH595" s="1285"/>
      <c r="BI595" s="1285"/>
      <c r="BJ595" s="1285"/>
      <c r="BK595" s="1285">
        <f t="shared" si="6"/>
        <v>0</v>
      </c>
      <c r="BL595" s="1285"/>
      <c r="BM595" s="1285"/>
      <c r="BN595" s="1285"/>
      <c r="BO595" s="1285"/>
      <c r="BP595" s="1285">
        <f t="shared" si="7"/>
        <v>7</v>
      </c>
      <c r="BQ595" s="1285"/>
      <c r="BR595" s="1285"/>
      <c r="BS595" s="1285"/>
      <c r="BT595" s="1285"/>
      <c r="BU595" s="1285">
        <f t="shared" si="8"/>
        <v>0</v>
      </c>
      <c r="BV595" s="1285"/>
      <c r="BW595" s="1285"/>
      <c r="BX595" s="1285"/>
      <c r="BY595" s="1285"/>
      <c r="BZ595" s="1285">
        <f t="shared" si="9"/>
        <v>0</v>
      </c>
      <c r="CA595" s="1285"/>
      <c r="CB595" s="1285"/>
      <c r="CC595" s="1285"/>
      <c r="CD595" s="1285"/>
      <c r="CE595" s="1564">
        <f t="shared" si="10"/>
        <v>0</v>
      </c>
      <c r="CF595" s="1564"/>
      <c r="CG595" s="1564"/>
      <c r="CH595" s="1564"/>
      <c r="CI595" s="1564"/>
      <c r="CJ595" s="1564">
        <f t="shared" si="11"/>
        <v>0</v>
      </c>
      <c r="CK595" s="1564"/>
      <c r="CL595" s="1564"/>
      <c r="CM595" s="1564"/>
      <c r="CN595" s="1564"/>
      <c r="CO595" s="1564">
        <f t="shared" si="12"/>
        <v>0</v>
      </c>
      <c r="CP595" s="1564"/>
      <c r="CQ595" s="1564"/>
      <c r="CR595" s="1564"/>
      <c r="CS595" s="1564"/>
      <c r="CT595" s="1564">
        <f t="shared" si="13"/>
        <v>0</v>
      </c>
      <c r="CU595" s="1564"/>
      <c r="CV595" s="1564"/>
      <c r="CW595" s="1564"/>
      <c r="CX595" s="1564"/>
      <c r="CY595" s="1564">
        <f t="shared" si="14"/>
        <v>0</v>
      </c>
      <c r="CZ595" s="1564"/>
      <c r="DA595" s="1564"/>
      <c r="DB595" s="1564"/>
      <c r="DC595" s="1564"/>
      <c r="DD595" s="1564">
        <f t="shared" si="15"/>
        <v>0</v>
      </c>
      <c r="DE595" s="1564"/>
      <c r="DF595" s="1564"/>
      <c r="DG595" s="1564"/>
      <c r="DH595" s="1564"/>
    </row>
    <row r="596" spans="1:112" ht="12.75">
      <c r="A596" s="35"/>
      <c r="B596" s="12" t="s">
        <v>337</v>
      </c>
      <c r="G596" s="1123"/>
      <c r="H596" s="1123"/>
      <c r="I596" s="1123"/>
      <c r="J596" s="1123"/>
      <c r="K596" s="1123"/>
      <c r="L596" s="1123"/>
      <c r="O596" s="140" t="s">
        <v>219</v>
      </c>
      <c r="P596" s="1153"/>
      <c r="Q596" s="1153"/>
      <c r="R596" s="1153"/>
      <c r="T596" s="35"/>
      <c r="U596" s="12" t="s">
        <v>337</v>
      </c>
      <c r="Z596" s="1123"/>
      <c r="AA596" s="1123"/>
      <c r="AB596" s="1123"/>
      <c r="AC596" s="1123"/>
      <c r="AD596" s="1123"/>
      <c r="AE596" s="1123"/>
      <c r="AH596" s="140" t="s">
        <v>219</v>
      </c>
      <c r="AI596" s="1153"/>
      <c r="AJ596" s="1153"/>
      <c r="AK596" s="1153"/>
      <c r="AM596" s="58"/>
      <c r="AN596" s="58"/>
      <c r="AO596" s="58"/>
      <c r="AP596" s="58"/>
      <c r="AQ596" s="58"/>
      <c r="AR596" s="1251">
        <f t="shared" si="0"/>
        <v>0</v>
      </c>
      <c r="AS596" s="1252"/>
      <c r="AT596" s="1288">
        <f t="shared" si="1"/>
        <v>0</v>
      </c>
      <c r="AU596" s="1289"/>
      <c r="AV596" s="1251">
        <f t="shared" si="2"/>
        <v>0</v>
      </c>
      <c r="AW596" s="1252"/>
      <c r="AX596" s="1288">
        <f t="shared" si="3"/>
        <v>0</v>
      </c>
      <c r="AY596" s="1289"/>
      <c r="AZ596" s="58"/>
      <c r="BA596" s="1288">
        <f t="shared" si="4"/>
        <v>0</v>
      </c>
      <c r="BB596" s="1290"/>
      <c r="BC596" s="1290"/>
      <c r="BD596" s="1290"/>
      <c r="BE596" s="1289"/>
      <c r="BF596" s="1285">
        <f t="shared" si="5"/>
        <v>0</v>
      </c>
      <c r="BG596" s="1285"/>
      <c r="BH596" s="1285"/>
      <c r="BI596" s="1285"/>
      <c r="BJ596" s="1285"/>
      <c r="BK596" s="1285">
        <f t="shared" si="6"/>
        <v>0</v>
      </c>
      <c r="BL596" s="1285"/>
      <c r="BM596" s="1285"/>
      <c r="BN596" s="1285"/>
      <c r="BO596" s="1285"/>
      <c r="BP596" s="1285">
        <f t="shared" si="7"/>
        <v>14</v>
      </c>
      <c r="BQ596" s="1285"/>
      <c r="BR596" s="1285"/>
      <c r="BS596" s="1285"/>
      <c r="BT596" s="1285"/>
      <c r="BU596" s="1285">
        <f t="shared" si="8"/>
        <v>0</v>
      </c>
      <c r="BV596" s="1285"/>
      <c r="BW596" s="1285"/>
      <c r="BX596" s="1285"/>
      <c r="BY596" s="1285"/>
      <c r="BZ596" s="1285">
        <f t="shared" si="9"/>
        <v>0</v>
      </c>
      <c r="CA596" s="1285"/>
      <c r="CB596" s="1285"/>
      <c r="CC596" s="1285"/>
      <c r="CD596" s="1285"/>
      <c r="CE596" s="1564">
        <f t="shared" si="10"/>
        <v>0</v>
      </c>
      <c r="CF596" s="1564"/>
      <c r="CG596" s="1564"/>
      <c r="CH596" s="1564"/>
      <c r="CI596" s="1564"/>
      <c r="CJ596" s="1564">
        <f t="shared" si="11"/>
        <v>0</v>
      </c>
      <c r="CK596" s="1564"/>
      <c r="CL596" s="1564"/>
      <c r="CM596" s="1564"/>
      <c r="CN596" s="1564"/>
      <c r="CO596" s="1564">
        <f t="shared" si="12"/>
        <v>0</v>
      </c>
      <c r="CP596" s="1564"/>
      <c r="CQ596" s="1564"/>
      <c r="CR596" s="1564"/>
      <c r="CS596" s="1564"/>
      <c r="CT596" s="1564">
        <f t="shared" si="13"/>
        <v>0</v>
      </c>
      <c r="CU596" s="1564"/>
      <c r="CV596" s="1564"/>
      <c r="CW596" s="1564"/>
      <c r="CX596" s="1564"/>
      <c r="CY596" s="1564">
        <f t="shared" si="14"/>
        <v>0</v>
      </c>
      <c r="CZ596" s="1564"/>
      <c r="DA596" s="1564"/>
      <c r="DB596" s="1564"/>
      <c r="DC596" s="1564"/>
      <c r="DD596" s="1564">
        <f t="shared" si="15"/>
        <v>0</v>
      </c>
      <c r="DE596" s="1564"/>
      <c r="DF596" s="1564"/>
      <c r="DG596" s="1564"/>
      <c r="DH596" s="1564"/>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1">
        <f t="shared" si="0"/>
        <v>1</v>
      </c>
      <c r="AS597" s="1252"/>
      <c r="AT597" s="1288">
        <f t="shared" si="1"/>
        <v>16</v>
      </c>
      <c r="AU597" s="1289"/>
      <c r="AV597" s="1251">
        <f t="shared" si="2"/>
        <v>0</v>
      </c>
      <c r="AW597" s="1252"/>
      <c r="AX597" s="1288">
        <f t="shared" si="3"/>
        <v>0</v>
      </c>
      <c r="AY597" s="1289"/>
      <c r="AZ597" s="58"/>
      <c r="BA597" s="1288">
        <f t="shared" si="4"/>
        <v>0</v>
      </c>
      <c r="BB597" s="1290"/>
      <c r="BC597" s="1290"/>
      <c r="BD597" s="1290"/>
      <c r="BE597" s="1289"/>
      <c r="BF597" s="1285">
        <f t="shared" si="5"/>
        <v>0</v>
      </c>
      <c r="BG597" s="1285"/>
      <c r="BH597" s="1285"/>
      <c r="BI597" s="1285"/>
      <c r="BJ597" s="1285"/>
      <c r="BK597" s="1285">
        <f t="shared" si="6"/>
        <v>0</v>
      </c>
      <c r="BL597" s="1285"/>
      <c r="BM597" s="1285"/>
      <c r="BN597" s="1285"/>
      <c r="BO597" s="1285"/>
      <c r="BP597" s="1285">
        <f t="shared" si="7"/>
        <v>0</v>
      </c>
      <c r="BQ597" s="1285"/>
      <c r="BR597" s="1285"/>
      <c r="BS597" s="1285"/>
      <c r="BT597" s="1285"/>
      <c r="BU597" s="1285">
        <f t="shared" si="8"/>
        <v>16</v>
      </c>
      <c r="BV597" s="1285"/>
      <c r="BW597" s="1285"/>
      <c r="BX597" s="1285"/>
      <c r="BY597" s="1285"/>
      <c r="BZ597" s="1285">
        <f t="shared" si="9"/>
        <v>0</v>
      </c>
      <c r="CA597" s="1285"/>
      <c r="CB597" s="1285"/>
      <c r="CC597" s="1285"/>
      <c r="CD597" s="1285"/>
      <c r="CE597" s="1564">
        <f t="shared" si="10"/>
        <v>0</v>
      </c>
      <c r="CF597" s="1564"/>
      <c r="CG597" s="1564"/>
      <c r="CH597" s="1564"/>
      <c r="CI597" s="1564"/>
      <c r="CJ597" s="1564">
        <f t="shared" si="11"/>
        <v>0</v>
      </c>
      <c r="CK597" s="1564"/>
      <c r="CL597" s="1564"/>
      <c r="CM597" s="1564"/>
      <c r="CN597" s="1564"/>
      <c r="CO597" s="1564">
        <f t="shared" si="12"/>
        <v>0</v>
      </c>
      <c r="CP597" s="1564"/>
      <c r="CQ597" s="1564"/>
      <c r="CR597" s="1564"/>
      <c r="CS597" s="1564"/>
      <c r="CT597" s="1564">
        <f t="shared" si="13"/>
        <v>0</v>
      </c>
      <c r="CU597" s="1564"/>
      <c r="CV597" s="1564"/>
      <c r="CW597" s="1564"/>
      <c r="CX597" s="1564"/>
      <c r="CY597" s="1564">
        <f t="shared" si="14"/>
        <v>0</v>
      </c>
      <c r="CZ597" s="1564"/>
      <c r="DA597" s="1564"/>
      <c r="DB597" s="1564"/>
      <c r="DC597" s="1564"/>
      <c r="DD597" s="1564">
        <f t="shared" si="15"/>
        <v>0</v>
      </c>
      <c r="DE597" s="1564"/>
      <c r="DF597" s="1564"/>
      <c r="DG597" s="1564"/>
      <c r="DH597" s="1564"/>
    </row>
    <row r="598" spans="1:112" s="7" customFormat="1" ht="12.75">
      <c r="A598" s="35"/>
      <c r="B598" s="12" t="s">
        <v>22</v>
      </c>
      <c r="C598" s="12"/>
      <c r="D598" s="12"/>
      <c r="E598" s="12"/>
      <c r="F598" s="12"/>
      <c r="G598" s="12"/>
      <c r="H598" s="12"/>
      <c r="I598" s="12"/>
      <c r="J598" s="12"/>
      <c r="K598" s="12"/>
      <c r="L598" s="12"/>
      <c r="M598" s="12"/>
      <c r="N598" s="1117" t="s">
        <v>722</v>
      </c>
      <c r="O598" s="1117"/>
      <c r="P598" s="12"/>
      <c r="Q598" s="12"/>
      <c r="R598" s="12"/>
      <c r="S598" s="12"/>
      <c r="T598" s="35"/>
      <c r="U598" s="12" t="s">
        <v>22</v>
      </c>
      <c r="V598" s="12"/>
      <c r="W598" s="12"/>
      <c r="X598" s="12"/>
      <c r="Y598" s="12"/>
      <c r="Z598" s="12"/>
      <c r="AA598" s="12"/>
      <c r="AB598" s="12"/>
      <c r="AC598" s="12"/>
      <c r="AD598" s="12"/>
      <c r="AE598" s="12"/>
      <c r="AF598" s="12"/>
      <c r="AG598" s="1117" t="s">
        <v>722</v>
      </c>
      <c r="AH598" s="1117"/>
      <c r="AI598" s="12"/>
      <c r="AJ598" s="12"/>
      <c r="AK598" s="12"/>
      <c r="AL598" s="12"/>
      <c r="AM598" s="58"/>
      <c r="AN598" s="58"/>
      <c r="AO598" s="58"/>
      <c r="AP598" s="58"/>
      <c r="AQ598" s="58"/>
      <c r="AR598" s="1251">
        <f t="shared" si="0"/>
        <v>0</v>
      </c>
      <c r="AS598" s="1252"/>
      <c r="AT598" s="1288">
        <f t="shared" si="1"/>
        <v>0</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0</v>
      </c>
      <c r="BL598" s="1285"/>
      <c r="BM598" s="1285"/>
      <c r="BN598" s="1285"/>
      <c r="BO598" s="1285"/>
      <c r="BP598" s="1285">
        <f t="shared" si="7"/>
        <v>0</v>
      </c>
      <c r="BQ598" s="1285"/>
      <c r="BR598" s="1285"/>
      <c r="BS598" s="1285"/>
      <c r="BT598" s="1285"/>
      <c r="BU598" s="1285">
        <f t="shared" si="8"/>
        <v>6</v>
      </c>
      <c r="BV598" s="1285"/>
      <c r="BW598" s="1285"/>
      <c r="BX598" s="1285"/>
      <c r="BY598" s="1285"/>
      <c r="BZ598" s="1285">
        <f t="shared" si="9"/>
        <v>0</v>
      </c>
      <c r="CA598" s="1285"/>
      <c r="CB598" s="1285"/>
      <c r="CC598" s="1285"/>
      <c r="CD598" s="1285"/>
      <c r="CE598" s="1564">
        <f t="shared" si="10"/>
        <v>0</v>
      </c>
      <c r="CF598" s="1564"/>
      <c r="CG598" s="1564"/>
      <c r="CH598" s="1564"/>
      <c r="CI598" s="1564"/>
      <c r="CJ598" s="1564">
        <f t="shared" si="11"/>
        <v>0</v>
      </c>
      <c r="CK598" s="1564"/>
      <c r="CL598" s="1564"/>
      <c r="CM598" s="1564"/>
      <c r="CN598" s="1564"/>
      <c r="CO598" s="1564">
        <f t="shared" si="12"/>
        <v>0</v>
      </c>
      <c r="CP598" s="1564"/>
      <c r="CQ598" s="1564"/>
      <c r="CR598" s="1564"/>
      <c r="CS598" s="1564"/>
      <c r="CT598" s="1564">
        <f t="shared" si="13"/>
        <v>0</v>
      </c>
      <c r="CU598" s="1564"/>
      <c r="CV598" s="1564"/>
      <c r="CW598" s="1564"/>
      <c r="CX598" s="1564"/>
      <c r="CY598" s="1564">
        <f t="shared" si="14"/>
        <v>0</v>
      </c>
      <c r="CZ598" s="1564"/>
      <c r="DA598" s="1564"/>
      <c r="DB598" s="1564"/>
      <c r="DC598" s="1564"/>
      <c r="DD598" s="1564">
        <f t="shared" si="15"/>
        <v>0</v>
      </c>
      <c r="DE598" s="1564"/>
      <c r="DF598" s="1564"/>
      <c r="DG598" s="1564"/>
      <c r="DH598" s="156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0</v>
      </c>
      <c r="BG599" s="1285"/>
      <c r="BH599" s="1285"/>
      <c r="BI599" s="1285"/>
      <c r="BJ599" s="1285"/>
      <c r="BK599" s="1285">
        <f t="shared" si="6"/>
        <v>0</v>
      </c>
      <c r="BL599" s="1285"/>
      <c r="BM599" s="1285"/>
      <c r="BN599" s="1285"/>
      <c r="BO599" s="1285"/>
      <c r="BP599" s="1285">
        <f t="shared" si="7"/>
        <v>0</v>
      </c>
      <c r="BQ599" s="1285"/>
      <c r="BR599" s="1285"/>
      <c r="BS599" s="1285"/>
      <c r="BT599" s="1285"/>
      <c r="BU599" s="1285">
        <f t="shared" si="8"/>
        <v>4</v>
      </c>
      <c r="BV599" s="1285"/>
      <c r="BW599" s="1285"/>
      <c r="BX599" s="1285"/>
      <c r="BY599" s="1285"/>
      <c r="BZ599" s="1285">
        <f t="shared" si="9"/>
        <v>0</v>
      </c>
      <c r="CA599" s="1285"/>
      <c r="CB599" s="1285"/>
      <c r="CC599" s="1285"/>
      <c r="CD599" s="1285"/>
      <c r="CE599" s="1564">
        <f t="shared" si="10"/>
        <v>0</v>
      </c>
      <c r="CF599" s="1564"/>
      <c r="CG599" s="1564"/>
      <c r="CH599" s="1564"/>
      <c r="CI599" s="1564"/>
      <c r="CJ599" s="1564">
        <f t="shared" si="11"/>
        <v>0</v>
      </c>
      <c r="CK599" s="1564"/>
      <c r="CL599" s="1564"/>
      <c r="CM599" s="1564"/>
      <c r="CN599" s="1564"/>
      <c r="CO599" s="1564">
        <f t="shared" si="12"/>
        <v>0</v>
      </c>
      <c r="CP599" s="1564"/>
      <c r="CQ599" s="1564"/>
      <c r="CR599" s="1564"/>
      <c r="CS599" s="1564"/>
      <c r="CT599" s="1564">
        <f t="shared" si="13"/>
        <v>0</v>
      </c>
      <c r="CU599" s="1564"/>
      <c r="CV599" s="1564"/>
      <c r="CW599" s="1564"/>
      <c r="CX599" s="1564"/>
      <c r="CY599" s="1564">
        <f t="shared" si="14"/>
        <v>0</v>
      </c>
      <c r="CZ599" s="1564"/>
      <c r="DA599" s="1564"/>
      <c r="DB599" s="1564"/>
      <c r="DC599" s="1564"/>
      <c r="DD599" s="1564">
        <f t="shared" si="15"/>
        <v>0</v>
      </c>
      <c r="DE599" s="1564"/>
      <c r="DF599" s="1564"/>
      <c r="DG599" s="1564"/>
      <c r="DH599" s="1564"/>
    </row>
    <row r="600" spans="1:112" ht="12.75">
      <c r="A600" s="87" t="s">
        <v>385</v>
      </c>
      <c r="B600" s="12" t="s">
        <v>509</v>
      </c>
      <c r="G600" s="1176">
        <f>C555</f>
        <v>0</v>
      </c>
      <c r="H600" s="1176"/>
      <c r="I600" s="1176"/>
      <c r="J600" s="1176"/>
      <c r="K600" s="1176"/>
      <c r="L600" s="1176"/>
      <c r="M600" s="1176"/>
      <c r="N600" s="1176"/>
      <c r="O600" s="1176"/>
      <c r="P600" s="1176"/>
      <c r="Q600" s="1176"/>
      <c r="R600" s="1176"/>
      <c r="T600" s="87" t="s">
        <v>386</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0</v>
      </c>
      <c r="BL600" s="1285"/>
      <c r="BM600" s="1285"/>
      <c r="BN600" s="1285"/>
      <c r="BO600" s="1285"/>
      <c r="BP600" s="1285">
        <f t="shared" si="7"/>
        <v>0</v>
      </c>
      <c r="BQ600" s="1285"/>
      <c r="BR600" s="1285"/>
      <c r="BS600" s="1285"/>
      <c r="BT600" s="1285"/>
      <c r="BU600" s="1285">
        <f t="shared" si="8"/>
        <v>7</v>
      </c>
      <c r="BV600" s="1285"/>
      <c r="BW600" s="1285"/>
      <c r="BX600" s="1285"/>
      <c r="BY600" s="1285"/>
      <c r="BZ600" s="1285">
        <f t="shared" si="9"/>
        <v>0</v>
      </c>
      <c r="CA600" s="1285"/>
      <c r="CB600" s="1285"/>
      <c r="CC600" s="1285"/>
      <c r="CD600" s="1285"/>
      <c r="CE600" s="1564">
        <f t="shared" si="10"/>
        <v>0</v>
      </c>
      <c r="CF600" s="1564"/>
      <c r="CG600" s="1564"/>
      <c r="CH600" s="1564"/>
      <c r="CI600" s="1564"/>
      <c r="CJ600" s="1564">
        <f t="shared" si="11"/>
        <v>0</v>
      </c>
      <c r="CK600" s="1564"/>
      <c r="CL600" s="1564"/>
      <c r="CM600" s="1564"/>
      <c r="CN600" s="1564"/>
      <c r="CO600" s="1564">
        <f t="shared" si="12"/>
        <v>0</v>
      </c>
      <c r="CP600" s="1564"/>
      <c r="CQ600" s="1564"/>
      <c r="CR600" s="1564"/>
      <c r="CS600" s="1564"/>
      <c r="CT600" s="1564">
        <f t="shared" si="13"/>
        <v>0</v>
      </c>
      <c r="CU600" s="1564"/>
      <c r="CV600" s="1564"/>
      <c r="CW600" s="1564"/>
      <c r="CX600" s="1564"/>
      <c r="CY600" s="1564">
        <f t="shared" si="14"/>
        <v>0</v>
      </c>
      <c r="CZ600" s="1564"/>
      <c r="DA600" s="1564"/>
      <c r="DB600" s="1564"/>
      <c r="DC600" s="1564"/>
      <c r="DD600" s="1564">
        <f t="shared" si="15"/>
        <v>0</v>
      </c>
      <c r="DE600" s="1564"/>
      <c r="DF600" s="1564"/>
      <c r="DG600" s="1564"/>
      <c r="DH600" s="1564"/>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0</v>
      </c>
      <c r="BQ601" s="1285"/>
      <c r="BR601" s="1285"/>
      <c r="BS601" s="1285"/>
      <c r="BT601" s="1285"/>
      <c r="BU601" s="1285">
        <f t="shared" si="8"/>
        <v>0</v>
      </c>
      <c r="BV601" s="1285"/>
      <c r="BW601" s="1285"/>
      <c r="BX601" s="1285"/>
      <c r="BY601" s="1285"/>
      <c r="BZ601" s="1285">
        <f t="shared" si="9"/>
        <v>0</v>
      </c>
      <c r="CA601" s="1285"/>
      <c r="CB601" s="1285"/>
      <c r="CC601" s="1285"/>
      <c r="CD601" s="1285"/>
      <c r="CE601" s="1564">
        <f t="shared" si="10"/>
        <v>0</v>
      </c>
      <c r="CF601" s="1564"/>
      <c r="CG601" s="1564"/>
      <c r="CH601" s="1564"/>
      <c r="CI601" s="1564"/>
      <c r="CJ601" s="1564">
        <f t="shared" si="11"/>
        <v>0</v>
      </c>
      <c r="CK601" s="1564"/>
      <c r="CL601" s="1564"/>
      <c r="CM601" s="1564"/>
      <c r="CN601" s="1564"/>
      <c r="CO601" s="1564">
        <f t="shared" si="12"/>
        <v>0</v>
      </c>
      <c r="CP601" s="1564"/>
      <c r="CQ601" s="1564"/>
      <c r="CR601" s="1564"/>
      <c r="CS601" s="1564"/>
      <c r="CT601" s="1564">
        <f t="shared" si="13"/>
        <v>0</v>
      </c>
      <c r="CU601" s="1564"/>
      <c r="CV601" s="1564"/>
      <c r="CW601" s="1564"/>
      <c r="CX601" s="1564"/>
      <c r="CY601" s="1564">
        <f t="shared" si="14"/>
        <v>0</v>
      </c>
      <c r="CZ601" s="1564"/>
      <c r="DA601" s="1564"/>
      <c r="DB601" s="1564"/>
      <c r="DC601" s="1564"/>
      <c r="DD601" s="1564">
        <f t="shared" si="15"/>
        <v>0</v>
      </c>
      <c r="DE601" s="1564"/>
      <c r="DF601" s="1564"/>
      <c r="DG601" s="1564"/>
      <c r="DH601" s="1564"/>
    </row>
    <row r="602" spans="1:112" ht="12.75">
      <c r="B602" s="12" t="s">
        <v>630</v>
      </c>
      <c r="G602" s="1089"/>
      <c r="H602" s="1089"/>
      <c r="I602" s="1089"/>
      <c r="J602" s="1089"/>
      <c r="K602" s="1089"/>
      <c r="L602" s="1089"/>
      <c r="M602" s="1089"/>
      <c r="N602" s="1089"/>
      <c r="O602" s="1089"/>
      <c r="P602" s="1089"/>
      <c r="Q602" s="1089"/>
      <c r="R602" s="1089"/>
      <c r="U602" s="12" t="s">
        <v>630</v>
      </c>
      <c r="Z602" s="1088"/>
      <c r="AA602" s="1088"/>
      <c r="AB602" s="1088"/>
      <c r="AC602" s="1088"/>
      <c r="AD602" s="1088"/>
      <c r="AE602" s="1088"/>
      <c r="AF602" s="1088"/>
      <c r="AG602" s="1088"/>
      <c r="AH602" s="1088"/>
      <c r="AI602" s="1088"/>
      <c r="AJ602" s="1088"/>
      <c r="AK602" s="1088"/>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64">
        <f t="shared" si="10"/>
        <v>0</v>
      </c>
      <c r="CF602" s="1564"/>
      <c r="CG602" s="1564"/>
      <c r="CH602" s="1564"/>
      <c r="CI602" s="1564"/>
      <c r="CJ602" s="1564">
        <f t="shared" si="11"/>
        <v>0</v>
      </c>
      <c r="CK602" s="1564"/>
      <c r="CL602" s="1564"/>
      <c r="CM602" s="1564"/>
      <c r="CN602" s="1564"/>
      <c r="CO602" s="1564">
        <f t="shared" si="12"/>
        <v>0</v>
      </c>
      <c r="CP602" s="1564"/>
      <c r="CQ602" s="1564"/>
      <c r="CR602" s="1564"/>
      <c r="CS602" s="1564"/>
      <c r="CT602" s="1564">
        <f t="shared" si="13"/>
        <v>0</v>
      </c>
      <c r="CU602" s="1564"/>
      <c r="CV602" s="1564"/>
      <c r="CW602" s="1564"/>
      <c r="CX602" s="1564"/>
      <c r="CY602" s="1564">
        <f t="shared" si="14"/>
        <v>0</v>
      </c>
      <c r="CZ602" s="1564"/>
      <c r="DA602" s="1564"/>
      <c r="DB602" s="1564"/>
      <c r="DC602" s="1564"/>
      <c r="DD602" s="1564">
        <f t="shared" si="15"/>
        <v>0</v>
      </c>
      <c r="DE602" s="1564"/>
      <c r="DF602" s="1564"/>
      <c r="DG602" s="1564"/>
      <c r="DH602" s="1564"/>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64">
        <f t="shared" si="10"/>
        <v>0</v>
      </c>
      <c r="CF603" s="1564"/>
      <c r="CG603" s="1564"/>
      <c r="CH603" s="1564"/>
      <c r="CI603" s="1564"/>
      <c r="CJ603" s="1564">
        <f t="shared" si="11"/>
        <v>0</v>
      </c>
      <c r="CK603" s="1564"/>
      <c r="CL603" s="1564"/>
      <c r="CM603" s="1564"/>
      <c r="CN603" s="1564"/>
      <c r="CO603" s="1564">
        <f t="shared" si="12"/>
        <v>0</v>
      </c>
      <c r="CP603" s="1564"/>
      <c r="CQ603" s="1564"/>
      <c r="CR603" s="1564"/>
      <c r="CS603" s="1564"/>
      <c r="CT603" s="1564">
        <f t="shared" si="13"/>
        <v>0</v>
      </c>
      <c r="CU603" s="1564"/>
      <c r="CV603" s="1564"/>
      <c r="CW603" s="1564"/>
      <c r="CX603" s="1564"/>
      <c r="CY603" s="1564">
        <f t="shared" si="14"/>
        <v>0</v>
      </c>
      <c r="CZ603" s="1564"/>
      <c r="DA603" s="1564"/>
      <c r="DB603" s="1564"/>
      <c r="DC603" s="1564"/>
      <c r="DD603" s="1564">
        <f t="shared" si="15"/>
        <v>0</v>
      </c>
      <c r="DE603" s="1564"/>
      <c r="DF603" s="1564"/>
      <c r="DG603" s="1564"/>
      <c r="DH603" s="1564"/>
    </row>
    <row r="604" spans="1:112" ht="12.75">
      <c r="B604" s="12" t="s">
        <v>337</v>
      </c>
      <c r="G604" s="1123"/>
      <c r="H604" s="1123"/>
      <c r="I604" s="1123"/>
      <c r="J604" s="1123"/>
      <c r="K604" s="1123"/>
      <c r="L604" s="1123"/>
      <c r="O604" s="140" t="s">
        <v>219</v>
      </c>
      <c r="P604" s="1153"/>
      <c r="Q604" s="1153"/>
      <c r="R604" s="1153"/>
      <c r="U604" s="12" t="s">
        <v>337</v>
      </c>
      <c r="Z604" s="1123"/>
      <c r="AA604" s="1123"/>
      <c r="AB604" s="1123"/>
      <c r="AC604" s="1123"/>
      <c r="AD604" s="1123"/>
      <c r="AE604" s="1123"/>
      <c r="AH604" s="140" t="s">
        <v>219</v>
      </c>
      <c r="AI604" s="1153"/>
      <c r="AJ604" s="1153"/>
      <c r="AK604" s="1153"/>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64">
        <f t="shared" si="10"/>
        <v>0</v>
      </c>
      <c r="CF604" s="1564"/>
      <c r="CG604" s="1564"/>
      <c r="CH604" s="1564"/>
      <c r="CI604" s="1564"/>
      <c r="CJ604" s="1564">
        <f t="shared" si="11"/>
        <v>0</v>
      </c>
      <c r="CK604" s="1564"/>
      <c r="CL604" s="1564"/>
      <c r="CM604" s="1564"/>
      <c r="CN604" s="1564"/>
      <c r="CO604" s="1564">
        <f t="shared" si="12"/>
        <v>0</v>
      </c>
      <c r="CP604" s="1564"/>
      <c r="CQ604" s="1564"/>
      <c r="CR604" s="1564"/>
      <c r="CS604" s="1564"/>
      <c r="CT604" s="1564">
        <f t="shared" si="13"/>
        <v>0</v>
      </c>
      <c r="CU604" s="1564"/>
      <c r="CV604" s="1564"/>
      <c r="CW604" s="1564"/>
      <c r="CX604" s="1564"/>
      <c r="CY604" s="1564">
        <f t="shared" si="14"/>
        <v>0</v>
      </c>
      <c r="CZ604" s="1564"/>
      <c r="DA604" s="1564"/>
      <c r="DB604" s="1564"/>
      <c r="DC604" s="1564"/>
      <c r="DD604" s="1564">
        <f t="shared" si="15"/>
        <v>0</v>
      </c>
      <c r="DE604" s="1564"/>
      <c r="DF604" s="1564"/>
      <c r="DG604" s="1564"/>
      <c r="DH604" s="1564"/>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64">
        <f t="shared" si="10"/>
        <v>0</v>
      </c>
      <c r="CF605" s="1564"/>
      <c r="CG605" s="1564"/>
      <c r="CH605" s="1564"/>
      <c r="CI605" s="1564"/>
      <c r="CJ605" s="1564">
        <f t="shared" si="11"/>
        <v>0</v>
      </c>
      <c r="CK605" s="1564"/>
      <c r="CL605" s="1564"/>
      <c r="CM605" s="1564"/>
      <c r="CN605" s="1564"/>
      <c r="CO605" s="1564">
        <f t="shared" si="12"/>
        <v>0</v>
      </c>
      <c r="CP605" s="1564"/>
      <c r="CQ605" s="1564"/>
      <c r="CR605" s="1564"/>
      <c r="CS605" s="1564"/>
      <c r="CT605" s="1564">
        <f t="shared" si="13"/>
        <v>0</v>
      </c>
      <c r="CU605" s="1564"/>
      <c r="CV605" s="1564"/>
      <c r="CW605" s="1564"/>
      <c r="CX605" s="1564"/>
      <c r="CY605" s="1564">
        <f t="shared" si="14"/>
        <v>0</v>
      </c>
      <c r="CZ605" s="1564"/>
      <c r="DA605" s="1564"/>
      <c r="DB605" s="1564"/>
      <c r="DC605" s="1564"/>
      <c r="DD605" s="1564">
        <f t="shared" si="15"/>
        <v>0</v>
      </c>
      <c r="DE605" s="1564"/>
      <c r="DF605" s="1564"/>
      <c r="DG605" s="1564"/>
      <c r="DH605" s="1564"/>
    </row>
    <row r="606" spans="1:112" ht="12.75">
      <c r="B606" s="12" t="s">
        <v>22</v>
      </c>
      <c r="N606" s="1117" t="s">
        <v>722</v>
      </c>
      <c r="O606" s="1117"/>
      <c r="U606" s="12" t="s">
        <v>22</v>
      </c>
      <c r="AG606" s="1117" t="s">
        <v>722</v>
      </c>
      <c r="AH606" s="1117"/>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64">
        <f t="shared" si="10"/>
        <v>0</v>
      </c>
      <c r="CF606" s="1564"/>
      <c r="CG606" s="1564"/>
      <c r="CH606" s="1564"/>
      <c r="CI606" s="1564"/>
      <c r="CJ606" s="1564">
        <f t="shared" si="11"/>
        <v>0</v>
      </c>
      <c r="CK606" s="1564"/>
      <c r="CL606" s="1564"/>
      <c r="CM606" s="1564"/>
      <c r="CN606" s="1564"/>
      <c r="CO606" s="1564">
        <f t="shared" si="12"/>
        <v>0</v>
      </c>
      <c r="CP606" s="1564"/>
      <c r="CQ606" s="1564"/>
      <c r="CR606" s="1564"/>
      <c r="CS606" s="1564"/>
      <c r="CT606" s="1564">
        <f t="shared" si="13"/>
        <v>0</v>
      </c>
      <c r="CU606" s="1564"/>
      <c r="CV606" s="1564"/>
      <c r="CW606" s="1564"/>
      <c r="CX606" s="1564"/>
      <c r="CY606" s="1564">
        <f t="shared" si="14"/>
        <v>0</v>
      </c>
      <c r="CZ606" s="1564"/>
      <c r="DA606" s="1564"/>
      <c r="DB606" s="1564"/>
      <c r="DC606" s="1564"/>
      <c r="DD606" s="1564">
        <f t="shared" si="15"/>
        <v>0</v>
      </c>
      <c r="DE606" s="1564"/>
      <c r="DF606" s="1564"/>
      <c r="DG606" s="1564"/>
      <c r="DH606" s="1564"/>
    </row>
    <row r="607" spans="1:112" ht="12.75">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64">
        <f t="shared" si="10"/>
        <v>0</v>
      </c>
      <c r="CF607" s="1564"/>
      <c r="CG607" s="1564"/>
      <c r="CH607" s="1564"/>
      <c r="CI607" s="1564"/>
      <c r="CJ607" s="1564">
        <f t="shared" si="11"/>
        <v>0</v>
      </c>
      <c r="CK607" s="1564"/>
      <c r="CL607" s="1564"/>
      <c r="CM607" s="1564"/>
      <c r="CN607" s="1564"/>
      <c r="CO607" s="1564">
        <f t="shared" si="12"/>
        <v>0</v>
      </c>
      <c r="CP607" s="1564"/>
      <c r="CQ607" s="1564"/>
      <c r="CR607" s="1564"/>
      <c r="CS607" s="1564"/>
      <c r="CT607" s="1564">
        <f t="shared" si="13"/>
        <v>0</v>
      </c>
      <c r="CU607" s="1564"/>
      <c r="CV607" s="1564"/>
      <c r="CW607" s="1564"/>
      <c r="CX607" s="1564"/>
      <c r="CY607" s="1564">
        <f t="shared" si="14"/>
        <v>0</v>
      </c>
      <c r="CZ607" s="1564"/>
      <c r="DA607" s="1564"/>
      <c r="DB607" s="1564"/>
      <c r="DC607" s="1564"/>
      <c r="DD607" s="1564">
        <f t="shared" si="15"/>
        <v>0</v>
      </c>
      <c r="DE607" s="1564"/>
      <c r="DF607" s="1564"/>
      <c r="DG607" s="1564"/>
      <c r="DH607" s="1564"/>
    </row>
    <row r="608" spans="1:112" ht="12.75">
      <c r="A608" s="1300" t="s">
        <v>590</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64">
        <f t="shared" si="10"/>
        <v>0</v>
      </c>
      <c r="CF608" s="1564"/>
      <c r="CG608" s="1564"/>
      <c r="CH608" s="1564"/>
      <c r="CI608" s="1564"/>
      <c r="CJ608" s="1564">
        <f t="shared" si="11"/>
        <v>0</v>
      </c>
      <c r="CK608" s="1564"/>
      <c r="CL608" s="1564"/>
      <c r="CM608" s="1564"/>
      <c r="CN608" s="1564"/>
      <c r="CO608" s="1564">
        <f t="shared" si="12"/>
        <v>0</v>
      </c>
      <c r="CP608" s="1564"/>
      <c r="CQ608" s="1564"/>
      <c r="CR608" s="1564"/>
      <c r="CS608" s="1564"/>
      <c r="CT608" s="1564">
        <f t="shared" si="13"/>
        <v>0</v>
      </c>
      <c r="CU608" s="1564"/>
      <c r="CV608" s="1564"/>
      <c r="CW608" s="1564"/>
      <c r="CX608" s="1564"/>
      <c r="CY608" s="1564">
        <f t="shared" si="14"/>
        <v>0</v>
      </c>
      <c r="CZ608" s="1564"/>
      <c r="DA608" s="1564"/>
      <c r="DB608" s="1564"/>
      <c r="DC608" s="1564"/>
      <c r="DD608" s="1564">
        <f t="shared" si="15"/>
        <v>0</v>
      </c>
      <c r="DE608" s="1564"/>
      <c r="DF608" s="1564"/>
      <c r="DG608" s="1564"/>
      <c r="DH608" s="1564"/>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64">
        <f t="shared" si="10"/>
        <v>0</v>
      </c>
      <c r="CF609" s="1564"/>
      <c r="CG609" s="1564"/>
      <c r="CH609" s="1564"/>
      <c r="CI609" s="1564"/>
      <c r="CJ609" s="1564">
        <f t="shared" si="11"/>
        <v>0</v>
      </c>
      <c r="CK609" s="1564"/>
      <c r="CL609" s="1564"/>
      <c r="CM609" s="1564"/>
      <c r="CN609" s="1564"/>
      <c r="CO609" s="1564">
        <f t="shared" si="12"/>
        <v>0</v>
      </c>
      <c r="CP609" s="1564"/>
      <c r="CQ609" s="1564"/>
      <c r="CR609" s="1564"/>
      <c r="CS609" s="1564"/>
      <c r="CT609" s="1564">
        <f t="shared" si="13"/>
        <v>0</v>
      </c>
      <c r="CU609" s="1564"/>
      <c r="CV609" s="1564"/>
      <c r="CW609" s="1564"/>
      <c r="CX609" s="1564"/>
      <c r="CY609" s="1564">
        <f t="shared" si="14"/>
        <v>0</v>
      </c>
      <c r="CZ609" s="1564"/>
      <c r="DA609" s="1564"/>
      <c r="DB609" s="1564"/>
      <c r="DC609" s="1564"/>
      <c r="DD609" s="1564">
        <f t="shared" si="15"/>
        <v>0</v>
      </c>
      <c r="DE609" s="1564"/>
      <c r="DF609" s="1564"/>
      <c r="DG609" s="1564"/>
      <c r="DH609" s="1564"/>
    </row>
    <row r="610" spans="1:112" ht="13.5"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64">
        <f t="shared" si="10"/>
        <v>0</v>
      </c>
      <c r="CF610" s="1564"/>
      <c r="CG610" s="1564"/>
      <c r="CH610" s="1564"/>
      <c r="CI610" s="1564"/>
      <c r="CJ610" s="1564">
        <f t="shared" si="11"/>
        <v>0</v>
      </c>
      <c r="CK610" s="1564"/>
      <c r="CL610" s="1564"/>
      <c r="CM610" s="1564"/>
      <c r="CN610" s="1564"/>
      <c r="CO610" s="1564">
        <f t="shared" si="12"/>
        <v>0</v>
      </c>
      <c r="CP610" s="1564"/>
      <c r="CQ610" s="1564"/>
      <c r="CR610" s="1564"/>
      <c r="CS610" s="1564"/>
      <c r="CT610" s="1564">
        <f t="shared" si="13"/>
        <v>0</v>
      </c>
      <c r="CU610" s="1564"/>
      <c r="CV610" s="1564"/>
      <c r="CW610" s="1564"/>
      <c r="CX610" s="1564"/>
      <c r="CY610" s="1564">
        <f t="shared" si="14"/>
        <v>0</v>
      </c>
      <c r="CZ610" s="1564"/>
      <c r="DA610" s="1564"/>
      <c r="DB610" s="1564"/>
      <c r="DC610" s="1564"/>
      <c r="DD610" s="1564">
        <f t="shared" si="15"/>
        <v>0</v>
      </c>
      <c r="DE610" s="1564"/>
      <c r="DF610" s="1564"/>
      <c r="DG610" s="1564"/>
      <c r="DH610" s="1564"/>
    </row>
    <row r="611" spans="1:112" ht="12.75">
      <c r="A611" s="50" t="s">
        <v>340</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64">
        <f t="shared" si="10"/>
        <v>0</v>
      </c>
      <c r="CF611" s="1564"/>
      <c r="CG611" s="1564"/>
      <c r="CH611" s="1564"/>
      <c r="CI611" s="1564"/>
      <c r="CJ611" s="1564">
        <f t="shared" si="11"/>
        <v>0</v>
      </c>
      <c r="CK611" s="1564"/>
      <c r="CL611" s="1564"/>
      <c r="CM611" s="1564"/>
      <c r="CN611" s="1564"/>
      <c r="CO611" s="1564">
        <f t="shared" si="12"/>
        <v>0</v>
      </c>
      <c r="CP611" s="1564"/>
      <c r="CQ611" s="1564"/>
      <c r="CR611" s="1564"/>
      <c r="CS611" s="1564"/>
      <c r="CT611" s="1564">
        <f t="shared" si="13"/>
        <v>0</v>
      </c>
      <c r="CU611" s="1564"/>
      <c r="CV611" s="1564"/>
      <c r="CW611" s="1564"/>
      <c r="CX611" s="1564"/>
      <c r="CY611" s="1564">
        <f t="shared" si="14"/>
        <v>0</v>
      </c>
      <c r="CZ611" s="1564"/>
      <c r="DA611" s="1564"/>
      <c r="DB611" s="1564"/>
      <c r="DC611" s="1564"/>
      <c r="DD611" s="1564">
        <f t="shared" si="15"/>
        <v>0</v>
      </c>
      <c r="DE611" s="1564"/>
      <c r="DF611" s="1564"/>
      <c r="DG611" s="1564"/>
      <c r="DH611" s="1564"/>
    </row>
    <row r="612" spans="1:112" ht="12.75">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64">
        <f t="shared" si="10"/>
        <v>0</v>
      </c>
      <c r="CF612" s="1564"/>
      <c r="CG612" s="1564"/>
      <c r="CH612" s="1564"/>
      <c r="CI612" s="1564"/>
      <c r="CJ612" s="1564">
        <f t="shared" si="11"/>
        <v>0</v>
      </c>
      <c r="CK612" s="1564"/>
      <c r="CL612" s="1564"/>
      <c r="CM612" s="1564"/>
      <c r="CN612" s="1564"/>
      <c r="CO612" s="1564">
        <f t="shared" si="12"/>
        <v>0</v>
      </c>
      <c r="CP612" s="1564"/>
      <c r="CQ612" s="1564"/>
      <c r="CR612" s="1564"/>
      <c r="CS612" s="1564"/>
      <c r="CT612" s="1564">
        <f t="shared" si="13"/>
        <v>0</v>
      </c>
      <c r="CU612" s="1564"/>
      <c r="CV612" s="1564"/>
      <c r="CW612" s="1564"/>
      <c r="CX612" s="1564"/>
      <c r="CY612" s="1564">
        <f t="shared" si="14"/>
        <v>0</v>
      </c>
      <c r="CZ612" s="1564"/>
      <c r="DA612" s="1564"/>
      <c r="DB612" s="1564"/>
      <c r="DC612" s="1564"/>
      <c r="DD612" s="1564">
        <f t="shared" si="15"/>
        <v>0</v>
      </c>
      <c r="DE612" s="1564"/>
      <c r="DF612" s="1564"/>
      <c r="DG612" s="1564"/>
      <c r="DH612" s="156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64">
        <f t="shared" si="10"/>
        <v>0</v>
      </c>
      <c r="CF613" s="1564"/>
      <c r="CG613" s="1564"/>
      <c r="CH613" s="1564"/>
      <c r="CI613" s="1564"/>
      <c r="CJ613" s="1564">
        <f t="shared" si="11"/>
        <v>0</v>
      </c>
      <c r="CK613" s="1564"/>
      <c r="CL613" s="1564"/>
      <c r="CM613" s="1564"/>
      <c r="CN613" s="1564"/>
      <c r="CO613" s="1564">
        <f t="shared" si="12"/>
        <v>0</v>
      </c>
      <c r="CP613" s="1564"/>
      <c r="CQ613" s="1564"/>
      <c r="CR613" s="1564"/>
      <c r="CS613" s="1564"/>
      <c r="CT613" s="1564">
        <f t="shared" si="13"/>
        <v>0</v>
      </c>
      <c r="CU613" s="1564"/>
      <c r="CV613" s="1564"/>
      <c r="CW613" s="1564"/>
      <c r="CX613" s="1564"/>
      <c r="CY613" s="1564">
        <f t="shared" si="14"/>
        <v>0</v>
      </c>
      <c r="CZ613" s="1564"/>
      <c r="DA613" s="1564"/>
      <c r="DB613" s="1564"/>
      <c r="DC613" s="1564"/>
      <c r="DD613" s="1564">
        <f t="shared" si="15"/>
        <v>0</v>
      </c>
      <c r="DE613" s="1564"/>
      <c r="DF613" s="1564"/>
      <c r="DG613" s="1564"/>
      <c r="DH613" s="156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65</v>
      </c>
      <c r="AU614" s="1252"/>
      <c r="AV614" s="58"/>
      <c r="AW614" s="58"/>
      <c r="AX614" s="1251">
        <f>SUM(AX589:AY613)</f>
        <v>0</v>
      </c>
      <c r="AY614" s="1252"/>
      <c r="AZ614" s="58"/>
      <c r="BA614" s="1251">
        <f>SUM(BA589:BE613)</f>
        <v>0</v>
      </c>
      <c r="BB614" s="1286"/>
      <c r="BC614" s="1286"/>
      <c r="BD614" s="1286"/>
      <c r="BE614" s="1252"/>
      <c r="BF614" s="1287">
        <f>SUM(BF589:BJ613)</f>
        <v>0</v>
      </c>
      <c r="BG614" s="1287"/>
      <c r="BH614" s="1287"/>
      <c r="BI614" s="1287"/>
      <c r="BJ614" s="1287"/>
      <c r="BK614" s="1287">
        <f>SUM(BK589:BO613)</f>
        <v>24</v>
      </c>
      <c r="BL614" s="1287"/>
      <c r="BM614" s="1287"/>
      <c r="BN614" s="1287"/>
      <c r="BO614" s="1287"/>
      <c r="BP614" s="1287">
        <f>SUM(BP589:BT613)</f>
        <v>73</v>
      </c>
      <c r="BQ614" s="1287"/>
      <c r="BR614" s="1287"/>
      <c r="BS614" s="1287"/>
      <c r="BT614" s="1287"/>
      <c r="BU614" s="1287">
        <f>SUM(BU589:BY613)</f>
        <v>33</v>
      </c>
      <c r="BV614" s="1287"/>
      <c r="BW614" s="1287"/>
      <c r="BX614" s="1287"/>
      <c r="BY614" s="1287"/>
      <c r="BZ614" s="1287">
        <f>SUM(BZ589:CD613)</f>
        <v>0</v>
      </c>
      <c r="CA614" s="1287"/>
      <c r="CB614" s="1287"/>
      <c r="CC614" s="1287"/>
      <c r="CD614" s="1287"/>
      <c r="CE614" s="1287">
        <f>SUM(CE589:CI613)</f>
        <v>0</v>
      </c>
      <c r="CF614" s="1287"/>
      <c r="CG614" s="1287"/>
      <c r="CH614" s="1287"/>
      <c r="CI614" s="1287"/>
      <c r="CJ614" s="1287">
        <f>SUM(CJ589:CN613)</f>
        <v>0</v>
      </c>
      <c r="CK614" s="1287"/>
      <c r="CL614" s="1287"/>
      <c r="CM614" s="1287"/>
      <c r="CN614" s="1287"/>
      <c r="CO614" s="1287">
        <f>SUM(CO589:CS613)</f>
        <v>0</v>
      </c>
      <c r="CP614" s="1287"/>
      <c r="CQ614" s="1287"/>
      <c r="CR614" s="1287"/>
      <c r="CS614" s="1287"/>
      <c r="CT614" s="1287">
        <f>SUM(CT589:CX613)</f>
        <v>0</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2.75">
      <c r="B615" s="1354" t="s">
        <v>497</v>
      </c>
      <c r="C615" s="1355"/>
      <c r="D615" s="1355"/>
      <c r="E615" s="1355"/>
      <c r="F615" s="1355"/>
      <c r="G615" s="1355"/>
      <c r="H615" s="1355"/>
      <c r="I615" s="1355"/>
      <c r="J615" s="1355"/>
      <c r="K615" s="1355"/>
      <c r="L615" s="1355"/>
      <c r="M615" s="1355"/>
      <c r="N615" s="1355"/>
      <c r="O615" s="1356"/>
      <c r="P615" s="1363" t="s">
        <v>345</v>
      </c>
      <c r="Q615" s="1364"/>
      <c r="R615" s="1365"/>
      <c r="S615" s="1276" t="s">
        <v>498</v>
      </c>
      <c r="T615" s="1277"/>
      <c r="U615" s="1278"/>
      <c r="V615" s="1145" t="s">
        <v>18</v>
      </c>
      <c r="W615" s="1145"/>
      <c r="X615" s="1145"/>
      <c r="Y615" s="1145"/>
      <c r="Z615" s="1145"/>
      <c r="AA615" s="1145"/>
      <c r="AB615" s="1145" t="s">
        <v>17</v>
      </c>
      <c r="AC615" s="1145"/>
      <c r="AD615" s="1145"/>
      <c r="AE615" s="1145"/>
      <c r="AF615" s="1145"/>
      <c r="AG615" s="1145" t="s">
        <v>499</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7"/>
      <c r="C616" s="1358"/>
      <c r="D616" s="1358"/>
      <c r="E616" s="1358"/>
      <c r="F616" s="1358"/>
      <c r="G616" s="1358"/>
      <c r="H616" s="1358"/>
      <c r="I616" s="1358"/>
      <c r="J616" s="1358"/>
      <c r="K616" s="1358"/>
      <c r="L616" s="1358"/>
      <c r="M616" s="1358"/>
      <c r="N616" s="1358"/>
      <c r="O616" s="1359"/>
      <c r="P616" s="1366"/>
      <c r="Q616" s="1367"/>
      <c r="R616" s="1368"/>
      <c r="S616" s="1279"/>
      <c r="T616" s="1280"/>
      <c r="U616" s="1281"/>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0"/>
      <c r="C617" s="1361"/>
      <c r="D617" s="1361"/>
      <c r="E617" s="1361"/>
      <c r="F617" s="1361"/>
      <c r="G617" s="1361"/>
      <c r="H617" s="1361"/>
      <c r="I617" s="1361"/>
      <c r="J617" s="1361"/>
      <c r="K617" s="1361"/>
      <c r="L617" s="1361"/>
      <c r="M617" s="1361"/>
      <c r="N617" s="1361"/>
      <c r="O617" s="1362"/>
      <c r="P617" s="1369"/>
      <c r="Q617" s="1370"/>
      <c r="R617" s="1371"/>
      <c r="S617" s="1282"/>
      <c r="T617" s="1283"/>
      <c r="U617" s="1284"/>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0</v>
      </c>
      <c r="BG617" s="1285"/>
      <c r="BH617" s="1285"/>
      <c r="BI617" s="1285"/>
      <c r="BJ617" s="1285"/>
      <c r="BK617" s="1285">
        <f>IF(J754="2 Bedrooms",O754,0)</f>
        <v>0</v>
      </c>
      <c r="BL617" s="1285"/>
      <c r="BM617" s="1285"/>
      <c r="BN617" s="1285"/>
      <c r="BO617" s="1285"/>
      <c r="BP617" s="1285">
        <f>IF(J754="3 Bedrooms",O754,0)</f>
        <v>1</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75" customHeight="1">
      <c r="B618" s="83" t="s">
        <v>119</v>
      </c>
      <c r="C618" s="1177" t="s">
        <v>1759</v>
      </c>
      <c r="D618" s="1352"/>
      <c r="E618" s="1352"/>
      <c r="F618" s="1352"/>
      <c r="G618" s="1352"/>
      <c r="H618" s="1352"/>
      <c r="I618" s="1352"/>
      <c r="J618" s="1352"/>
      <c r="K618" s="1352"/>
      <c r="L618" s="1352"/>
      <c r="M618" s="1352"/>
      <c r="N618" s="1352"/>
      <c r="O618" s="1353"/>
      <c r="P618" s="1119">
        <v>480</v>
      </c>
      <c r="Q618" s="1120"/>
      <c r="R618" s="1121"/>
      <c r="S618" s="1266">
        <v>4.8500000000000001E-2</v>
      </c>
      <c r="T618" s="1131"/>
      <c r="U618" s="1132"/>
      <c r="V618" s="1119"/>
      <c r="W618" s="1120"/>
      <c r="X618" s="1120"/>
      <c r="Y618" s="1120"/>
      <c r="Z618" s="1120"/>
      <c r="AA618" s="1121"/>
      <c r="AB618" s="1144">
        <v>1388580</v>
      </c>
      <c r="AC618" s="1144"/>
      <c r="AD618" s="1144"/>
      <c r="AE618" s="1144"/>
      <c r="AF618" s="1144"/>
      <c r="AG618" s="1144">
        <v>24500000</v>
      </c>
      <c r="AH618" s="1144"/>
      <c r="AI618" s="1144"/>
      <c r="AJ618" s="1144"/>
      <c r="AK618" s="1144"/>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2.75">
      <c r="B619" s="84" t="s">
        <v>120</v>
      </c>
      <c r="C619" s="1177" t="s">
        <v>1762</v>
      </c>
      <c r="D619" s="1153"/>
      <c r="E619" s="1153"/>
      <c r="F619" s="1153"/>
      <c r="G619" s="1153"/>
      <c r="H619" s="1153"/>
      <c r="I619" s="1153"/>
      <c r="J619" s="1153"/>
      <c r="K619" s="1153"/>
      <c r="L619" s="1153"/>
      <c r="M619" s="1153"/>
      <c r="N619" s="1153"/>
      <c r="O619" s="1178"/>
      <c r="P619" s="1119">
        <v>540</v>
      </c>
      <c r="Q619" s="1120"/>
      <c r="R619" s="1121"/>
      <c r="S619" s="1266">
        <v>0.05</v>
      </c>
      <c r="T619" s="1131"/>
      <c r="U619" s="1132"/>
      <c r="V619" s="1119" t="s">
        <v>503</v>
      </c>
      <c r="W619" s="1120"/>
      <c r="X619" s="1120"/>
      <c r="Y619" s="1120"/>
      <c r="Z619" s="1120"/>
      <c r="AA619" s="1121"/>
      <c r="AB619" s="1144" t="s">
        <v>1779</v>
      </c>
      <c r="AC619" s="1144"/>
      <c r="AD619" s="1144"/>
      <c r="AE619" s="1144"/>
      <c r="AF619" s="1144"/>
      <c r="AG619" s="1144">
        <v>10000000</v>
      </c>
      <c r="AH619" s="1144"/>
      <c r="AI619" s="1144"/>
      <c r="AJ619" s="1144"/>
      <c r="AK619" s="1144"/>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2.75">
      <c r="B620" s="84" t="s">
        <v>126</v>
      </c>
      <c r="C620" s="1177" t="s">
        <v>1758</v>
      </c>
      <c r="D620" s="1153"/>
      <c r="E620" s="1153"/>
      <c r="F620" s="1153"/>
      <c r="G620" s="1153"/>
      <c r="H620" s="1153"/>
      <c r="I620" s="1153"/>
      <c r="J620" s="1153"/>
      <c r="K620" s="1153"/>
      <c r="L620" s="1153"/>
      <c r="M620" s="1153"/>
      <c r="N620" s="1153"/>
      <c r="O620" s="1178"/>
      <c r="P620" s="1119">
        <v>660</v>
      </c>
      <c r="Q620" s="1120"/>
      <c r="R620" s="1121"/>
      <c r="S620" s="1266">
        <v>0.03</v>
      </c>
      <c r="T620" s="1131"/>
      <c r="U620" s="1132"/>
      <c r="V620" s="1119" t="s">
        <v>503</v>
      </c>
      <c r="W620" s="1120"/>
      <c r="X620" s="1120"/>
      <c r="Y620" s="1120"/>
      <c r="Z620" s="1120"/>
      <c r="AA620" s="1121"/>
      <c r="AB620" s="1144" t="s">
        <v>1779</v>
      </c>
      <c r="AC620" s="1144"/>
      <c r="AD620" s="1144"/>
      <c r="AE620" s="1144"/>
      <c r="AF620" s="1144"/>
      <c r="AG620" s="1144">
        <v>6500000</v>
      </c>
      <c r="AH620" s="1144"/>
      <c r="AI620" s="1144"/>
      <c r="AJ620" s="1144"/>
      <c r="AK620" s="1144"/>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2.75">
      <c r="B621" s="84" t="s">
        <v>631</v>
      </c>
      <c r="C621" s="1177" t="s">
        <v>1780</v>
      </c>
      <c r="D621" s="1153"/>
      <c r="E621" s="1153"/>
      <c r="F621" s="1153"/>
      <c r="G621" s="1153"/>
      <c r="H621" s="1153"/>
      <c r="I621" s="1153"/>
      <c r="J621" s="1153"/>
      <c r="K621" s="1153"/>
      <c r="L621" s="1153"/>
      <c r="M621" s="1153"/>
      <c r="N621" s="1153"/>
      <c r="O621" s="1178"/>
      <c r="P621" s="1119">
        <v>156</v>
      </c>
      <c r="Q621" s="1120"/>
      <c r="R621" s="1121"/>
      <c r="S621" s="1266">
        <v>9.9999999999999995E-8</v>
      </c>
      <c r="T621" s="1131"/>
      <c r="U621" s="1132"/>
      <c r="V621" s="1119" t="s">
        <v>503</v>
      </c>
      <c r="W621" s="1120"/>
      <c r="X621" s="1120"/>
      <c r="Y621" s="1120"/>
      <c r="Z621" s="1120"/>
      <c r="AA621" s="1121"/>
      <c r="AB621" s="1144" t="s">
        <v>1779</v>
      </c>
      <c r="AC621" s="1144"/>
      <c r="AD621" s="1144"/>
      <c r="AE621" s="1144"/>
      <c r="AF621" s="1144"/>
      <c r="AG621" s="1144">
        <v>5200000</v>
      </c>
      <c r="AH621" s="1144"/>
      <c r="AI621" s="1144"/>
      <c r="AJ621" s="1144"/>
      <c r="AK621" s="1144"/>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0</v>
      </c>
      <c r="BG621" s="1292"/>
      <c r="BH621" s="1292"/>
      <c r="BI621" s="1292"/>
      <c r="BJ621" s="1293"/>
      <c r="BK621" s="1291">
        <f>SUM(BK617:BO620)</f>
        <v>0</v>
      </c>
      <c r="BL621" s="1292"/>
      <c r="BM621" s="1292"/>
      <c r="BN621" s="1292"/>
      <c r="BO621" s="1293"/>
      <c r="BP621" s="1291">
        <f>SUM(BP617:BT620)</f>
        <v>1</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2.75">
      <c r="B622" s="84" t="s">
        <v>841</v>
      </c>
      <c r="C622" s="1153"/>
      <c r="D622" s="1153"/>
      <c r="E622" s="1153"/>
      <c r="F622" s="1153"/>
      <c r="G622" s="1153"/>
      <c r="H622" s="1153"/>
      <c r="I622" s="1153"/>
      <c r="J622" s="1153"/>
      <c r="K622" s="1153"/>
      <c r="L622" s="1153"/>
      <c r="M622" s="1153"/>
      <c r="N622" s="1153"/>
      <c r="O622" s="1178"/>
      <c r="P622" s="1119"/>
      <c r="Q622" s="1120"/>
      <c r="R622" s="1121"/>
      <c r="S622" s="1266"/>
      <c r="T622" s="1131"/>
      <c r="U622" s="1132"/>
      <c r="V622" s="1119"/>
      <c r="W622" s="1120"/>
      <c r="X622" s="1120"/>
      <c r="Y622" s="1120"/>
      <c r="Z622" s="1120"/>
      <c r="AA622" s="1121"/>
      <c r="AB622" s="1144"/>
      <c r="AC622" s="1144"/>
      <c r="AD622" s="1144"/>
      <c r="AE622" s="1144"/>
      <c r="AF622" s="1144"/>
      <c r="AG622" s="1144"/>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3"/>
      <c r="D623" s="1153"/>
      <c r="E623" s="1153"/>
      <c r="F623" s="1153"/>
      <c r="G623" s="1153"/>
      <c r="H623" s="1153"/>
      <c r="I623" s="1153"/>
      <c r="J623" s="1153"/>
      <c r="K623" s="1153"/>
      <c r="L623" s="1153"/>
      <c r="M623" s="1153"/>
      <c r="N623" s="1153"/>
      <c r="O623" s="1178"/>
      <c r="P623" s="1119"/>
      <c r="Q623" s="1120"/>
      <c r="R623" s="1121"/>
      <c r="S623" s="1266"/>
      <c r="T623" s="1131"/>
      <c r="U623" s="1132"/>
      <c r="V623" s="1119"/>
      <c r="W623" s="1120"/>
      <c r="X623" s="1120"/>
      <c r="Y623" s="1120"/>
      <c r="Z623" s="1120"/>
      <c r="AA623" s="1121"/>
      <c r="AB623" s="1144"/>
      <c r="AC623" s="1144"/>
      <c r="AD623" s="1144"/>
      <c r="AE623" s="1144"/>
      <c r="AF623" s="1144"/>
      <c r="AG623" s="1144"/>
      <c r="AH623" s="1144"/>
      <c r="AI623" s="1144"/>
      <c r="AJ623" s="1144"/>
      <c r="AK623" s="1144"/>
      <c r="AL623" s="58"/>
      <c r="AM623" s="61"/>
      <c r="AN623" s="61"/>
      <c r="AO623" s="61"/>
      <c r="AP623" s="61"/>
      <c r="AQ623" s="61"/>
      <c r="AR623" s="61"/>
      <c r="AS623" s="61"/>
      <c r="AT623" s="61"/>
      <c r="AU623" s="61"/>
      <c r="AV623" s="61"/>
      <c r="AW623" s="61"/>
      <c r="AX623" s="61"/>
      <c r="AY623" s="61"/>
      <c r="AZ623" s="61"/>
      <c r="BA623" s="1288">
        <f t="shared" ref="BA623:BA632" si="16">IF(J768="SRO/Studio",O768,0)</f>
        <v>0</v>
      </c>
      <c r="BB623" s="1290"/>
      <c r="BC623" s="1290"/>
      <c r="BD623" s="1290"/>
      <c r="BE623" s="1289"/>
      <c r="BF623" s="1285">
        <f t="shared" ref="BF623:BF632" si="17">IF(J768="1 Bedroom",O768,0)</f>
        <v>0</v>
      </c>
      <c r="BG623" s="1285"/>
      <c r="BH623" s="1285"/>
      <c r="BI623" s="1285"/>
      <c r="BJ623" s="1285"/>
      <c r="BK623" s="1285">
        <f t="shared" ref="BK623:BK632" si="18">IF(J768="2 Bedrooms",O768,0)</f>
        <v>0</v>
      </c>
      <c r="BL623" s="1285"/>
      <c r="BM623" s="1285"/>
      <c r="BN623" s="1285"/>
      <c r="BO623" s="1285"/>
      <c r="BP623" s="1285">
        <f t="shared" ref="BP623:BP632" si="19">IF(J768="3 Bedrooms",O768,0)</f>
        <v>0</v>
      </c>
      <c r="BQ623" s="1285"/>
      <c r="BR623" s="1285"/>
      <c r="BS623" s="1285"/>
      <c r="BT623" s="1285"/>
      <c r="BU623" s="1285">
        <f t="shared" ref="BU623:BU632" si="20">IF(J768="4 Bedrooms",O768,0)</f>
        <v>0</v>
      </c>
      <c r="BV623" s="1285"/>
      <c r="BW623" s="1285"/>
      <c r="BX623" s="1285"/>
      <c r="BY623" s="1285"/>
      <c r="BZ623" s="1285">
        <f t="shared" ref="BZ623:BZ632" si="21">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2.75">
      <c r="B624" s="84" t="s">
        <v>500</v>
      </c>
      <c r="C624" s="1153"/>
      <c r="D624" s="1153"/>
      <c r="E624" s="1153"/>
      <c r="F624" s="1153"/>
      <c r="G624" s="1153"/>
      <c r="H624" s="1153"/>
      <c r="I624" s="1153"/>
      <c r="J624" s="1153"/>
      <c r="K624" s="1153"/>
      <c r="L624" s="1153"/>
      <c r="M624" s="1153"/>
      <c r="N624" s="1153"/>
      <c r="O624" s="1178"/>
      <c r="P624" s="1119"/>
      <c r="Q624" s="1120"/>
      <c r="R624" s="1121"/>
      <c r="S624" s="1266"/>
      <c r="T624" s="1131"/>
      <c r="U624" s="1132"/>
      <c r="V624" s="1119"/>
      <c r="W624" s="1120"/>
      <c r="X624" s="1120"/>
      <c r="Y624" s="1120"/>
      <c r="Z624" s="1120"/>
      <c r="AA624" s="1121"/>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88">
        <f t="shared" si="16"/>
        <v>0</v>
      </c>
      <c r="BB624" s="1290"/>
      <c r="BC624" s="1290"/>
      <c r="BD624" s="1290"/>
      <c r="BE624" s="1289"/>
      <c r="BF624" s="1285">
        <f t="shared" si="17"/>
        <v>0</v>
      </c>
      <c r="BG624" s="1285"/>
      <c r="BH624" s="1285"/>
      <c r="BI624" s="1285"/>
      <c r="BJ624" s="1285"/>
      <c r="BK624" s="1285">
        <f t="shared" si="18"/>
        <v>0</v>
      </c>
      <c r="BL624" s="1285"/>
      <c r="BM624" s="1285"/>
      <c r="BN624" s="1285"/>
      <c r="BO624" s="1285"/>
      <c r="BP624" s="1285">
        <f t="shared" si="19"/>
        <v>0</v>
      </c>
      <c r="BQ624" s="1285"/>
      <c r="BR624" s="1285"/>
      <c r="BS624" s="1285"/>
      <c r="BT624" s="1285"/>
      <c r="BU624" s="1285">
        <f t="shared" si="20"/>
        <v>0</v>
      </c>
      <c r="BV624" s="1285"/>
      <c r="BW624" s="1285"/>
      <c r="BX624" s="1285"/>
      <c r="BY624" s="1285"/>
      <c r="BZ624" s="1285">
        <f t="shared" si="21"/>
        <v>0</v>
      </c>
      <c r="CA624" s="1285"/>
      <c r="CB624" s="1285"/>
      <c r="CC624" s="1285"/>
      <c r="CD624" s="1285"/>
      <c r="CE624" s="58"/>
      <c r="CF624" s="58"/>
      <c r="CG624" s="58"/>
      <c r="CH624" s="58"/>
      <c r="CI624" s="58"/>
      <c r="CJ624" s="58"/>
      <c r="CK624" s="58"/>
      <c r="CL624" s="58"/>
      <c r="CM624" s="58"/>
      <c r="CN624" s="58"/>
      <c r="CO624" s="58"/>
      <c r="CP624" s="58"/>
      <c r="CQ624" s="58"/>
      <c r="CR624" s="58"/>
    </row>
    <row r="625" spans="1:96" ht="12.75">
      <c r="B625" s="84" t="s">
        <v>501</v>
      </c>
      <c r="C625" s="1153"/>
      <c r="D625" s="1153"/>
      <c r="E625" s="1153"/>
      <c r="F625" s="1153"/>
      <c r="G625" s="1153"/>
      <c r="H625" s="1153"/>
      <c r="I625" s="1153"/>
      <c r="J625" s="1153"/>
      <c r="K625" s="1153"/>
      <c r="L625" s="1153"/>
      <c r="M625" s="1153"/>
      <c r="N625" s="1153"/>
      <c r="O625" s="1178"/>
      <c r="P625" s="1119"/>
      <c r="Q625" s="1120"/>
      <c r="R625" s="1121"/>
      <c r="S625" s="1266"/>
      <c r="T625" s="1131"/>
      <c r="U625" s="1132"/>
      <c r="V625" s="1119"/>
      <c r="W625" s="1120"/>
      <c r="X625" s="1120"/>
      <c r="Y625" s="1120"/>
      <c r="Z625" s="1120"/>
      <c r="AA625" s="1121"/>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88">
        <f t="shared" si="16"/>
        <v>0</v>
      </c>
      <c r="BB625" s="1290"/>
      <c r="BC625" s="1290"/>
      <c r="BD625" s="1290"/>
      <c r="BE625" s="1289"/>
      <c r="BF625" s="1285">
        <f t="shared" si="17"/>
        <v>0</v>
      </c>
      <c r="BG625" s="1285"/>
      <c r="BH625" s="1285"/>
      <c r="BI625" s="1285"/>
      <c r="BJ625" s="1285"/>
      <c r="BK625" s="1285">
        <f t="shared" si="18"/>
        <v>0</v>
      </c>
      <c r="BL625" s="1285"/>
      <c r="BM625" s="1285"/>
      <c r="BN625" s="1285"/>
      <c r="BO625" s="1285"/>
      <c r="BP625" s="1285">
        <f t="shared" si="19"/>
        <v>0</v>
      </c>
      <c r="BQ625" s="1285"/>
      <c r="BR625" s="1285"/>
      <c r="BS625" s="1285"/>
      <c r="BT625" s="1285"/>
      <c r="BU625" s="1285">
        <f t="shared" si="20"/>
        <v>0</v>
      </c>
      <c r="BV625" s="1285"/>
      <c r="BW625" s="1285"/>
      <c r="BX625" s="1285"/>
      <c r="BY625" s="1285"/>
      <c r="BZ625" s="1285">
        <f t="shared" si="21"/>
        <v>0</v>
      </c>
      <c r="CA625" s="1285"/>
      <c r="CB625" s="1285"/>
      <c r="CC625" s="1285"/>
      <c r="CD625" s="1285"/>
      <c r="CE625" s="58"/>
      <c r="CF625" s="58"/>
      <c r="CG625" s="58"/>
      <c r="CH625" s="58"/>
      <c r="CI625" s="58"/>
      <c r="CJ625" s="58"/>
      <c r="CK625" s="58"/>
      <c r="CL625" s="58"/>
      <c r="CM625" s="58"/>
      <c r="CN625" s="58"/>
      <c r="CO625" s="58"/>
      <c r="CP625" s="58"/>
      <c r="CQ625" s="58"/>
      <c r="CR625" s="58"/>
    </row>
    <row r="626" spans="1:96" ht="12.75">
      <c r="B626" s="84" t="s">
        <v>507</v>
      </c>
      <c r="C626" s="1153"/>
      <c r="D626" s="1153"/>
      <c r="E626" s="1153"/>
      <c r="F626" s="1153"/>
      <c r="G626" s="1153"/>
      <c r="H626" s="1153"/>
      <c r="I626" s="1153"/>
      <c r="J626" s="1153"/>
      <c r="K626" s="1153"/>
      <c r="L626" s="1153"/>
      <c r="M626" s="1153"/>
      <c r="N626" s="1153"/>
      <c r="O626" s="1178"/>
      <c r="P626" s="1119"/>
      <c r="Q626" s="1120"/>
      <c r="R626" s="1121"/>
      <c r="S626" s="1266"/>
      <c r="T626" s="1131"/>
      <c r="U626" s="1132"/>
      <c r="V626" s="1119"/>
      <c r="W626" s="1120"/>
      <c r="X626" s="1120"/>
      <c r="Y626" s="1120"/>
      <c r="Z626" s="1120"/>
      <c r="AA626" s="1121"/>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88">
        <f t="shared" si="16"/>
        <v>0</v>
      </c>
      <c r="BB626" s="1290"/>
      <c r="BC626" s="1290"/>
      <c r="BD626" s="1290"/>
      <c r="BE626" s="1289"/>
      <c r="BF626" s="1285">
        <f t="shared" si="17"/>
        <v>0</v>
      </c>
      <c r="BG626" s="1285"/>
      <c r="BH626" s="1285"/>
      <c r="BI626" s="1285"/>
      <c r="BJ626" s="1285"/>
      <c r="BK626" s="1285">
        <f t="shared" si="18"/>
        <v>0</v>
      </c>
      <c r="BL626" s="1285"/>
      <c r="BM626" s="1285"/>
      <c r="BN626" s="1285"/>
      <c r="BO626" s="1285"/>
      <c r="BP626" s="1285">
        <f t="shared" si="19"/>
        <v>0</v>
      </c>
      <c r="BQ626" s="1285"/>
      <c r="BR626" s="1285"/>
      <c r="BS626" s="1285"/>
      <c r="BT626" s="1285"/>
      <c r="BU626" s="1285">
        <f t="shared" si="20"/>
        <v>0</v>
      </c>
      <c r="BV626" s="1285"/>
      <c r="BW626" s="1285"/>
      <c r="BX626" s="1285"/>
      <c r="BY626" s="1285"/>
      <c r="BZ626" s="1285">
        <f t="shared" si="21"/>
        <v>0</v>
      </c>
      <c r="CA626" s="1285"/>
      <c r="CB626" s="1285"/>
      <c r="CC626" s="1285"/>
      <c r="CD626" s="1285"/>
      <c r="CE626" s="58"/>
      <c r="CF626" s="58"/>
      <c r="CG626" s="58"/>
      <c r="CH626" s="58"/>
      <c r="CI626" s="58"/>
      <c r="CJ626" s="58"/>
      <c r="CK626" s="58"/>
      <c r="CL626" s="58"/>
      <c r="CM626" s="58"/>
      <c r="CN626" s="58"/>
      <c r="CO626" s="58"/>
      <c r="CP626" s="58"/>
      <c r="CQ626" s="58"/>
      <c r="CR626" s="58"/>
    </row>
    <row r="627" spans="1:96" ht="12.75">
      <c r="B627" s="84" t="s">
        <v>696</v>
      </c>
      <c r="C627" s="1153"/>
      <c r="D627" s="1153"/>
      <c r="E627" s="1153"/>
      <c r="F627" s="1153"/>
      <c r="G627" s="1153"/>
      <c r="H627" s="1153"/>
      <c r="I627" s="1153"/>
      <c r="J627" s="1153"/>
      <c r="K627" s="1153"/>
      <c r="L627" s="1153"/>
      <c r="M627" s="1153"/>
      <c r="N627" s="1153"/>
      <c r="O627" s="1178"/>
      <c r="P627" s="1119"/>
      <c r="Q627" s="1120"/>
      <c r="R627" s="1121"/>
      <c r="S627" s="1266"/>
      <c r="T627" s="1131"/>
      <c r="U627" s="1132"/>
      <c r="V627" s="1119"/>
      <c r="W627" s="1120"/>
      <c r="X627" s="1120"/>
      <c r="Y627" s="1120"/>
      <c r="Z627" s="1120"/>
      <c r="AA627" s="1121"/>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88">
        <f t="shared" si="16"/>
        <v>0</v>
      </c>
      <c r="BB627" s="1290"/>
      <c r="BC627" s="1290"/>
      <c r="BD627" s="1290"/>
      <c r="BE627" s="1289"/>
      <c r="BF627" s="1285">
        <f t="shared" si="17"/>
        <v>0</v>
      </c>
      <c r="BG627" s="1285"/>
      <c r="BH627" s="1285"/>
      <c r="BI627" s="1285"/>
      <c r="BJ627" s="1285"/>
      <c r="BK627" s="1285">
        <f t="shared" si="18"/>
        <v>0</v>
      </c>
      <c r="BL627" s="1285"/>
      <c r="BM627" s="1285"/>
      <c r="BN627" s="1285"/>
      <c r="BO627" s="1285"/>
      <c r="BP627" s="1285">
        <f t="shared" si="19"/>
        <v>0</v>
      </c>
      <c r="BQ627" s="1285"/>
      <c r="BR627" s="1285"/>
      <c r="BS627" s="1285"/>
      <c r="BT627" s="1285"/>
      <c r="BU627" s="1285">
        <f t="shared" si="20"/>
        <v>0</v>
      </c>
      <c r="BV627" s="1285"/>
      <c r="BW627" s="1285"/>
      <c r="BX627" s="1285"/>
      <c r="BY627" s="1285"/>
      <c r="BZ627" s="1285">
        <f t="shared" si="21"/>
        <v>0</v>
      </c>
      <c r="CA627" s="1285"/>
      <c r="CB627" s="1285"/>
      <c r="CC627" s="1285"/>
      <c r="CD627" s="1285"/>
      <c r="CE627" s="58"/>
      <c r="CF627" s="58"/>
      <c r="CG627" s="58"/>
      <c r="CH627" s="58"/>
      <c r="CI627" s="58"/>
      <c r="CJ627" s="58"/>
      <c r="CK627" s="58"/>
      <c r="CL627" s="58"/>
      <c r="CM627" s="58"/>
      <c r="CN627" s="58"/>
      <c r="CO627" s="58"/>
      <c r="CP627" s="58"/>
      <c r="CQ627" s="58"/>
      <c r="CR627" s="58"/>
    </row>
    <row r="628" spans="1:96" ht="12.75">
      <c r="B628" s="84" t="s">
        <v>385</v>
      </c>
      <c r="C628" s="1153"/>
      <c r="D628" s="1153"/>
      <c r="E628" s="1153"/>
      <c r="F628" s="1153"/>
      <c r="G628" s="1153"/>
      <c r="H628" s="1153"/>
      <c r="I628" s="1153"/>
      <c r="J628" s="1153"/>
      <c r="K628" s="1153"/>
      <c r="L628" s="1153"/>
      <c r="M628" s="1153"/>
      <c r="N628" s="1153"/>
      <c r="O628" s="1178"/>
      <c r="P628" s="1119"/>
      <c r="Q628" s="1120"/>
      <c r="R628" s="1121"/>
      <c r="S628" s="1266"/>
      <c r="T628" s="1131"/>
      <c r="U628" s="1132"/>
      <c r="V628" s="1119"/>
      <c r="W628" s="1120"/>
      <c r="X628" s="1120"/>
      <c r="Y628" s="1120"/>
      <c r="Z628" s="1120"/>
      <c r="AA628" s="1121"/>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88">
        <f t="shared" si="16"/>
        <v>0</v>
      </c>
      <c r="BB628" s="1290"/>
      <c r="BC628" s="1290"/>
      <c r="BD628" s="1290"/>
      <c r="BE628" s="1289"/>
      <c r="BF628" s="1285">
        <f t="shared" si="17"/>
        <v>0</v>
      </c>
      <c r="BG628" s="1285"/>
      <c r="BH628" s="1285"/>
      <c r="BI628" s="1285"/>
      <c r="BJ628" s="1285"/>
      <c r="BK628" s="1285">
        <f t="shared" si="18"/>
        <v>0</v>
      </c>
      <c r="BL628" s="1285"/>
      <c r="BM628" s="1285"/>
      <c r="BN628" s="1285"/>
      <c r="BO628" s="1285"/>
      <c r="BP628" s="1285">
        <f t="shared" si="19"/>
        <v>0</v>
      </c>
      <c r="BQ628" s="1285"/>
      <c r="BR628" s="1285"/>
      <c r="BS628" s="1285"/>
      <c r="BT628" s="1285"/>
      <c r="BU628" s="1285">
        <f t="shared" si="20"/>
        <v>0</v>
      </c>
      <c r="BV628" s="1285"/>
      <c r="BW628" s="1285"/>
      <c r="BX628" s="1285"/>
      <c r="BY628" s="1285"/>
      <c r="BZ628" s="1285">
        <f t="shared" si="21"/>
        <v>0</v>
      </c>
      <c r="CA628" s="1285"/>
      <c r="CB628" s="1285"/>
      <c r="CC628" s="1285"/>
      <c r="CD628" s="1285"/>
      <c r="CE628" s="58"/>
      <c r="CF628" s="58"/>
      <c r="CG628" s="58"/>
      <c r="CH628" s="58"/>
      <c r="CI628" s="58"/>
      <c r="CJ628" s="58"/>
      <c r="CK628" s="58"/>
      <c r="CL628" s="58"/>
      <c r="CM628" s="58"/>
      <c r="CN628" s="58"/>
      <c r="CO628" s="58"/>
      <c r="CP628" s="58"/>
      <c r="CQ628" s="58"/>
      <c r="CR628" s="58"/>
    </row>
    <row r="629" spans="1:96" ht="12.75" customHeight="1">
      <c r="B629" s="84" t="s">
        <v>386</v>
      </c>
      <c r="C629" s="1177"/>
      <c r="D629" s="1153"/>
      <c r="E629" s="1153"/>
      <c r="F629" s="1153"/>
      <c r="G629" s="1153"/>
      <c r="H629" s="1153"/>
      <c r="I629" s="1153"/>
      <c r="J629" s="1153"/>
      <c r="K629" s="1153"/>
      <c r="L629" s="1153"/>
      <c r="M629" s="1153"/>
      <c r="N629" s="1153"/>
      <c r="O629" s="1178"/>
      <c r="P629" s="1119"/>
      <c r="Q629" s="1120"/>
      <c r="R629" s="1121"/>
      <c r="S629" s="1266"/>
      <c r="T629" s="1131"/>
      <c r="U629" s="1132"/>
      <c r="V629" s="1119"/>
      <c r="W629" s="1120"/>
      <c r="X629" s="1120"/>
      <c r="Y629" s="1120"/>
      <c r="Z629" s="1120"/>
      <c r="AA629" s="1121"/>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88">
        <f t="shared" si="16"/>
        <v>0</v>
      </c>
      <c r="BB629" s="1290"/>
      <c r="BC629" s="1290"/>
      <c r="BD629" s="1290"/>
      <c r="BE629" s="1289"/>
      <c r="BF629" s="1285">
        <f t="shared" si="17"/>
        <v>0</v>
      </c>
      <c r="BG629" s="1285"/>
      <c r="BH629" s="1285"/>
      <c r="BI629" s="1285"/>
      <c r="BJ629" s="1285"/>
      <c r="BK629" s="1285">
        <f t="shared" si="18"/>
        <v>0</v>
      </c>
      <c r="BL629" s="1285"/>
      <c r="BM629" s="1285"/>
      <c r="BN629" s="1285"/>
      <c r="BO629" s="1285"/>
      <c r="BP629" s="1285">
        <f t="shared" si="19"/>
        <v>0</v>
      </c>
      <c r="BQ629" s="1285"/>
      <c r="BR629" s="1285"/>
      <c r="BS629" s="1285"/>
      <c r="BT629" s="1285"/>
      <c r="BU629" s="1285">
        <f t="shared" si="20"/>
        <v>0</v>
      </c>
      <c r="BV629" s="1285"/>
      <c r="BW629" s="1285"/>
      <c r="BX629" s="1285"/>
      <c r="BY629" s="1285"/>
      <c r="BZ629" s="1285">
        <f t="shared" si="21"/>
        <v>0</v>
      </c>
      <c r="CA629" s="1285"/>
      <c r="CB629" s="1285"/>
      <c r="CC629" s="1285"/>
      <c r="CD629" s="1285"/>
      <c r="CE629" s="58"/>
      <c r="CF629" s="58"/>
      <c r="CG629" s="58"/>
      <c r="CH629" s="58"/>
      <c r="CI629" s="58"/>
      <c r="CJ629" s="58"/>
      <c r="CK629" s="58"/>
      <c r="CL629" s="58"/>
      <c r="CM629" s="58"/>
      <c r="CN629" s="58"/>
      <c r="CO629" s="58"/>
      <c r="CP629" s="58"/>
      <c r="CQ629" s="58"/>
      <c r="CR629" s="58"/>
    </row>
    <row r="630" spans="1:96" ht="12.75"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4">
        <f>SUM(AG618:AJ629)</f>
        <v>46200000</v>
      </c>
      <c r="AH630" s="1215"/>
      <c r="AI630" s="1215"/>
      <c r="AJ630" s="1215"/>
      <c r="AK630" s="1216"/>
      <c r="AM630" s="61"/>
      <c r="AN630" s="61"/>
      <c r="AO630" s="61"/>
      <c r="AP630" s="61"/>
      <c r="AQ630" s="61"/>
      <c r="AR630" s="61"/>
      <c r="AS630" s="61"/>
      <c r="AT630" s="61"/>
      <c r="AU630" s="61"/>
      <c r="AV630" s="61"/>
      <c r="AW630" s="61"/>
      <c r="AX630" s="61"/>
      <c r="AY630" s="61"/>
      <c r="AZ630" s="61"/>
      <c r="BA630" s="1288">
        <f t="shared" si="16"/>
        <v>0</v>
      </c>
      <c r="BB630" s="1290"/>
      <c r="BC630" s="1290"/>
      <c r="BD630" s="1290"/>
      <c r="BE630" s="1289"/>
      <c r="BF630" s="1285">
        <f t="shared" si="17"/>
        <v>0</v>
      </c>
      <c r="BG630" s="1285"/>
      <c r="BH630" s="1285"/>
      <c r="BI630" s="1285"/>
      <c r="BJ630" s="1285"/>
      <c r="BK630" s="1285">
        <f t="shared" si="18"/>
        <v>0</v>
      </c>
      <c r="BL630" s="1285"/>
      <c r="BM630" s="1285"/>
      <c r="BN630" s="1285"/>
      <c r="BO630" s="1285"/>
      <c r="BP630" s="1285">
        <f t="shared" si="19"/>
        <v>0</v>
      </c>
      <c r="BQ630" s="1285"/>
      <c r="BR630" s="1285"/>
      <c r="BS630" s="1285"/>
      <c r="BT630" s="1285"/>
      <c r="BU630" s="1285">
        <f t="shared" si="20"/>
        <v>0</v>
      </c>
      <c r="BV630" s="1285"/>
      <c r="BW630" s="1285"/>
      <c r="BX630" s="1285"/>
      <c r="BY630" s="1285"/>
      <c r="BZ630" s="1285">
        <f t="shared" si="21"/>
        <v>0</v>
      </c>
      <c r="CA630" s="1285"/>
      <c r="CB630" s="1285"/>
      <c r="CC630" s="1285"/>
      <c r="CD630" s="1285"/>
      <c r="CE630" s="58"/>
      <c r="CF630" s="58"/>
      <c r="CG630" s="58"/>
      <c r="CH630" s="58"/>
      <c r="CI630" s="58"/>
      <c r="CJ630" s="58"/>
      <c r="CK630" s="58"/>
      <c r="CL630" s="58"/>
      <c r="CM630" s="58"/>
      <c r="CN630" s="58"/>
      <c r="CO630" s="58"/>
      <c r="CP630" s="58"/>
      <c r="CQ630" s="58"/>
      <c r="CR630" s="58"/>
    </row>
    <row r="631" spans="1:96" ht="12.75">
      <c r="B631" s="1377" t="s">
        <v>282</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202">
        <v>36405086</v>
      </c>
      <c r="AH631" s="1203"/>
      <c r="AI631" s="1203"/>
      <c r="AJ631" s="1203"/>
      <c r="AK631" s="1204"/>
      <c r="AM631" s="61"/>
      <c r="AN631" s="61"/>
      <c r="AO631" s="61"/>
      <c r="AP631" s="61"/>
      <c r="AQ631" s="61"/>
      <c r="AR631" s="61"/>
      <c r="AS631" s="61"/>
      <c r="AT631" s="61"/>
      <c r="AU631" s="61"/>
      <c r="AV631" s="61"/>
      <c r="AW631" s="61"/>
      <c r="AX631" s="61"/>
      <c r="AY631" s="61"/>
      <c r="AZ631" s="61"/>
      <c r="BA631" s="1288">
        <f t="shared" si="16"/>
        <v>0</v>
      </c>
      <c r="BB631" s="1290"/>
      <c r="BC631" s="1290"/>
      <c r="BD631" s="1290"/>
      <c r="BE631" s="1289"/>
      <c r="BF631" s="1285">
        <f t="shared" si="17"/>
        <v>0</v>
      </c>
      <c r="BG631" s="1285"/>
      <c r="BH631" s="1285"/>
      <c r="BI631" s="1285"/>
      <c r="BJ631" s="1285"/>
      <c r="BK631" s="1285">
        <f t="shared" si="18"/>
        <v>0</v>
      </c>
      <c r="BL631" s="1285"/>
      <c r="BM631" s="1285"/>
      <c r="BN631" s="1285"/>
      <c r="BO631" s="1285"/>
      <c r="BP631" s="1285">
        <f t="shared" si="19"/>
        <v>0</v>
      </c>
      <c r="BQ631" s="1285"/>
      <c r="BR631" s="1285"/>
      <c r="BS631" s="1285"/>
      <c r="BT631" s="1285"/>
      <c r="BU631" s="1285">
        <f t="shared" si="20"/>
        <v>0</v>
      </c>
      <c r="BV631" s="1285"/>
      <c r="BW631" s="1285"/>
      <c r="BX631" s="1285"/>
      <c r="BY631" s="1285"/>
      <c r="BZ631" s="1285">
        <f t="shared" si="21"/>
        <v>0</v>
      </c>
      <c r="CA631" s="1285"/>
      <c r="CB631" s="1285"/>
      <c r="CC631" s="1285"/>
      <c r="CD631" s="1285"/>
      <c r="CE631" s="58"/>
      <c r="CF631" s="58"/>
      <c r="CG631" s="58"/>
      <c r="CH631" s="58"/>
      <c r="CI631" s="58"/>
      <c r="CJ631" s="58"/>
      <c r="CK631" s="58"/>
      <c r="CL631" s="58"/>
      <c r="CM631" s="58"/>
      <c r="CN631" s="58"/>
      <c r="CO631" s="58"/>
      <c r="CP631" s="58"/>
      <c r="CQ631" s="58"/>
      <c r="CR631" s="58"/>
    </row>
    <row r="632" spans="1:96" ht="12.75">
      <c r="B632" s="1377" t="s">
        <v>283</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4">
        <f>AG630+AG631</f>
        <v>82605086</v>
      </c>
      <c r="AH632" s="1215"/>
      <c r="AI632" s="1215"/>
      <c r="AJ632" s="1215"/>
      <c r="AK632" s="1216"/>
      <c r="AM632" s="61"/>
      <c r="AN632" s="61"/>
      <c r="AO632" s="61"/>
      <c r="AP632" s="61"/>
      <c r="AQ632" s="61"/>
      <c r="AR632" s="61"/>
      <c r="AS632" s="61"/>
      <c r="AT632" s="61"/>
      <c r="AU632" s="61"/>
      <c r="AV632" s="61"/>
      <c r="AW632" s="61"/>
      <c r="AX632" s="61"/>
      <c r="AY632" s="61"/>
      <c r="AZ632" s="61"/>
      <c r="BA632" s="1288">
        <f t="shared" si="16"/>
        <v>0</v>
      </c>
      <c r="BB632" s="1290"/>
      <c r="BC632" s="1290"/>
      <c r="BD632" s="1290"/>
      <c r="BE632" s="1289"/>
      <c r="BF632" s="1285">
        <f t="shared" si="17"/>
        <v>0</v>
      </c>
      <c r="BG632" s="1285"/>
      <c r="BH632" s="1285"/>
      <c r="BI632" s="1285"/>
      <c r="BJ632" s="1285"/>
      <c r="BK632" s="1285">
        <f t="shared" si="18"/>
        <v>0</v>
      </c>
      <c r="BL632" s="1285"/>
      <c r="BM632" s="1285"/>
      <c r="BN632" s="1285"/>
      <c r="BO632" s="1285"/>
      <c r="BP632" s="1285">
        <f t="shared" si="19"/>
        <v>0</v>
      </c>
      <c r="BQ632" s="1285"/>
      <c r="BR632" s="1285"/>
      <c r="BS632" s="1285"/>
      <c r="BT632" s="1285"/>
      <c r="BU632" s="1285">
        <f t="shared" si="20"/>
        <v>0</v>
      </c>
      <c r="BV632" s="1285"/>
      <c r="BW632" s="1285"/>
      <c r="BX632" s="1285"/>
      <c r="BY632" s="1285"/>
      <c r="BZ632" s="1285">
        <f t="shared" si="21"/>
        <v>0</v>
      </c>
      <c r="CA632" s="1285"/>
      <c r="CB632" s="1285"/>
      <c r="CC632" s="1285"/>
      <c r="CD632" s="128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0</v>
      </c>
      <c r="BB633" s="1292"/>
      <c r="BC633" s="1292"/>
      <c r="BD633" s="1292"/>
      <c r="BE633" s="1293"/>
      <c r="BF633" s="1291">
        <f>SUM(BF623:BJ632)</f>
        <v>0</v>
      </c>
      <c r="BG633" s="1292"/>
      <c r="BH633" s="1292"/>
      <c r="BI633" s="1292"/>
      <c r="BJ633" s="1293"/>
      <c r="BK633" s="1291">
        <f>SUM(BK623:BO632)</f>
        <v>0</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Citibank, N.A. - T.E. Bonds (Series A)</v>
      </c>
      <c r="H634" s="1176"/>
      <c r="I634" s="1176"/>
      <c r="J634" s="1176"/>
      <c r="K634" s="1176"/>
      <c r="L634" s="1176"/>
      <c r="M634" s="1176"/>
      <c r="N634" s="1176"/>
      <c r="O634" s="1176"/>
      <c r="P634" s="1176"/>
      <c r="Q634" s="1176"/>
      <c r="R634" s="1176"/>
      <c r="S634" s="14"/>
      <c r="T634" s="87" t="s">
        <v>120</v>
      </c>
      <c r="U634" s="12" t="s">
        <v>509</v>
      </c>
      <c r="Z634" s="1176" t="str">
        <f>C619</f>
        <v>Bonneville - T.E. Bonds (Series B)</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1766</v>
      </c>
      <c r="H635" s="1089"/>
      <c r="I635" s="1089"/>
      <c r="J635" s="1089"/>
      <c r="K635" s="1089"/>
      <c r="L635" s="1089"/>
      <c r="M635" s="1089"/>
      <c r="N635" s="1089"/>
      <c r="O635" s="1089"/>
      <c r="P635" s="1089"/>
      <c r="Q635" s="1089"/>
      <c r="R635" s="1089"/>
      <c r="S635" s="14"/>
      <c r="T635" s="35"/>
      <c r="U635" s="12" t="s">
        <v>92</v>
      </c>
      <c r="Z635" s="1089" t="s">
        <v>1772</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1">
        <f>BA614+BA621+BA633</f>
        <v>0</v>
      </c>
      <c r="BB635" s="1292"/>
      <c r="BC635" s="1292"/>
      <c r="BD635" s="1292"/>
      <c r="BE635" s="1293"/>
      <c r="BF635" s="1291">
        <f>BF614+BF621+BF633</f>
        <v>0</v>
      </c>
      <c r="BG635" s="1292"/>
      <c r="BH635" s="1292"/>
      <c r="BI635" s="1292"/>
      <c r="BJ635" s="1293"/>
      <c r="BK635" s="1291">
        <f>BK614+BK621+BK633</f>
        <v>24</v>
      </c>
      <c r="BL635" s="1292"/>
      <c r="BM635" s="1292"/>
      <c r="BN635" s="1292"/>
      <c r="BO635" s="1293"/>
      <c r="BP635" s="1291">
        <f>BP614+BP621+BP633</f>
        <v>74</v>
      </c>
      <c r="BQ635" s="1292"/>
      <c r="BR635" s="1292"/>
      <c r="BS635" s="1292"/>
      <c r="BT635" s="1293"/>
      <c r="BU635" s="1291">
        <f>BU614+BU621+BU633</f>
        <v>33</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2.75">
      <c r="A636" s="35"/>
      <c r="B636" s="12" t="s">
        <v>630</v>
      </c>
      <c r="G636" s="1089" t="s">
        <v>1767</v>
      </c>
      <c r="H636" s="1089"/>
      <c r="I636" s="1089"/>
      <c r="J636" s="1089"/>
      <c r="K636" s="1089"/>
      <c r="L636" s="1089"/>
      <c r="M636" s="1089"/>
      <c r="N636" s="1089"/>
      <c r="O636" s="1089"/>
      <c r="P636" s="1089"/>
      <c r="Q636" s="1089"/>
      <c r="R636" s="1089"/>
      <c r="S636" s="88"/>
      <c r="T636" s="35"/>
      <c r="U636" s="12" t="s">
        <v>630</v>
      </c>
      <c r="Z636" s="1088" t="s">
        <v>1773</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1768</v>
      </c>
      <c r="H637" s="1089"/>
      <c r="I637" s="1089"/>
      <c r="J637" s="1089"/>
      <c r="K637" s="1089"/>
      <c r="L637" s="1089"/>
      <c r="M637" s="1089"/>
      <c r="N637" s="1089"/>
      <c r="O637" s="1089"/>
      <c r="P637" s="1089"/>
      <c r="Q637" s="1089"/>
      <c r="R637" s="1089"/>
      <c r="S637" s="14"/>
      <c r="T637" s="35"/>
      <c r="U637" s="12" t="s">
        <v>19</v>
      </c>
      <c r="Z637" s="1088" t="s">
        <v>1774</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58" t="s">
        <v>1769</v>
      </c>
      <c r="H638" s="1123"/>
      <c r="I638" s="1123"/>
      <c r="J638" s="1123"/>
      <c r="K638" s="1123"/>
      <c r="L638" s="1123"/>
      <c r="O638" s="140" t="s">
        <v>219</v>
      </c>
      <c r="P638" s="1153"/>
      <c r="Q638" s="1153"/>
      <c r="R638" s="1153"/>
      <c r="S638" s="16"/>
      <c r="T638" s="35"/>
      <c r="U638" s="12" t="s">
        <v>337</v>
      </c>
      <c r="Z638" s="1158" t="s">
        <v>1775</v>
      </c>
      <c r="AA638" s="1123"/>
      <c r="AB638" s="1123"/>
      <c r="AC638" s="1123"/>
      <c r="AD638" s="1123"/>
      <c r="AE638" s="1123"/>
      <c r="AH638" s="140" t="s">
        <v>219</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1781</v>
      </c>
      <c r="I639" s="1089"/>
      <c r="J639" s="1089"/>
      <c r="K639" s="1089"/>
      <c r="L639" s="1089"/>
      <c r="M639" s="1089"/>
      <c r="N639" s="1089"/>
      <c r="O639" s="1089"/>
      <c r="P639" s="1089"/>
      <c r="Q639" s="1089"/>
      <c r="R639" s="1089"/>
      <c r="S639" s="14"/>
      <c r="T639" s="35"/>
      <c r="U639" s="12" t="s">
        <v>20</v>
      </c>
      <c r="AA639" s="1089" t="s">
        <v>1781</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591</v>
      </c>
      <c r="O640" s="1117"/>
      <c r="T640" s="35"/>
      <c r="U640" s="12" t="s">
        <v>22</v>
      </c>
      <c r="AG640" s="1117" t="s">
        <v>591</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CalHFA - MIP Loan</v>
      </c>
      <c r="H642" s="1176"/>
      <c r="I642" s="1176"/>
      <c r="J642" s="1176"/>
      <c r="K642" s="1176"/>
      <c r="L642" s="1176"/>
      <c r="M642" s="1176"/>
      <c r="N642" s="1176"/>
      <c r="O642" s="1176"/>
      <c r="P642" s="1176"/>
      <c r="Q642" s="1176"/>
      <c r="R642" s="1176"/>
      <c r="T642" s="87" t="s">
        <v>631</v>
      </c>
      <c r="U642" s="12" t="s">
        <v>509</v>
      </c>
      <c r="Z642" s="1176" t="str">
        <f>C621</f>
        <v xml:space="preserve">Pacific West Communities, Inc. - DDF </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1732</v>
      </c>
      <c r="H643" s="1089"/>
      <c r="I643" s="1089"/>
      <c r="J643" s="1089"/>
      <c r="K643" s="1089"/>
      <c r="L643" s="1089"/>
      <c r="M643" s="1089"/>
      <c r="N643" s="1089"/>
      <c r="O643" s="1089"/>
      <c r="P643" s="1089"/>
      <c r="Q643" s="1089"/>
      <c r="R643" s="1089"/>
      <c r="T643" s="35"/>
      <c r="U643" s="12" t="s">
        <v>92</v>
      </c>
      <c r="Z643" s="1089" t="s">
        <v>1665</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8" t="s">
        <v>1734</v>
      </c>
      <c r="H644" s="1088"/>
      <c r="I644" s="1088"/>
      <c r="J644" s="1088"/>
      <c r="K644" s="1088"/>
      <c r="L644" s="1088"/>
      <c r="M644" s="1088"/>
      <c r="N644" s="1088"/>
      <c r="O644" s="1088"/>
      <c r="P644" s="1088"/>
      <c r="Q644" s="1088"/>
      <c r="R644" s="1088"/>
      <c r="T644" s="35"/>
      <c r="U644" s="12" t="s">
        <v>630</v>
      </c>
      <c r="Z644" s="1088" t="s">
        <v>1682</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1736</v>
      </c>
      <c r="H645" s="1088"/>
      <c r="I645" s="1088"/>
      <c r="J645" s="1088"/>
      <c r="K645" s="1088"/>
      <c r="L645" s="1088"/>
      <c r="M645" s="1088"/>
      <c r="N645" s="1088"/>
      <c r="O645" s="1088"/>
      <c r="P645" s="1088"/>
      <c r="Q645" s="1088"/>
      <c r="R645" s="1088"/>
      <c r="T645" s="35"/>
      <c r="U645" s="12" t="s">
        <v>19</v>
      </c>
      <c r="Z645" s="1088" t="s">
        <v>1668</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8" t="s">
        <v>1738</v>
      </c>
      <c r="H646" s="1123"/>
      <c r="I646" s="1123"/>
      <c r="J646" s="1123"/>
      <c r="K646" s="1123"/>
      <c r="L646" s="1123"/>
      <c r="O646" s="140" t="s">
        <v>219</v>
      </c>
      <c r="P646" s="1153"/>
      <c r="Q646" s="1153"/>
      <c r="R646" s="1153"/>
      <c r="T646" s="35"/>
      <c r="U646" s="12" t="s">
        <v>337</v>
      </c>
      <c r="Z646" s="1158" t="s">
        <v>1669</v>
      </c>
      <c r="AA646" s="1123"/>
      <c r="AB646" s="1123"/>
      <c r="AC646" s="1123"/>
      <c r="AD646" s="1123"/>
      <c r="AE646" s="1123"/>
      <c r="AH646" s="140" t="s">
        <v>219</v>
      </c>
      <c r="AI646" s="1153">
        <v>3015</v>
      </c>
      <c r="AJ646" s="1153"/>
      <c r="AK646" s="115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1782</v>
      </c>
      <c r="I647" s="1089"/>
      <c r="J647" s="1089"/>
      <c r="K647" s="1089"/>
      <c r="L647" s="1089"/>
      <c r="M647" s="1089"/>
      <c r="N647" s="1089"/>
      <c r="O647" s="1089"/>
      <c r="P647" s="1089"/>
      <c r="Q647" s="1089"/>
      <c r="R647" s="1089"/>
      <c r="T647" s="35"/>
      <c r="U647" s="12" t="s">
        <v>20</v>
      </c>
      <c r="AA647" s="1089" t="s">
        <v>1776</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591</v>
      </c>
      <c r="O648" s="1117"/>
      <c r="T648" s="35"/>
      <c r="U648" s="12" t="s">
        <v>22</v>
      </c>
      <c r="AG648" s="1117" t="s">
        <v>591</v>
      </c>
      <c r="AH648" s="111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2406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f>C622</f>
        <v>0</v>
      </c>
      <c r="H650" s="1176"/>
      <c r="I650" s="1176"/>
      <c r="J650" s="1176"/>
      <c r="K650" s="1176"/>
      <c r="L650" s="1176"/>
      <c r="M650" s="1176"/>
      <c r="N650" s="1176"/>
      <c r="O650" s="1176"/>
      <c r="P650" s="1176"/>
      <c r="Q650" s="1176"/>
      <c r="R650" s="1176"/>
      <c r="T650" s="87" t="s">
        <v>634</v>
      </c>
      <c r="U650" s="12" t="s">
        <v>509</v>
      </c>
      <c r="Z650" s="1176">
        <f>C623</f>
        <v>0</v>
      </c>
      <c r="AA650" s="1176"/>
      <c r="AB650" s="1176"/>
      <c r="AC650" s="1176"/>
      <c r="AD650" s="1176"/>
      <c r="AE650" s="1176"/>
      <c r="AF650" s="1176"/>
      <c r="AG650" s="1176"/>
      <c r="AH650" s="1176"/>
      <c r="AI650" s="1176"/>
      <c r="AJ650" s="1176"/>
      <c r="AK650" s="1176"/>
      <c r="AM650" s="58"/>
      <c r="AN650" s="463">
        <f t="shared" si="22"/>
        <v>2406</v>
      </c>
      <c r="AO650" s="58"/>
      <c r="AP650" s="58"/>
      <c r="AQ650" s="58"/>
      <c r="AR650" s="58"/>
      <c r="AS650" s="399"/>
      <c r="AT650" s="473">
        <f t="shared" ref="AT650:AT674" si="23">G709</f>
        <v>12</v>
      </c>
      <c r="AU650" s="477">
        <f>AT650/$AT$675</f>
        <v>9.2307692307692313E-2</v>
      </c>
      <c r="AV650" s="478">
        <f t="shared" ref="AV650:AV674" si="24">IF(AU650=0," ",AU650*AD709)</f>
        <v>4.6153846153846156E-2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2"/>
        <v>2406</v>
      </c>
      <c r="AO651" s="58"/>
      <c r="AP651" s="58"/>
      <c r="AQ651" s="58"/>
      <c r="AR651" s="58"/>
      <c r="AS651" s="399"/>
      <c r="AT651" s="474">
        <f t="shared" si="23"/>
        <v>5</v>
      </c>
      <c r="AU651" s="477">
        <f t="shared" ref="AU651:AU674" si="25">AT651/$AT$675</f>
        <v>3.8461538461538464E-2</v>
      </c>
      <c r="AV651" s="478">
        <f t="shared" si="24"/>
        <v>2.3076923076923078E-2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9"/>
      <c r="H652" s="1089"/>
      <c r="I652" s="1089"/>
      <c r="J652" s="1089"/>
      <c r="K652" s="1089"/>
      <c r="L652" s="1089"/>
      <c r="M652" s="1089"/>
      <c r="N652" s="1089"/>
      <c r="O652" s="1089"/>
      <c r="P652" s="1089"/>
      <c r="Q652" s="1089"/>
      <c r="R652" s="1089"/>
      <c r="T652" s="35"/>
      <c r="U652" s="12" t="s">
        <v>630</v>
      </c>
      <c r="Z652" s="1088"/>
      <c r="AA652" s="1088"/>
      <c r="AB652" s="1088"/>
      <c r="AC652" s="1088"/>
      <c r="AD652" s="1088"/>
      <c r="AE652" s="1088"/>
      <c r="AF652" s="1088"/>
      <c r="AG652" s="1088"/>
      <c r="AH652" s="1088"/>
      <c r="AI652" s="1088"/>
      <c r="AJ652" s="1088"/>
      <c r="AK652" s="1088"/>
      <c r="AM652" s="58"/>
      <c r="AN652" s="463">
        <f t="shared" si="22"/>
        <v>2406</v>
      </c>
      <c r="AO652" s="58"/>
      <c r="AP652" s="58"/>
      <c r="AQ652" s="58"/>
      <c r="AR652" s="58"/>
      <c r="AS652" s="399"/>
      <c r="AT652" s="474">
        <f t="shared" si="23"/>
        <v>2</v>
      </c>
      <c r="AU652" s="477">
        <f t="shared" si="25"/>
        <v>1.5384615384615385E-2</v>
      </c>
      <c r="AV652" s="478">
        <f t="shared" si="24"/>
        <v>1.0769230769230769E-2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f t="shared" si="22"/>
        <v>2782</v>
      </c>
      <c r="AO653" s="58"/>
      <c r="AP653" s="58"/>
      <c r="AQ653" s="58"/>
      <c r="AR653" s="58"/>
      <c r="AS653" s="399"/>
      <c r="AT653" s="474">
        <f t="shared" si="23"/>
        <v>5</v>
      </c>
      <c r="AU653" s="477">
        <f t="shared" si="25"/>
        <v>3.8461538461538464E-2</v>
      </c>
      <c r="AV653" s="478">
        <f t="shared" si="24"/>
        <v>3.0769230769230771E-2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3"/>
      <c r="H654" s="1123"/>
      <c r="I654" s="1123"/>
      <c r="J654" s="1123"/>
      <c r="K654" s="1123"/>
      <c r="L654" s="1123"/>
      <c r="O654" s="140" t="s">
        <v>219</v>
      </c>
      <c r="P654" s="1153"/>
      <c r="Q654" s="1153"/>
      <c r="R654" s="1153"/>
      <c r="T654" s="35"/>
      <c r="U654" s="12" t="s">
        <v>337</v>
      </c>
      <c r="Z654" s="1123"/>
      <c r="AA654" s="1123"/>
      <c r="AB654" s="1123"/>
      <c r="AC654" s="1123"/>
      <c r="AD654" s="1123"/>
      <c r="AE654" s="1123"/>
      <c r="AH654" s="140" t="s">
        <v>219</v>
      </c>
      <c r="AI654" s="1153"/>
      <c r="AJ654" s="1153"/>
      <c r="AK654" s="1153"/>
      <c r="AM654" s="58"/>
      <c r="AN654" s="463">
        <f t="shared" si="22"/>
        <v>2782</v>
      </c>
      <c r="AO654" s="58"/>
      <c r="AP654" s="58"/>
      <c r="AQ654" s="58"/>
      <c r="AR654" s="58"/>
      <c r="AS654" s="399"/>
      <c r="AT654" s="474">
        <f t="shared" si="23"/>
        <v>37</v>
      </c>
      <c r="AU654" s="477">
        <f t="shared" si="25"/>
        <v>0.2846153846153846</v>
      </c>
      <c r="AV654" s="478">
        <f t="shared" si="24"/>
        <v>0.1423076923076923</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f t="shared" si="22"/>
        <v>2782</v>
      </c>
      <c r="AO655" s="58"/>
      <c r="AP655" s="58"/>
      <c r="AQ655" s="58"/>
      <c r="AR655" s="58"/>
      <c r="AS655" s="399"/>
      <c r="AT655" s="474">
        <f t="shared" si="23"/>
        <v>15</v>
      </c>
      <c r="AU655" s="477">
        <f t="shared" si="25"/>
        <v>0.11538461538461539</v>
      </c>
      <c r="AV655" s="478">
        <f t="shared" si="24"/>
        <v>6.9230769230769235E-2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722</v>
      </c>
      <c r="O656" s="1117"/>
      <c r="T656" s="35"/>
      <c r="U656" s="12" t="s">
        <v>22</v>
      </c>
      <c r="AG656" s="1117" t="s">
        <v>722</v>
      </c>
      <c r="AH656" s="1117"/>
      <c r="AM656" s="58"/>
      <c r="AN656" s="463">
        <f t="shared" si="22"/>
        <v>2782</v>
      </c>
      <c r="AO656" s="58"/>
      <c r="AP656" s="58"/>
      <c r="AQ656" s="58"/>
      <c r="AR656" s="58"/>
      <c r="AS656" s="399"/>
      <c r="AT656" s="474">
        <f t="shared" si="23"/>
        <v>7</v>
      </c>
      <c r="AU656" s="477">
        <f t="shared" si="25"/>
        <v>5.3846153846153849E-2</v>
      </c>
      <c r="AV656" s="478">
        <f t="shared" si="24"/>
        <v>3.7692307692307692E-2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3104</v>
      </c>
      <c r="AO657" s="58"/>
      <c r="AP657" s="58"/>
      <c r="AQ657" s="58"/>
      <c r="AR657" s="58"/>
      <c r="AS657" s="399"/>
      <c r="AT657" s="474">
        <f t="shared" si="23"/>
        <v>14</v>
      </c>
      <c r="AU657" s="477">
        <f t="shared" si="25"/>
        <v>0.1076923076923077</v>
      </c>
      <c r="AV657" s="478">
        <f t="shared" si="24"/>
        <v>8.6153846153846164E-2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f>C624</f>
        <v>0</v>
      </c>
      <c r="H658" s="1176"/>
      <c r="I658" s="1176"/>
      <c r="J658" s="1176"/>
      <c r="K658" s="1176"/>
      <c r="L658" s="1176"/>
      <c r="M658" s="1176"/>
      <c r="N658" s="1176"/>
      <c r="O658" s="1176"/>
      <c r="P658" s="1176"/>
      <c r="Q658" s="1176"/>
      <c r="R658" s="1176"/>
      <c r="T658" s="87" t="s">
        <v>501</v>
      </c>
      <c r="U658" s="12" t="s">
        <v>509</v>
      </c>
      <c r="Z658" s="1176">
        <f>C625</f>
        <v>0</v>
      </c>
      <c r="AA658" s="1176"/>
      <c r="AB658" s="1176"/>
      <c r="AC658" s="1176"/>
      <c r="AD658" s="1176"/>
      <c r="AE658" s="1176"/>
      <c r="AF658" s="1176"/>
      <c r="AG658" s="1176"/>
      <c r="AH658" s="1176"/>
      <c r="AI658" s="1176"/>
      <c r="AJ658" s="1176"/>
      <c r="AK658" s="1176"/>
      <c r="AM658" s="58"/>
      <c r="AN658" s="463">
        <f t="shared" si="22"/>
        <v>3104</v>
      </c>
      <c r="AO658" s="58"/>
      <c r="AP658" s="58"/>
      <c r="AQ658" s="58"/>
      <c r="AR658" s="58"/>
      <c r="AS658" s="399"/>
      <c r="AT658" s="474">
        <f t="shared" si="23"/>
        <v>16</v>
      </c>
      <c r="AU658" s="477">
        <f t="shared" si="25"/>
        <v>0.12307692307692308</v>
      </c>
      <c r="AV658" s="478">
        <f t="shared" si="24"/>
        <v>6.1538461538461542E-2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f t="shared" si="22"/>
        <v>3104</v>
      </c>
      <c r="AO659" s="58"/>
      <c r="AP659" s="58"/>
      <c r="AQ659" s="58"/>
      <c r="AR659" s="58"/>
      <c r="AS659" s="399"/>
      <c r="AT659" s="474">
        <f t="shared" si="23"/>
        <v>6</v>
      </c>
      <c r="AU659" s="477">
        <f t="shared" si="25"/>
        <v>4.6153846153846156E-2</v>
      </c>
      <c r="AV659" s="478">
        <f t="shared" si="24"/>
        <v>2.7692307692307693E-2</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f t="shared" si="22"/>
        <v>3104</v>
      </c>
      <c r="AO660" s="58"/>
      <c r="AP660" s="58"/>
      <c r="AQ660" s="58"/>
      <c r="AR660" s="58"/>
      <c r="AS660" s="399"/>
      <c r="AT660" s="474">
        <f t="shared" si="23"/>
        <v>4</v>
      </c>
      <c r="AU660" s="477">
        <f t="shared" si="25"/>
        <v>3.0769230769230771E-2</v>
      </c>
      <c r="AV660" s="478">
        <f t="shared" si="24"/>
        <v>2.1538461538461538E-2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7</v>
      </c>
      <c r="AU661" s="477">
        <f t="shared" si="25"/>
        <v>5.3846153846153849E-2</v>
      </c>
      <c r="AV661" s="478">
        <f t="shared" si="24"/>
        <v>4.3076923076923082E-2</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3"/>
      <c r="H662" s="1123"/>
      <c r="I662" s="1123"/>
      <c r="J662" s="1123"/>
      <c r="K662" s="1123"/>
      <c r="L662" s="1123"/>
      <c r="O662" s="140" t="s">
        <v>219</v>
      </c>
      <c r="P662" s="1153"/>
      <c r="Q662" s="1153"/>
      <c r="R662" s="1153"/>
      <c r="T662" s="35"/>
      <c r="U662" s="12" t="s">
        <v>337</v>
      </c>
      <c r="Z662" s="1123"/>
      <c r="AA662" s="1123"/>
      <c r="AB662" s="1123"/>
      <c r="AC662" s="1123"/>
      <c r="AD662" s="1123"/>
      <c r="AE662" s="1123"/>
      <c r="AH662" s="140" t="s">
        <v>219</v>
      </c>
      <c r="AI662" s="1153"/>
      <c r="AJ662" s="1153"/>
      <c r="AK662" s="115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722</v>
      </c>
      <c r="O664" s="1117"/>
      <c r="T664" s="35"/>
      <c r="U664" s="12" t="s">
        <v>22</v>
      </c>
      <c r="AG664" s="1117" t="s">
        <v>722</v>
      </c>
      <c r="AH664" s="111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f>C626</f>
        <v>0</v>
      </c>
      <c r="H666" s="1176"/>
      <c r="I666" s="1176"/>
      <c r="J666" s="1176"/>
      <c r="K666" s="1176"/>
      <c r="L666" s="1176"/>
      <c r="M666" s="1176"/>
      <c r="N666" s="1176"/>
      <c r="O666" s="1176"/>
      <c r="P666" s="1176"/>
      <c r="Q666" s="1176"/>
      <c r="R666" s="1176"/>
      <c r="T666" s="87" t="s">
        <v>696</v>
      </c>
      <c r="U666" s="12" t="s">
        <v>509</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3"/>
      <c r="H670" s="1123"/>
      <c r="I670" s="1123"/>
      <c r="J670" s="1123"/>
      <c r="K670" s="1123"/>
      <c r="L670" s="1123"/>
      <c r="O670" s="140" t="s">
        <v>219</v>
      </c>
      <c r="P670" s="1153"/>
      <c r="Q670" s="1153"/>
      <c r="R670" s="1153"/>
      <c r="T670" s="35"/>
      <c r="U670" s="12" t="s">
        <v>337</v>
      </c>
      <c r="Z670" s="1123"/>
      <c r="AA670" s="1123"/>
      <c r="AB670" s="1123"/>
      <c r="AC670" s="1123"/>
      <c r="AD670" s="1123"/>
      <c r="AE670" s="1123"/>
      <c r="AH670" s="140" t="s">
        <v>219</v>
      </c>
      <c r="AI670" s="1153"/>
      <c r="AJ670" s="1153"/>
      <c r="AK670" s="115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722</v>
      </c>
      <c r="O672" s="1117"/>
      <c r="T672" s="35"/>
      <c r="U672" s="12" t="s">
        <v>22</v>
      </c>
      <c r="AG672" s="1117" t="s">
        <v>722</v>
      </c>
      <c r="AH672" s="111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6">
        <f>C628</f>
        <v>0</v>
      </c>
      <c r="H674" s="1176"/>
      <c r="I674" s="1176"/>
      <c r="J674" s="1176"/>
      <c r="K674" s="1176"/>
      <c r="L674" s="1176"/>
      <c r="M674" s="1176"/>
      <c r="N674" s="1176"/>
      <c r="O674" s="1176"/>
      <c r="P674" s="1176"/>
      <c r="Q674" s="1176"/>
      <c r="R674" s="1176"/>
      <c r="T674" s="87" t="s">
        <v>386</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130</v>
      </c>
      <c r="AU675" s="480">
        <f>SUM(AU650:AU674)</f>
        <v>1</v>
      </c>
      <c r="AV675" s="480">
        <f>SUM(AV650:AV674)</f>
        <v>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3"/>
      <c r="H678" s="1123"/>
      <c r="I678" s="1123"/>
      <c r="J678" s="1123"/>
      <c r="K678" s="1123"/>
      <c r="L678" s="1123"/>
      <c r="O678" s="140" t="s">
        <v>219</v>
      </c>
      <c r="P678" s="1153"/>
      <c r="Q678" s="1153"/>
      <c r="R678" s="1153"/>
      <c r="U678" s="12" t="s">
        <v>337</v>
      </c>
      <c r="Z678" s="1123"/>
      <c r="AA678" s="1123"/>
      <c r="AB678" s="1123"/>
      <c r="AC678" s="1123"/>
      <c r="AD678" s="1123"/>
      <c r="AE678" s="1123"/>
      <c r="AH678" s="140" t="s">
        <v>219</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722</v>
      </c>
      <c r="O680" s="1117"/>
      <c r="U680" s="12" t="s">
        <v>22</v>
      </c>
      <c r="AG680" s="1117" t="s">
        <v>722</v>
      </c>
      <c r="AH680" s="111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591</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43847</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43908</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44075</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76">
        <v>0.59319999999999995</v>
      </c>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6" t="str">
        <f>H330</f>
        <v>California Housing Finance Agency (CalHFA)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219</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328</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356</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6" t="s">
        <v>420</v>
      </c>
      <c r="C705" s="1387"/>
      <c r="D705" s="1387"/>
      <c r="E705" s="1387"/>
      <c r="F705" s="1388"/>
      <c r="G705" s="1386" t="s">
        <v>301</v>
      </c>
      <c r="H705" s="1387"/>
      <c r="I705" s="1387"/>
      <c r="J705" s="1388"/>
      <c r="K705" s="1386" t="s">
        <v>491</v>
      </c>
      <c r="L705" s="1387"/>
      <c r="M705" s="1387"/>
      <c r="N705" s="1387"/>
      <c r="O705" s="1388"/>
      <c r="P705" s="1386" t="s">
        <v>302</v>
      </c>
      <c r="Q705" s="1387"/>
      <c r="R705" s="1387"/>
      <c r="S705" s="1387"/>
      <c r="T705" s="1388"/>
      <c r="U705" s="1386" t="s">
        <v>303</v>
      </c>
      <c r="V705" s="1387"/>
      <c r="W705" s="1387"/>
      <c r="X705" s="1388"/>
      <c r="Y705" s="1386" t="s">
        <v>304</v>
      </c>
      <c r="Z705" s="1387"/>
      <c r="AA705" s="1387"/>
      <c r="AB705" s="1387"/>
      <c r="AC705" s="1388"/>
      <c r="AD705" s="1386" t="s">
        <v>421</v>
      </c>
      <c r="AE705" s="1387"/>
      <c r="AF705" s="1387"/>
      <c r="AG705" s="1387"/>
      <c r="AH705" s="1388"/>
      <c r="AI705" s="1386" t="s">
        <v>697</v>
      </c>
      <c r="AJ705" s="1387"/>
      <c r="AK705" s="1388"/>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9"/>
      <c r="C706" s="1390"/>
      <c r="D706" s="1390"/>
      <c r="E706" s="1390"/>
      <c r="F706" s="1391"/>
      <c r="G706" s="1389"/>
      <c r="H706" s="1390"/>
      <c r="I706" s="1390"/>
      <c r="J706" s="1391"/>
      <c r="K706" s="1389"/>
      <c r="L706" s="1390"/>
      <c r="M706" s="1390"/>
      <c r="N706" s="1390"/>
      <c r="O706" s="1391"/>
      <c r="P706" s="1389"/>
      <c r="Q706" s="1390"/>
      <c r="R706" s="1390"/>
      <c r="S706" s="1390"/>
      <c r="T706" s="1391"/>
      <c r="U706" s="1389"/>
      <c r="V706" s="1390"/>
      <c r="W706" s="1390"/>
      <c r="X706" s="1391"/>
      <c r="Y706" s="1389"/>
      <c r="Z706" s="1390"/>
      <c r="AA706" s="1390"/>
      <c r="AB706" s="1390"/>
      <c r="AC706" s="1391"/>
      <c r="AD706" s="1389"/>
      <c r="AE706" s="1390"/>
      <c r="AF706" s="1390"/>
      <c r="AG706" s="1390"/>
      <c r="AH706" s="1391"/>
      <c r="AI706" s="1389"/>
      <c r="AJ706" s="1390"/>
      <c r="AK706" s="1391"/>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9"/>
      <c r="C707" s="1390"/>
      <c r="D707" s="1390"/>
      <c r="E707" s="1390"/>
      <c r="F707" s="1391"/>
      <c r="G707" s="1389"/>
      <c r="H707" s="1390"/>
      <c r="I707" s="1390"/>
      <c r="J707" s="1391"/>
      <c r="K707" s="1389"/>
      <c r="L707" s="1390"/>
      <c r="M707" s="1390"/>
      <c r="N707" s="1390"/>
      <c r="O707" s="1391"/>
      <c r="P707" s="1389"/>
      <c r="Q707" s="1390"/>
      <c r="R707" s="1390"/>
      <c r="S707" s="1390"/>
      <c r="T707" s="1391"/>
      <c r="U707" s="1389"/>
      <c r="V707" s="1390"/>
      <c r="W707" s="1390"/>
      <c r="X707" s="1391"/>
      <c r="Y707" s="1389"/>
      <c r="Z707" s="1390"/>
      <c r="AA707" s="1390"/>
      <c r="AB707" s="1390"/>
      <c r="AC707" s="1391"/>
      <c r="AD707" s="1389"/>
      <c r="AE707" s="1390"/>
      <c r="AF707" s="1390"/>
      <c r="AG707" s="1390"/>
      <c r="AH707" s="1391"/>
      <c r="AI707" s="1389"/>
      <c r="AJ707" s="1390"/>
      <c r="AK707" s="139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2"/>
      <c r="C708" s="1393"/>
      <c r="D708" s="1393"/>
      <c r="E708" s="1393"/>
      <c r="F708" s="1394"/>
      <c r="G708" s="1392"/>
      <c r="H708" s="1393"/>
      <c r="I708" s="1393"/>
      <c r="J708" s="1394"/>
      <c r="K708" s="1392"/>
      <c r="L708" s="1393"/>
      <c r="M708" s="1393"/>
      <c r="N708" s="1393"/>
      <c r="O708" s="1394"/>
      <c r="P708" s="1392"/>
      <c r="Q708" s="1393"/>
      <c r="R708" s="1393"/>
      <c r="S708" s="1393"/>
      <c r="T708" s="1394"/>
      <c r="U708" s="1392"/>
      <c r="V708" s="1393"/>
      <c r="W708" s="1393"/>
      <c r="X708" s="1394"/>
      <c r="Y708" s="1392"/>
      <c r="Z708" s="1393"/>
      <c r="AA708" s="1393"/>
      <c r="AB708" s="1393"/>
      <c r="AC708" s="1394"/>
      <c r="AD708" s="1392"/>
      <c r="AE708" s="1393"/>
      <c r="AF708" s="1393"/>
      <c r="AG708" s="1393"/>
      <c r="AH708" s="1394"/>
      <c r="AI708" s="1392"/>
      <c r="AJ708" s="1393"/>
      <c r="AK708" s="139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1" t="s">
        <v>170</v>
      </c>
      <c r="C709" s="1262"/>
      <c r="D709" s="1262"/>
      <c r="E709" s="1262"/>
      <c r="F709" s="1379"/>
      <c r="G709" s="1372">
        <v>12</v>
      </c>
      <c r="H709" s="1373"/>
      <c r="I709" s="1373"/>
      <c r="J709" s="1374"/>
      <c r="K709" s="1383">
        <v>1157</v>
      </c>
      <c r="L709" s="1384"/>
      <c r="M709" s="1384"/>
      <c r="N709" s="1384"/>
      <c r="O709" s="1385"/>
      <c r="P709" s="1380">
        <f t="shared" ref="P709:P733" si="26">G709*K709</f>
        <v>13884</v>
      </c>
      <c r="Q709" s="1381"/>
      <c r="R709" s="1381"/>
      <c r="S709" s="1381"/>
      <c r="T709" s="1382"/>
      <c r="U709" s="1383">
        <v>46</v>
      </c>
      <c r="V709" s="1384"/>
      <c r="W709" s="1384"/>
      <c r="X709" s="1385"/>
      <c r="Y709" s="1380">
        <f>K709+U709</f>
        <v>1203</v>
      </c>
      <c r="Z709" s="1381"/>
      <c r="AA709" s="1381"/>
      <c r="AB709" s="1381"/>
      <c r="AC709" s="1382"/>
      <c r="AD709" s="1180">
        <v>0.5</v>
      </c>
      <c r="AE709" s="1181"/>
      <c r="AF709" s="1181"/>
      <c r="AG709" s="1181"/>
      <c r="AH709" s="1182"/>
      <c r="AI709" s="1271">
        <f t="shared" ref="AI709:AI733" si="27">IF($AD709&gt;0,($Y709/$AN649), " ")</f>
        <v>0.5</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78" t="s">
        <v>170</v>
      </c>
      <c r="C710" s="1262"/>
      <c r="D710" s="1262"/>
      <c r="E710" s="1262"/>
      <c r="F710" s="1379"/>
      <c r="G710" s="1372">
        <v>5</v>
      </c>
      <c r="H710" s="1373"/>
      <c r="I710" s="1373"/>
      <c r="J710" s="1374"/>
      <c r="K710" s="1383">
        <v>1398</v>
      </c>
      <c r="L710" s="1384"/>
      <c r="M710" s="1384"/>
      <c r="N710" s="1384"/>
      <c r="O710" s="1385"/>
      <c r="P710" s="1380">
        <f t="shared" si="26"/>
        <v>6990</v>
      </c>
      <c r="Q710" s="1381"/>
      <c r="R710" s="1381"/>
      <c r="S710" s="1381"/>
      <c r="T710" s="1382"/>
      <c r="U710" s="1383">
        <v>46</v>
      </c>
      <c r="V710" s="1384"/>
      <c r="W710" s="1384"/>
      <c r="X710" s="1385"/>
      <c r="Y710" s="1380">
        <f t="shared" ref="Y710:Y733" si="28">K710+U710</f>
        <v>1444</v>
      </c>
      <c r="Z710" s="1381"/>
      <c r="AA710" s="1381"/>
      <c r="AB710" s="1381"/>
      <c r="AC710" s="1382"/>
      <c r="AD710" s="1180">
        <v>0.6</v>
      </c>
      <c r="AE710" s="1181"/>
      <c r="AF710" s="1181"/>
      <c r="AG710" s="1181"/>
      <c r="AH710" s="1182"/>
      <c r="AI710" s="1271">
        <f t="shared" si="27"/>
        <v>0.60016625103906895</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78" t="s">
        <v>170</v>
      </c>
      <c r="C711" s="1262"/>
      <c r="D711" s="1262"/>
      <c r="E711" s="1262"/>
      <c r="F711" s="1379"/>
      <c r="G711" s="1372">
        <v>2</v>
      </c>
      <c r="H711" s="1373"/>
      <c r="I711" s="1373"/>
      <c r="J711" s="1374"/>
      <c r="K711" s="1383">
        <v>1639</v>
      </c>
      <c r="L711" s="1384"/>
      <c r="M711" s="1384"/>
      <c r="N711" s="1384"/>
      <c r="O711" s="1385"/>
      <c r="P711" s="1380">
        <f t="shared" si="26"/>
        <v>3278</v>
      </c>
      <c r="Q711" s="1381"/>
      <c r="R711" s="1381"/>
      <c r="S711" s="1381"/>
      <c r="T711" s="1382"/>
      <c r="U711" s="1383">
        <v>46</v>
      </c>
      <c r="V711" s="1384"/>
      <c r="W711" s="1384"/>
      <c r="X711" s="1385"/>
      <c r="Y711" s="1380">
        <f t="shared" si="28"/>
        <v>1685</v>
      </c>
      <c r="Z711" s="1381"/>
      <c r="AA711" s="1381"/>
      <c r="AB711" s="1381"/>
      <c r="AC711" s="1382"/>
      <c r="AD711" s="1180">
        <v>0.7</v>
      </c>
      <c r="AE711" s="1181"/>
      <c r="AF711" s="1181"/>
      <c r="AG711" s="1181"/>
      <c r="AH711" s="1182"/>
      <c r="AI711" s="1271">
        <f t="shared" si="27"/>
        <v>0.70033250207813802</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78" t="s">
        <v>170</v>
      </c>
      <c r="C712" s="1262"/>
      <c r="D712" s="1262"/>
      <c r="E712" s="1262"/>
      <c r="F712" s="1379"/>
      <c r="G712" s="1372">
        <v>5</v>
      </c>
      <c r="H712" s="1373"/>
      <c r="I712" s="1373"/>
      <c r="J712" s="1374"/>
      <c r="K712" s="1395">
        <v>1880</v>
      </c>
      <c r="L712" s="1395"/>
      <c r="M712" s="1395"/>
      <c r="N712" s="1395"/>
      <c r="O712" s="1395"/>
      <c r="P712" s="1118">
        <f t="shared" si="26"/>
        <v>9400</v>
      </c>
      <c r="Q712" s="1118"/>
      <c r="R712" s="1118"/>
      <c r="S712" s="1118"/>
      <c r="T712" s="1118"/>
      <c r="U712" s="1383">
        <v>46</v>
      </c>
      <c r="V712" s="1384"/>
      <c r="W712" s="1384"/>
      <c r="X712" s="1385"/>
      <c r="Y712" s="1118">
        <f t="shared" si="28"/>
        <v>1926</v>
      </c>
      <c r="Z712" s="1118"/>
      <c r="AA712" s="1118"/>
      <c r="AB712" s="1118"/>
      <c r="AC712" s="1118"/>
      <c r="AD712" s="1180">
        <v>0.8</v>
      </c>
      <c r="AE712" s="1181"/>
      <c r="AF712" s="1181"/>
      <c r="AG712" s="1181"/>
      <c r="AH712" s="1182"/>
      <c r="AI712" s="1271">
        <f t="shared" si="27"/>
        <v>0.80049875311720697</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78" t="s">
        <v>171</v>
      </c>
      <c r="C713" s="1262"/>
      <c r="D713" s="1262"/>
      <c r="E713" s="1262"/>
      <c r="F713" s="1379"/>
      <c r="G713" s="1372">
        <v>37</v>
      </c>
      <c r="H713" s="1373"/>
      <c r="I713" s="1373"/>
      <c r="J713" s="1374"/>
      <c r="K713" s="1395">
        <v>1335</v>
      </c>
      <c r="L713" s="1395"/>
      <c r="M713" s="1395"/>
      <c r="N713" s="1395"/>
      <c r="O713" s="1395"/>
      <c r="P713" s="1118">
        <f t="shared" si="26"/>
        <v>49395</v>
      </c>
      <c r="Q713" s="1118"/>
      <c r="R713" s="1118"/>
      <c r="S713" s="1118"/>
      <c r="T713" s="1118"/>
      <c r="U713" s="1383">
        <v>56</v>
      </c>
      <c r="V713" s="1384"/>
      <c r="W713" s="1384"/>
      <c r="X713" s="1385"/>
      <c r="Y713" s="1118">
        <f t="shared" si="28"/>
        <v>1391</v>
      </c>
      <c r="Z713" s="1118"/>
      <c r="AA713" s="1118"/>
      <c r="AB713" s="1118"/>
      <c r="AC713" s="1118"/>
      <c r="AD713" s="1180">
        <v>0.5</v>
      </c>
      <c r="AE713" s="1181"/>
      <c r="AF713" s="1181"/>
      <c r="AG713" s="1181"/>
      <c r="AH713" s="1182"/>
      <c r="AI713" s="1271">
        <f t="shared" si="27"/>
        <v>0.5</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78" t="s">
        <v>171</v>
      </c>
      <c r="C714" s="1262"/>
      <c r="D714" s="1262"/>
      <c r="E714" s="1262"/>
      <c r="F714" s="1379"/>
      <c r="G714" s="1372">
        <v>15</v>
      </c>
      <c r="H714" s="1373"/>
      <c r="I714" s="1373"/>
      <c r="J714" s="1374"/>
      <c r="K714" s="1395">
        <v>1613</v>
      </c>
      <c r="L714" s="1395"/>
      <c r="M714" s="1395"/>
      <c r="N714" s="1395"/>
      <c r="O714" s="1395"/>
      <c r="P714" s="1118">
        <f t="shared" si="26"/>
        <v>24195</v>
      </c>
      <c r="Q714" s="1118"/>
      <c r="R714" s="1118"/>
      <c r="S714" s="1118"/>
      <c r="T714" s="1118"/>
      <c r="U714" s="1383">
        <v>56</v>
      </c>
      <c r="V714" s="1384"/>
      <c r="W714" s="1384"/>
      <c r="X714" s="1385"/>
      <c r="Y714" s="1118">
        <f t="shared" si="28"/>
        <v>1669</v>
      </c>
      <c r="Z714" s="1118"/>
      <c r="AA714" s="1118"/>
      <c r="AB714" s="1118"/>
      <c r="AC714" s="1118"/>
      <c r="AD714" s="1180">
        <v>0.6</v>
      </c>
      <c r="AE714" s="1181"/>
      <c r="AF714" s="1181"/>
      <c r="AG714" s="1181"/>
      <c r="AH714" s="1182"/>
      <c r="AI714" s="1271">
        <f t="shared" si="27"/>
        <v>0.59992810927390372</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78" t="s">
        <v>171</v>
      </c>
      <c r="C715" s="1262"/>
      <c r="D715" s="1262"/>
      <c r="E715" s="1262"/>
      <c r="F715" s="1379"/>
      <c r="G715" s="1372">
        <v>7</v>
      </c>
      <c r="H715" s="1373"/>
      <c r="I715" s="1373"/>
      <c r="J715" s="1374"/>
      <c r="K715" s="1395">
        <v>1891</v>
      </c>
      <c r="L715" s="1395"/>
      <c r="M715" s="1395"/>
      <c r="N715" s="1395"/>
      <c r="O715" s="1395"/>
      <c r="P715" s="1118">
        <f t="shared" si="26"/>
        <v>13237</v>
      </c>
      <c r="Q715" s="1118"/>
      <c r="R715" s="1118"/>
      <c r="S715" s="1118"/>
      <c r="T715" s="1118"/>
      <c r="U715" s="1383">
        <v>56</v>
      </c>
      <c r="V715" s="1384"/>
      <c r="W715" s="1384"/>
      <c r="X715" s="1385"/>
      <c r="Y715" s="1118">
        <f t="shared" si="28"/>
        <v>1947</v>
      </c>
      <c r="Z715" s="1118"/>
      <c r="AA715" s="1118"/>
      <c r="AB715" s="1118"/>
      <c r="AC715" s="1118"/>
      <c r="AD715" s="1180">
        <v>0.7</v>
      </c>
      <c r="AE715" s="1181"/>
      <c r="AF715" s="1181"/>
      <c r="AG715" s="1181"/>
      <c r="AH715" s="1182"/>
      <c r="AI715" s="1271">
        <f t="shared" si="27"/>
        <v>0.69985621854780733</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78" t="s">
        <v>171</v>
      </c>
      <c r="C716" s="1262"/>
      <c r="D716" s="1262"/>
      <c r="E716" s="1262"/>
      <c r="F716" s="1379"/>
      <c r="G716" s="1372">
        <v>14</v>
      </c>
      <c r="H716" s="1373"/>
      <c r="I716" s="1373"/>
      <c r="J716" s="1374"/>
      <c r="K716" s="1395">
        <v>2170</v>
      </c>
      <c r="L716" s="1395"/>
      <c r="M716" s="1395"/>
      <c r="N716" s="1395"/>
      <c r="O716" s="1395"/>
      <c r="P716" s="1118">
        <f t="shared" si="26"/>
        <v>30380</v>
      </c>
      <c r="Q716" s="1118"/>
      <c r="R716" s="1118"/>
      <c r="S716" s="1118"/>
      <c r="T716" s="1118"/>
      <c r="U716" s="1383">
        <v>56</v>
      </c>
      <c r="V716" s="1384"/>
      <c r="W716" s="1384"/>
      <c r="X716" s="1385"/>
      <c r="Y716" s="1118">
        <f t="shared" si="28"/>
        <v>2226</v>
      </c>
      <c r="Z716" s="1118"/>
      <c r="AA716" s="1118"/>
      <c r="AB716" s="1118"/>
      <c r="AC716" s="1118"/>
      <c r="AD716" s="1180">
        <v>0.8</v>
      </c>
      <c r="AE716" s="1181"/>
      <c r="AF716" s="1181"/>
      <c r="AG716" s="1181"/>
      <c r="AH716" s="1182"/>
      <c r="AI716" s="1271">
        <f t="shared" si="27"/>
        <v>0.80014378145219267</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78" t="s">
        <v>172</v>
      </c>
      <c r="C717" s="1262"/>
      <c r="D717" s="1262"/>
      <c r="E717" s="1262"/>
      <c r="F717" s="1379"/>
      <c r="G717" s="1372">
        <v>16</v>
      </c>
      <c r="H717" s="1373"/>
      <c r="I717" s="1373"/>
      <c r="J717" s="1374"/>
      <c r="K717" s="1395">
        <v>1481</v>
      </c>
      <c r="L717" s="1395"/>
      <c r="M717" s="1395"/>
      <c r="N717" s="1395"/>
      <c r="O717" s="1395"/>
      <c r="P717" s="1118">
        <f t="shared" si="26"/>
        <v>23696</v>
      </c>
      <c r="Q717" s="1118"/>
      <c r="R717" s="1118"/>
      <c r="S717" s="1118"/>
      <c r="T717" s="1118"/>
      <c r="U717" s="1383">
        <v>71</v>
      </c>
      <c r="V717" s="1384"/>
      <c r="W717" s="1384"/>
      <c r="X717" s="1385"/>
      <c r="Y717" s="1118">
        <f t="shared" si="28"/>
        <v>1552</v>
      </c>
      <c r="Z717" s="1118"/>
      <c r="AA717" s="1118"/>
      <c r="AB717" s="1118"/>
      <c r="AC717" s="1118"/>
      <c r="AD717" s="1180">
        <v>0.5</v>
      </c>
      <c r="AE717" s="1181"/>
      <c r="AF717" s="1181"/>
      <c r="AG717" s="1181"/>
      <c r="AH717" s="1182"/>
      <c r="AI717" s="1271">
        <f t="shared" si="27"/>
        <v>0.5</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78" t="s">
        <v>172</v>
      </c>
      <c r="C718" s="1262"/>
      <c r="D718" s="1262"/>
      <c r="E718" s="1262"/>
      <c r="F718" s="1379"/>
      <c r="G718" s="1372">
        <v>6</v>
      </c>
      <c r="H718" s="1373"/>
      <c r="I718" s="1373"/>
      <c r="J718" s="1374"/>
      <c r="K718" s="1545">
        <v>1792</v>
      </c>
      <c r="L718" s="1545"/>
      <c r="M718" s="1545"/>
      <c r="N718" s="1545"/>
      <c r="O718" s="1545"/>
      <c r="P718" s="1546">
        <f t="shared" si="26"/>
        <v>10752</v>
      </c>
      <c r="Q718" s="1546"/>
      <c r="R718" s="1546"/>
      <c r="S718" s="1546"/>
      <c r="T718" s="1546"/>
      <c r="U718" s="1383">
        <v>71</v>
      </c>
      <c r="V718" s="1384"/>
      <c r="W718" s="1384"/>
      <c r="X718" s="1385"/>
      <c r="Y718" s="1546">
        <f t="shared" si="28"/>
        <v>1863</v>
      </c>
      <c r="Z718" s="1546"/>
      <c r="AA718" s="1546"/>
      <c r="AB718" s="1546"/>
      <c r="AC718" s="1546"/>
      <c r="AD718" s="1180">
        <v>0.6</v>
      </c>
      <c r="AE718" s="1181"/>
      <c r="AF718" s="1181"/>
      <c r="AG718" s="1181"/>
      <c r="AH718" s="1182"/>
      <c r="AI718" s="1271">
        <f t="shared" si="27"/>
        <v>0.60019329896907214</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78" t="s">
        <v>172</v>
      </c>
      <c r="C719" s="1262"/>
      <c r="D719" s="1262"/>
      <c r="E719" s="1262"/>
      <c r="F719" s="1379"/>
      <c r="G719" s="1372">
        <v>4</v>
      </c>
      <c r="H719" s="1373"/>
      <c r="I719" s="1373"/>
      <c r="J719" s="1374"/>
      <c r="K719" s="1395">
        <v>2102</v>
      </c>
      <c r="L719" s="1395"/>
      <c r="M719" s="1395"/>
      <c r="N719" s="1395"/>
      <c r="O719" s="1395"/>
      <c r="P719" s="1118">
        <f t="shared" si="26"/>
        <v>8408</v>
      </c>
      <c r="Q719" s="1118"/>
      <c r="R719" s="1118"/>
      <c r="S719" s="1118"/>
      <c r="T719" s="1118"/>
      <c r="U719" s="1383">
        <v>71</v>
      </c>
      <c r="V719" s="1384"/>
      <c r="W719" s="1384"/>
      <c r="X719" s="1385"/>
      <c r="Y719" s="1118">
        <f t="shared" si="28"/>
        <v>2173</v>
      </c>
      <c r="Z719" s="1118"/>
      <c r="AA719" s="1118"/>
      <c r="AB719" s="1118"/>
      <c r="AC719" s="1118"/>
      <c r="AD719" s="1180">
        <v>0.7</v>
      </c>
      <c r="AE719" s="1181"/>
      <c r="AF719" s="1181"/>
      <c r="AG719" s="1181"/>
      <c r="AH719" s="1182"/>
      <c r="AI719" s="1271">
        <f t="shared" si="27"/>
        <v>0.70006443298969068</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78" t="s">
        <v>172</v>
      </c>
      <c r="C720" s="1262"/>
      <c r="D720" s="1262"/>
      <c r="E720" s="1262"/>
      <c r="F720" s="1379"/>
      <c r="G720" s="1372">
        <v>7</v>
      </c>
      <c r="H720" s="1373"/>
      <c r="I720" s="1373"/>
      <c r="J720" s="1374"/>
      <c r="K720" s="1395">
        <v>2413</v>
      </c>
      <c r="L720" s="1395"/>
      <c r="M720" s="1395"/>
      <c r="N720" s="1395"/>
      <c r="O720" s="1395"/>
      <c r="P720" s="1118">
        <f t="shared" si="26"/>
        <v>16891</v>
      </c>
      <c r="Q720" s="1118"/>
      <c r="R720" s="1118"/>
      <c r="S720" s="1118"/>
      <c r="T720" s="1118"/>
      <c r="U720" s="1383">
        <v>71</v>
      </c>
      <c r="V720" s="1384"/>
      <c r="W720" s="1384"/>
      <c r="X720" s="1385"/>
      <c r="Y720" s="1118">
        <f t="shared" si="28"/>
        <v>2484</v>
      </c>
      <c r="Z720" s="1118"/>
      <c r="AA720" s="1118"/>
      <c r="AB720" s="1118"/>
      <c r="AC720" s="1118"/>
      <c r="AD720" s="1180">
        <v>0.8</v>
      </c>
      <c r="AE720" s="1181"/>
      <c r="AF720" s="1181"/>
      <c r="AG720" s="1181"/>
      <c r="AH720" s="1182"/>
      <c r="AI720" s="1271">
        <f t="shared" si="27"/>
        <v>0.80025773195876293</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1"/>
      <c r="C721" s="1262"/>
      <c r="D721" s="1262"/>
      <c r="E721" s="1262"/>
      <c r="F721" s="1379"/>
      <c r="G721" s="1372"/>
      <c r="H721" s="1373"/>
      <c r="I721" s="1373"/>
      <c r="J721" s="1374"/>
      <c r="K721" s="1395"/>
      <c r="L721" s="1395"/>
      <c r="M721" s="1395"/>
      <c r="N721" s="1395"/>
      <c r="O721" s="1395"/>
      <c r="P721" s="1118">
        <f t="shared" si="26"/>
        <v>0</v>
      </c>
      <c r="Q721" s="1118"/>
      <c r="R721" s="1118"/>
      <c r="S721" s="1118"/>
      <c r="T721" s="1118"/>
      <c r="U721" s="1383">
        <v>0</v>
      </c>
      <c r="V721" s="1384"/>
      <c r="W721" s="1384"/>
      <c r="X721" s="1385"/>
      <c r="Y721" s="1118">
        <f t="shared" si="28"/>
        <v>0</v>
      </c>
      <c r="Z721" s="1118"/>
      <c r="AA721" s="1118"/>
      <c r="AB721" s="1118"/>
      <c r="AC721" s="1118"/>
      <c r="AD721" s="1180">
        <v>0</v>
      </c>
      <c r="AE721" s="1181"/>
      <c r="AF721" s="1181"/>
      <c r="AG721" s="1181"/>
      <c r="AH721" s="1182"/>
      <c r="AI721" s="1271" t="str">
        <f t="shared" si="27"/>
        <v xml:space="preserve"> </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1"/>
      <c r="C722" s="1262"/>
      <c r="D722" s="1262"/>
      <c r="E722" s="1262"/>
      <c r="F722" s="1379"/>
      <c r="G722" s="1372"/>
      <c r="H722" s="1373"/>
      <c r="I722" s="1373"/>
      <c r="J722" s="1374"/>
      <c r="K722" s="1395"/>
      <c r="L722" s="1395"/>
      <c r="M722" s="1395"/>
      <c r="N722" s="1395"/>
      <c r="O722" s="1395"/>
      <c r="P722" s="1118">
        <f t="shared" si="26"/>
        <v>0</v>
      </c>
      <c r="Q722" s="1118"/>
      <c r="R722" s="1118"/>
      <c r="S722" s="1118"/>
      <c r="T722" s="1118"/>
      <c r="U722" s="1383">
        <v>0</v>
      </c>
      <c r="V722" s="1384"/>
      <c r="W722" s="1384"/>
      <c r="X722" s="1385"/>
      <c r="Y722" s="1118">
        <f t="shared" si="28"/>
        <v>0</v>
      </c>
      <c r="Z722" s="1118"/>
      <c r="AA722" s="1118"/>
      <c r="AB722" s="1118"/>
      <c r="AC722" s="1118"/>
      <c r="AD722" s="1180">
        <v>0</v>
      </c>
      <c r="AE722" s="1181"/>
      <c r="AF722" s="1181"/>
      <c r="AG722" s="1181"/>
      <c r="AH722" s="1182"/>
      <c r="AI722" s="1271" t="str">
        <f t="shared" si="27"/>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1"/>
      <c r="C723" s="1262"/>
      <c r="D723" s="1262"/>
      <c r="E723" s="1262"/>
      <c r="F723" s="1379"/>
      <c r="G723" s="1372"/>
      <c r="H723" s="1373"/>
      <c r="I723" s="1373"/>
      <c r="J723" s="1374"/>
      <c r="K723" s="1395"/>
      <c r="L723" s="1395"/>
      <c r="M723" s="1395"/>
      <c r="N723" s="1395"/>
      <c r="O723" s="1395"/>
      <c r="P723" s="1118">
        <f t="shared" si="26"/>
        <v>0</v>
      </c>
      <c r="Q723" s="1118"/>
      <c r="R723" s="1118"/>
      <c r="S723" s="1118"/>
      <c r="T723" s="1118"/>
      <c r="U723" s="1383">
        <v>0</v>
      </c>
      <c r="V723" s="1384"/>
      <c r="W723" s="1384"/>
      <c r="X723" s="1385"/>
      <c r="Y723" s="1118">
        <f t="shared" si="28"/>
        <v>0</v>
      </c>
      <c r="Z723" s="1118"/>
      <c r="AA723" s="1118"/>
      <c r="AB723" s="1118"/>
      <c r="AC723" s="1118"/>
      <c r="AD723" s="1180">
        <v>0</v>
      </c>
      <c r="AE723" s="1181"/>
      <c r="AF723" s="1181"/>
      <c r="AG723" s="1181"/>
      <c r="AH723" s="1182"/>
      <c r="AI723" s="1271" t="str">
        <f t="shared" si="27"/>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1"/>
      <c r="C724" s="1262"/>
      <c r="D724" s="1262"/>
      <c r="E724" s="1262"/>
      <c r="F724" s="1379"/>
      <c r="G724" s="1372"/>
      <c r="H724" s="1373"/>
      <c r="I724" s="1373"/>
      <c r="J724" s="1374"/>
      <c r="K724" s="1395"/>
      <c r="L724" s="1395"/>
      <c r="M724" s="1395"/>
      <c r="N724" s="1395"/>
      <c r="O724" s="1395"/>
      <c r="P724" s="1118">
        <f t="shared" si="26"/>
        <v>0</v>
      </c>
      <c r="Q724" s="1118"/>
      <c r="R724" s="1118"/>
      <c r="S724" s="1118"/>
      <c r="T724" s="1118"/>
      <c r="U724" s="1383">
        <v>0</v>
      </c>
      <c r="V724" s="1384"/>
      <c r="W724" s="1384"/>
      <c r="X724" s="1385"/>
      <c r="Y724" s="1118">
        <f>K724+U724</f>
        <v>0</v>
      </c>
      <c r="Z724" s="1118"/>
      <c r="AA724" s="1118"/>
      <c r="AB724" s="1118"/>
      <c r="AC724" s="1118"/>
      <c r="AD724" s="1180">
        <v>0</v>
      </c>
      <c r="AE724" s="1181"/>
      <c r="AF724" s="1181"/>
      <c r="AG724" s="1181"/>
      <c r="AH724" s="1182"/>
      <c r="AI724" s="1271" t="str">
        <f t="shared" si="27"/>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1"/>
      <c r="C725" s="1262"/>
      <c r="D725" s="1262"/>
      <c r="E725" s="1262"/>
      <c r="F725" s="1379"/>
      <c r="G725" s="1372"/>
      <c r="H725" s="1373"/>
      <c r="I725" s="1373"/>
      <c r="J725" s="1374"/>
      <c r="K725" s="1395"/>
      <c r="L725" s="1395"/>
      <c r="M725" s="1395"/>
      <c r="N725" s="1395"/>
      <c r="O725" s="1395"/>
      <c r="P725" s="1118">
        <f t="shared" si="26"/>
        <v>0</v>
      </c>
      <c r="Q725" s="1118"/>
      <c r="R725" s="1118"/>
      <c r="S725" s="1118"/>
      <c r="T725" s="1118"/>
      <c r="U725" s="1383">
        <v>0</v>
      </c>
      <c r="V725" s="1384"/>
      <c r="W725" s="1384"/>
      <c r="X725" s="1385"/>
      <c r="Y725" s="1118">
        <f>K725+U725</f>
        <v>0</v>
      </c>
      <c r="Z725" s="1118"/>
      <c r="AA725" s="1118"/>
      <c r="AB725" s="1118"/>
      <c r="AC725" s="1118"/>
      <c r="AD725" s="1180">
        <v>0</v>
      </c>
      <c r="AE725" s="1181"/>
      <c r="AF725" s="1181"/>
      <c r="AG725" s="1181"/>
      <c r="AH725" s="1182"/>
      <c r="AI725" s="1271" t="str">
        <f t="shared" si="27"/>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1"/>
      <c r="C726" s="1262"/>
      <c r="D726" s="1262"/>
      <c r="E726" s="1262"/>
      <c r="F726" s="1379"/>
      <c r="G726" s="1372"/>
      <c r="H726" s="1373"/>
      <c r="I726" s="1373"/>
      <c r="J726" s="1374"/>
      <c r="K726" s="1395"/>
      <c r="L726" s="1395"/>
      <c r="M726" s="1395"/>
      <c r="N726" s="1395"/>
      <c r="O726" s="1395"/>
      <c r="P726" s="1118">
        <f t="shared" si="26"/>
        <v>0</v>
      </c>
      <c r="Q726" s="1118"/>
      <c r="R726" s="1118"/>
      <c r="S726" s="1118"/>
      <c r="T726" s="1118"/>
      <c r="U726" s="1383">
        <v>0</v>
      </c>
      <c r="V726" s="1384"/>
      <c r="W726" s="1384"/>
      <c r="X726" s="1385"/>
      <c r="Y726" s="1118">
        <f>K726+U726</f>
        <v>0</v>
      </c>
      <c r="Z726" s="1118"/>
      <c r="AA726" s="1118"/>
      <c r="AB726" s="1118"/>
      <c r="AC726" s="1118"/>
      <c r="AD726" s="1180">
        <v>0</v>
      </c>
      <c r="AE726" s="1181"/>
      <c r="AF726" s="1181"/>
      <c r="AG726" s="1181"/>
      <c r="AH726" s="1182"/>
      <c r="AI726" s="1271" t="str">
        <f t="shared" si="27"/>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1"/>
      <c r="C727" s="1262"/>
      <c r="D727" s="1262"/>
      <c r="E727" s="1262"/>
      <c r="F727" s="1379"/>
      <c r="G727" s="1372"/>
      <c r="H727" s="1373"/>
      <c r="I727" s="1373"/>
      <c r="J727" s="1374"/>
      <c r="K727" s="1395"/>
      <c r="L727" s="1395"/>
      <c r="M727" s="1395"/>
      <c r="N727" s="1395"/>
      <c r="O727" s="1395"/>
      <c r="P727" s="1118">
        <f t="shared" si="26"/>
        <v>0</v>
      </c>
      <c r="Q727" s="1118"/>
      <c r="R727" s="1118"/>
      <c r="S727" s="1118"/>
      <c r="T727" s="1118"/>
      <c r="U727" s="1383">
        <v>0</v>
      </c>
      <c r="V727" s="1384"/>
      <c r="W727" s="1384"/>
      <c r="X727" s="1385"/>
      <c r="Y727" s="1118">
        <f>K727+U727</f>
        <v>0</v>
      </c>
      <c r="Z727" s="1118"/>
      <c r="AA727" s="1118"/>
      <c r="AB727" s="1118"/>
      <c r="AC727" s="1118"/>
      <c r="AD727" s="1180">
        <v>0</v>
      </c>
      <c r="AE727" s="1181"/>
      <c r="AF727" s="1181"/>
      <c r="AG727" s="1181"/>
      <c r="AH727" s="1182"/>
      <c r="AI727" s="1271" t="str">
        <f t="shared" si="27"/>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1"/>
      <c r="C728" s="1262"/>
      <c r="D728" s="1262"/>
      <c r="E728" s="1262"/>
      <c r="F728" s="1379"/>
      <c r="G728" s="1372"/>
      <c r="H728" s="1373"/>
      <c r="I728" s="1373"/>
      <c r="J728" s="1374"/>
      <c r="K728" s="1395"/>
      <c r="L728" s="1395"/>
      <c r="M728" s="1395"/>
      <c r="N728" s="1395"/>
      <c r="O728" s="1395"/>
      <c r="P728" s="1118">
        <f t="shared" si="26"/>
        <v>0</v>
      </c>
      <c r="Q728" s="1118"/>
      <c r="R728" s="1118"/>
      <c r="S728" s="1118"/>
      <c r="T728" s="1118"/>
      <c r="U728" s="1383">
        <v>0</v>
      </c>
      <c r="V728" s="1384"/>
      <c r="W728" s="1384"/>
      <c r="X728" s="1385"/>
      <c r="Y728" s="1118">
        <f>K728+U728</f>
        <v>0</v>
      </c>
      <c r="Z728" s="1118"/>
      <c r="AA728" s="1118"/>
      <c r="AB728" s="1118"/>
      <c r="AC728" s="1118"/>
      <c r="AD728" s="1180">
        <v>0</v>
      </c>
      <c r="AE728" s="1181"/>
      <c r="AF728" s="1181"/>
      <c r="AG728" s="1181"/>
      <c r="AH728" s="1182"/>
      <c r="AI728" s="1271" t="str">
        <f t="shared" si="27"/>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79"/>
      <c r="G729" s="1372"/>
      <c r="H729" s="1373"/>
      <c r="I729" s="1373"/>
      <c r="J729" s="1374"/>
      <c r="K729" s="1395"/>
      <c r="L729" s="1395"/>
      <c r="M729" s="1395"/>
      <c r="N729" s="1395"/>
      <c r="O729" s="1395"/>
      <c r="P729" s="1118">
        <f t="shared" si="26"/>
        <v>0</v>
      </c>
      <c r="Q729" s="1118"/>
      <c r="R729" s="1118"/>
      <c r="S729" s="1118"/>
      <c r="T729" s="1118"/>
      <c r="U729" s="1383">
        <v>0</v>
      </c>
      <c r="V729" s="1384"/>
      <c r="W729" s="1384"/>
      <c r="X729" s="1385"/>
      <c r="Y729" s="1118">
        <f t="shared" si="28"/>
        <v>0</v>
      </c>
      <c r="Z729" s="1118"/>
      <c r="AA729" s="1118"/>
      <c r="AB729" s="1118"/>
      <c r="AC729" s="1118"/>
      <c r="AD729" s="1180">
        <v>0</v>
      </c>
      <c r="AE729" s="1181"/>
      <c r="AF729" s="1181"/>
      <c r="AG729" s="1181"/>
      <c r="AH729" s="1182"/>
      <c r="AI729" s="1271" t="str">
        <f t="shared" si="27"/>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1"/>
      <c r="C730" s="1262"/>
      <c r="D730" s="1262"/>
      <c r="E730" s="1262"/>
      <c r="F730" s="1379"/>
      <c r="G730" s="1372"/>
      <c r="H730" s="1373"/>
      <c r="I730" s="1373"/>
      <c r="J730" s="1374"/>
      <c r="K730" s="1395"/>
      <c r="L730" s="1395"/>
      <c r="M730" s="1395"/>
      <c r="N730" s="1395"/>
      <c r="O730" s="1395"/>
      <c r="P730" s="1118">
        <f t="shared" si="26"/>
        <v>0</v>
      </c>
      <c r="Q730" s="1118"/>
      <c r="R730" s="1118"/>
      <c r="S730" s="1118"/>
      <c r="T730" s="1118"/>
      <c r="U730" s="1383">
        <v>0</v>
      </c>
      <c r="V730" s="1384"/>
      <c r="W730" s="1384"/>
      <c r="X730" s="1385"/>
      <c r="Y730" s="1118">
        <f t="shared" si="28"/>
        <v>0</v>
      </c>
      <c r="Z730" s="1118"/>
      <c r="AA730" s="1118"/>
      <c r="AB730" s="1118"/>
      <c r="AC730" s="1118"/>
      <c r="AD730" s="1180">
        <v>0</v>
      </c>
      <c r="AE730" s="1181"/>
      <c r="AF730" s="1181"/>
      <c r="AG730" s="1181"/>
      <c r="AH730" s="1182"/>
      <c r="AI730" s="1271" t="str">
        <f t="shared" si="27"/>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1"/>
      <c r="C731" s="1262"/>
      <c r="D731" s="1262"/>
      <c r="E731" s="1262"/>
      <c r="F731" s="1379"/>
      <c r="G731" s="1372"/>
      <c r="H731" s="1373"/>
      <c r="I731" s="1373"/>
      <c r="J731" s="1374"/>
      <c r="K731" s="1395"/>
      <c r="L731" s="1395"/>
      <c r="M731" s="1395"/>
      <c r="N731" s="1395"/>
      <c r="O731" s="1395"/>
      <c r="P731" s="1118">
        <f t="shared" si="26"/>
        <v>0</v>
      </c>
      <c r="Q731" s="1118"/>
      <c r="R731" s="1118"/>
      <c r="S731" s="1118"/>
      <c r="T731" s="1118"/>
      <c r="U731" s="1383">
        <v>0</v>
      </c>
      <c r="V731" s="1384"/>
      <c r="W731" s="1384"/>
      <c r="X731" s="1385"/>
      <c r="Y731" s="1118">
        <f t="shared" si="28"/>
        <v>0</v>
      </c>
      <c r="Z731" s="1118"/>
      <c r="AA731" s="1118"/>
      <c r="AB731" s="1118"/>
      <c r="AC731" s="1118"/>
      <c r="AD731" s="1180">
        <v>0</v>
      </c>
      <c r="AE731" s="1181"/>
      <c r="AF731" s="1181"/>
      <c r="AG731" s="1181"/>
      <c r="AH731" s="1182"/>
      <c r="AI731" s="1271" t="str">
        <f t="shared" si="27"/>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1"/>
      <c r="C732" s="1262"/>
      <c r="D732" s="1262"/>
      <c r="E732" s="1262"/>
      <c r="F732" s="1379"/>
      <c r="G732" s="1372"/>
      <c r="H732" s="1373"/>
      <c r="I732" s="1373"/>
      <c r="J732" s="1374"/>
      <c r="K732" s="1395"/>
      <c r="L732" s="1395"/>
      <c r="M732" s="1395"/>
      <c r="N732" s="1395"/>
      <c r="O732" s="1395"/>
      <c r="P732" s="1118">
        <f t="shared" si="26"/>
        <v>0</v>
      </c>
      <c r="Q732" s="1118"/>
      <c r="R732" s="1118"/>
      <c r="S732" s="1118"/>
      <c r="T732" s="1118"/>
      <c r="U732" s="1383">
        <v>0</v>
      </c>
      <c r="V732" s="1384"/>
      <c r="W732" s="1384"/>
      <c r="X732" s="1385"/>
      <c r="Y732" s="1118">
        <f t="shared" si="28"/>
        <v>0</v>
      </c>
      <c r="Z732" s="1118"/>
      <c r="AA732" s="1118"/>
      <c r="AB732" s="1118"/>
      <c r="AC732" s="1118"/>
      <c r="AD732" s="1180">
        <v>0</v>
      </c>
      <c r="AE732" s="1181"/>
      <c r="AF732" s="1181"/>
      <c r="AG732" s="1181"/>
      <c r="AH732" s="1182"/>
      <c r="AI732" s="1271" t="str">
        <f t="shared" si="27"/>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1"/>
      <c r="C733" s="1262"/>
      <c r="D733" s="1262"/>
      <c r="E733" s="1262"/>
      <c r="F733" s="1379"/>
      <c r="G733" s="1372"/>
      <c r="H733" s="1373"/>
      <c r="I733" s="1373"/>
      <c r="J733" s="1374"/>
      <c r="K733" s="1395"/>
      <c r="L733" s="1395"/>
      <c r="M733" s="1395"/>
      <c r="N733" s="1395"/>
      <c r="O733" s="1395"/>
      <c r="P733" s="1118">
        <f t="shared" si="26"/>
        <v>0</v>
      </c>
      <c r="Q733" s="1118"/>
      <c r="R733" s="1118"/>
      <c r="S733" s="1118"/>
      <c r="T733" s="1118"/>
      <c r="U733" s="1383">
        <v>0</v>
      </c>
      <c r="V733" s="1384"/>
      <c r="W733" s="1384"/>
      <c r="X733" s="1385"/>
      <c r="Y733" s="1118">
        <f t="shared" si="28"/>
        <v>0</v>
      </c>
      <c r="Z733" s="1118"/>
      <c r="AA733" s="1118"/>
      <c r="AB733" s="1118"/>
      <c r="AC733" s="1118"/>
      <c r="AD733" s="1180">
        <v>0</v>
      </c>
      <c r="AE733" s="1181"/>
      <c r="AF733" s="1181"/>
      <c r="AG733" s="1181"/>
      <c r="AH733" s="1182"/>
      <c r="AI733" s="1268" t="str">
        <f t="shared" si="27"/>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3" t="s">
        <v>132</v>
      </c>
      <c r="C734" s="1264"/>
      <c r="D734" s="1264"/>
      <c r="E734" s="1264"/>
      <c r="F734" s="1265"/>
      <c r="G734" s="1547">
        <f>SUM(G709:J733)</f>
        <v>130</v>
      </c>
      <c r="H734" s="1548"/>
      <c r="I734" s="1548"/>
      <c r="J734" s="1549"/>
      <c r="K734" s="1263" t="s">
        <v>131</v>
      </c>
      <c r="L734" s="1264"/>
      <c r="M734" s="1264"/>
      <c r="N734" s="1264"/>
      <c r="O734" s="1265"/>
      <c r="P734" s="1380">
        <f>SUM(P709:T733)</f>
        <v>210506</v>
      </c>
      <c r="Q734" s="1381"/>
      <c r="R734" s="1381"/>
      <c r="S734" s="1381"/>
      <c r="T734" s="1382"/>
      <c r="Y734" s="1555" t="s">
        <v>998</v>
      </c>
      <c r="Z734" s="1556"/>
      <c r="AA734" s="1556"/>
      <c r="AB734" s="1556"/>
      <c r="AC734" s="1557"/>
      <c r="AD734" s="1141">
        <f>AV675</f>
        <v>0.6</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641</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6" t="s">
        <v>420</v>
      </c>
      <c r="K750" s="1387"/>
      <c r="L750" s="1387"/>
      <c r="M750" s="1387"/>
      <c r="N750" s="1388"/>
      <c r="O750" s="1397" t="s">
        <v>301</v>
      </c>
      <c r="P750" s="1397"/>
      <c r="Q750" s="1397"/>
      <c r="R750" s="1397"/>
      <c r="S750" s="1397"/>
      <c r="T750" s="1397" t="s">
        <v>491</v>
      </c>
      <c r="U750" s="1397"/>
      <c r="V750" s="1397"/>
      <c r="W750" s="1397"/>
      <c r="X750" s="1397"/>
      <c r="Y750" s="1397" t="s">
        <v>302</v>
      </c>
      <c r="Z750" s="1397"/>
      <c r="AA750" s="1397"/>
      <c r="AB750" s="1397"/>
      <c r="AC750" s="139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9"/>
      <c r="K751" s="1390"/>
      <c r="L751" s="1390"/>
      <c r="M751" s="1390"/>
      <c r="N751" s="1391"/>
      <c r="O751" s="1397"/>
      <c r="P751" s="1397"/>
      <c r="Q751" s="1397"/>
      <c r="R751" s="1397"/>
      <c r="S751" s="1397"/>
      <c r="T751" s="1397"/>
      <c r="U751" s="1397"/>
      <c r="V751" s="1397"/>
      <c r="W751" s="1397"/>
      <c r="X751" s="1397"/>
      <c r="Y751" s="1397"/>
      <c r="Z751" s="1397"/>
      <c r="AA751" s="1397"/>
      <c r="AB751" s="1397"/>
      <c r="AC751" s="139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9"/>
      <c r="K752" s="1390"/>
      <c r="L752" s="1390"/>
      <c r="M752" s="1390"/>
      <c r="N752" s="1391"/>
      <c r="O752" s="1397"/>
      <c r="P752" s="1397"/>
      <c r="Q752" s="1397"/>
      <c r="R752" s="1397"/>
      <c r="S752" s="1397"/>
      <c r="T752" s="1397"/>
      <c r="U752" s="1397"/>
      <c r="V752" s="1397"/>
      <c r="W752" s="1397"/>
      <c r="X752" s="1397"/>
      <c r="Y752" s="1397"/>
      <c r="Z752" s="1397"/>
      <c r="AA752" s="1397"/>
      <c r="AB752" s="1397"/>
      <c r="AC752" s="139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2"/>
      <c r="K753" s="1393"/>
      <c r="L753" s="1393"/>
      <c r="M753" s="1393"/>
      <c r="N753" s="1394"/>
      <c r="O753" s="1397"/>
      <c r="P753" s="1397"/>
      <c r="Q753" s="1397"/>
      <c r="R753" s="1397"/>
      <c r="S753" s="1397"/>
      <c r="T753" s="1397"/>
      <c r="U753" s="1397"/>
      <c r="V753" s="1397"/>
      <c r="W753" s="1397"/>
      <c r="X753" s="1397"/>
      <c r="Y753" s="1397"/>
      <c r="Z753" s="1397"/>
      <c r="AA753" s="1397"/>
      <c r="AB753" s="1397"/>
      <c r="AC753" s="139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t="s">
        <v>171</v>
      </c>
      <c r="K754" s="1262"/>
      <c r="L754" s="1262"/>
      <c r="M754" s="1262"/>
      <c r="N754" s="1379"/>
      <c r="O754" s="1275">
        <v>1</v>
      </c>
      <c r="P754" s="1275"/>
      <c r="Q754" s="1275"/>
      <c r="R754" s="1275"/>
      <c r="S754" s="1275"/>
      <c r="T754" s="1395"/>
      <c r="U754" s="1395"/>
      <c r="V754" s="1395"/>
      <c r="W754" s="1395"/>
      <c r="X754" s="1395"/>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79"/>
      <c r="O755" s="1275"/>
      <c r="P755" s="1275"/>
      <c r="Q755" s="1275"/>
      <c r="R755" s="1275"/>
      <c r="S755" s="1275"/>
      <c r="T755" s="1395"/>
      <c r="U755" s="1395"/>
      <c r="V755" s="1395"/>
      <c r="W755" s="1395"/>
      <c r="X755" s="1395"/>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79"/>
      <c r="O756" s="1275"/>
      <c r="P756" s="1275"/>
      <c r="Q756" s="1275"/>
      <c r="R756" s="1275"/>
      <c r="S756" s="1275"/>
      <c r="T756" s="1395"/>
      <c r="U756" s="1395"/>
      <c r="V756" s="1395"/>
      <c r="W756" s="1395"/>
      <c r="X756" s="1395"/>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79"/>
      <c r="O757" s="1275"/>
      <c r="P757" s="1275"/>
      <c r="Q757" s="1275"/>
      <c r="R757" s="1275"/>
      <c r="S757" s="1275"/>
      <c r="T757" s="1395"/>
      <c r="U757" s="1395"/>
      <c r="V757" s="1395"/>
      <c r="W757" s="1395"/>
      <c r="X757" s="1395"/>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398">
        <f>SUM(O754:S757)</f>
        <v>1</v>
      </c>
      <c r="P758" s="1399"/>
      <c r="Q758" s="1399"/>
      <c r="R758" s="1399"/>
      <c r="S758" s="1400"/>
      <c r="T758" s="1401" t="s">
        <v>131</v>
      </c>
      <c r="U758" s="1402"/>
      <c r="V758" s="1402"/>
      <c r="W758" s="1402"/>
      <c r="X758" s="1403"/>
      <c r="Y758" s="1380">
        <f>SUM(Y754:AC757)</f>
        <v>0</v>
      </c>
      <c r="Z758" s="1404"/>
      <c r="AA758" s="1404"/>
      <c r="AB758" s="1404"/>
      <c r="AC758" s="140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722</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6" t="s">
        <v>420</v>
      </c>
      <c r="K764" s="1387"/>
      <c r="L764" s="1387"/>
      <c r="M764" s="1387"/>
      <c r="N764" s="1388"/>
      <c r="O764" s="1397" t="s">
        <v>301</v>
      </c>
      <c r="P764" s="1397"/>
      <c r="Q764" s="1397"/>
      <c r="R764" s="1397"/>
      <c r="S764" s="1397"/>
      <c r="T764" s="1397" t="s">
        <v>491</v>
      </c>
      <c r="U764" s="1397"/>
      <c r="V764" s="1397"/>
      <c r="W764" s="1397"/>
      <c r="X764" s="1397"/>
      <c r="Y764" s="1397" t="s">
        <v>302</v>
      </c>
      <c r="Z764" s="1397"/>
      <c r="AA764" s="1397"/>
      <c r="AB764" s="1397"/>
      <c r="AC764" s="139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9"/>
      <c r="K765" s="1390"/>
      <c r="L765" s="1390"/>
      <c r="M765" s="1390"/>
      <c r="N765" s="1391"/>
      <c r="O765" s="1397"/>
      <c r="P765" s="1397"/>
      <c r="Q765" s="1397"/>
      <c r="R765" s="1397"/>
      <c r="S765" s="1397"/>
      <c r="T765" s="1397"/>
      <c r="U765" s="1397"/>
      <c r="V765" s="1397"/>
      <c r="W765" s="1397"/>
      <c r="X765" s="1397"/>
      <c r="Y765" s="1397"/>
      <c r="Z765" s="1397"/>
      <c r="AA765" s="1397"/>
      <c r="AB765" s="1397"/>
      <c r="AC765" s="139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9"/>
      <c r="K766" s="1390"/>
      <c r="L766" s="1390"/>
      <c r="M766" s="1390"/>
      <c r="N766" s="1391"/>
      <c r="O766" s="1397"/>
      <c r="P766" s="1397"/>
      <c r="Q766" s="1397"/>
      <c r="R766" s="1397"/>
      <c r="S766" s="1397"/>
      <c r="T766" s="1397"/>
      <c r="U766" s="1397"/>
      <c r="V766" s="1397"/>
      <c r="W766" s="1397"/>
      <c r="X766" s="1397"/>
      <c r="Y766" s="1397"/>
      <c r="Z766" s="1397"/>
      <c r="AA766" s="1397"/>
      <c r="AB766" s="1397"/>
      <c r="AC766" s="139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2"/>
      <c r="K767" s="1393"/>
      <c r="L767" s="1393"/>
      <c r="M767" s="1393"/>
      <c r="N767" s="1394"/>
      <c r="O767" s="1397"/>
      <c r="P767" s="1397"/>
      <c r="Q767" s="1397"/>
      <c r="R767" s="1397"/>
      <c r="S767" s="1397"/>
      <c r="T767" s="1397"/>
      <c r="U767" s="1397"/>
      <c r="V767" s="1397"/>
      <c r="W767" s="1397"/>
      <c r="X767" s="1397"/>
      <c r="Y767" s="1397"/>
      <c r="Z767" s="1397"/>
      <c r="AA767" s="1397"/>
      <c r="AB767" s="1397"/>
      <c r="AC767" s="139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79"/>
      <c r="O768" s="1275"/>
      <c r="P768" s="1275"/>
      <c r="Q768" s="1275"/>
      <c r="R768" s="1275"/>
      <c r="S768" s="1275"/>
      <c r="T768" s="1395"/>
      <c r="U768" s="1395"/>
      <c r="V768" s="1395"/>
      <c r="W768" s="1395"/>
      <c r="X768" s="1395"/>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79"/>
      <c r="O769" s="1275"/>
      <c r="P769" s="1275"/>
      <c r="Q769" s="1275"/>
      <c r="R769" s="1275"/>
      <c r="S769" s="1275"/>
      <c r="T769" s="1395"/>
      <c r="U769" s="1395"/>
      <c r="V769" s="1395"/>
      <c r="W769" s="1395"/>
      <c r="X769" s="1395"/>
      <c r="Y769" s="1118">
        <f t="shared" ref="Y769:Y777" si="29">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79"/>
      <c r="O770" s="1275"/>
      <c r="P770" s="1275"/>
      <c r="Q770" s="1275"/>
      <c r="R770" s="1275"/>
      <c r="S770" s="1275"/>
      <c r="T770" s="1395"/>
      <c r="U770" s="1395"/>
      <c r="V770" s="1395"/>
      <c r="W770" s="1395"/>
      <c r="X770" s="1395"/>
      <c r="Y770" s="1118">
        <f t="shared" si="29"/>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79"/>
      <c r="O771" s="1275"/>
      <c r="P771" s="1275"/>
      <c r="Q771" s="1275"/>
      <c r="R771" s="1275"/>
      <c r="S771" s="1275"/>
      <c r="T771" s="1395"/>
      <c r="U771" s="1395"/>
      <c r="V771" s="1395"/>
      <c r="W771" s="1395"/>
      <c r="X771" s="1395"/>
      <c r="Y771" s="1118">
        <f t="shared" si="29"/>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79"/>
      <c r="O772" s="1275"/>
      <c r="P772" s="1275"/>
      <c r="Q772" s="1275"/>
      <c r="R772" s="1275"/>
      <c r="S772" s="1275"/>
      <c r="T772" s="1395"/>
      <c r="U772" s="1395"/>
      <c r="V772" s="1395"/>
      <c r="W772" s="1395"/>
      <c r="X772" s="1395"/>
      <c r="Y772" s="1118">
        <f t="shared" si="29"/>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79"/>
      <c r="O773" s="1275"/>
      <c r="P773" s="1275"/>
      <c r="Q773" s="1275"/>
      <c r="R773" s="1275"/>
      <c r="S773" s="1275"/>
      <c r="T773" s="1395"/>
      <c r="U773" s="1395"/>
      <c r="V773" s="1395"/>
      <c r="W773" s="1395"/>
      <c r="X773" s="1395"/>
      <c r="Y773" s="1118">
        <f t="shared" si="29"/>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79"/>
      <c r="O774" s="1275"/>
      <c r="P774" s="1275"/>
      <c r="Q774" s="1275"/>
      <c r="R774" s="1275"/>
      <c r="S774" s="1275"/>
      <c r="T774" s="1395"/>
      <c r="U774" s="1395"/>
      <c r="V774" s="1395"/>
      <c r="W774" s="1395"/>
      <c r="X774" s="1395"/>
      <c r="Y774" s="1118">
        <f t="shared" si="29"/>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79"/>
      <c r="O775" s="1275"/>
      <c r="P775" s="1275"/>
      <c r="Q775" s="1275"/>
      <c r="R775" s="1275"/>
      <c r="S775" s="1275"/>
      <c r="T775" s="1395"/>
      <c r="U775" s="1395"/>
      <c r="V775" s="1395"/>
      <c r="W775" s="1395"/>
      <c r="X775" s="1395"/>
      <c r="Y775" s="1118">
        <f t="shared" si="29"/>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79"/>
      <c r="O776" s="1275"/>
      <c r="P776" s="1275"/>
      <c r="Q776" s="1275"/>
      <c r="R776" s="1275"/>
      <c r="S776" s="1275"/>
      <c r="T776" s="1395"/>
      <c r="U776" s="1395"/>
      <c r="V776" s="1395"/>
      <c r="W776" s="1395"/>
      <c r="X776" s="1395"/>
      <c r="Y776" s="1118">
        <f t="shared" si="29"/>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79"/>
      <c r="O777" s="1275"/>
      <c r="P777" s="1275"/>
      <c r="Q777" s="1275"/>
      <c r="R777" s="1275"/>
      <c r="S777" s="1275"/>
      <c r="T777" s="1395"/>
      <c r="U777" s="1395"/>
      <c r="V777" s="1395"/>
      <c r="W777" s="1395"/>
      <c r="X777" s="1395"/>
      <c r="Y777" s="1118">
        <f t="shared" si="29"/>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2">
        <f>SUM(O768:S777)</f>
        <v>0</v>
      </c>
      <c r="P778" s="1412"/>
      <c r="Q778" s="1412"/>
      <c r="R778" s="1412"/>
      <c r="S778" s="1412"/>
      <c r="T778" s="1401" t="s">
        <v>131</v>
      </c>
      <c r="U778" s="1402"/>
      <c r="V778" s="1402"/>
      <c r="W778" s="1402"/>
      <c r="X778" s="1403"/>
      <c r="Y778" s="1380">
        <f>SUM(Y768:AC777)</f>
        <v>0</v>
      </c>
      <c r="Z778" s="1381"/>
      <c r="AA778" s="1381"/>
      <c r="AB778" s="1381"/>
      <c r="AC778" s="138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3" t="s">
        <v>515</v>
      </c>
      <c r="BB779" s="1554"/>
      <c r="BC779" s="58"/>
      <c r="BD779" s="58"/>
      <c r="BE779" s="58"/>
      <c r="BF779" s="51" t="s">
        <v>684</v>
      </c>
      <c r="BG779" s="51"/>
      <c r="BH779" s="51"/>
      <c r="BI779" s="51"/>
      <c r="BJ779" s="51"/>
      <c r="BK779" s="51"/>
      <c r="BL779" s="51"/>
      <c r="BM779" s="51"/>
      <c r="BN779" s="51"/>
      <c r="BO779" s="1550" t="str">
        <f>T191</f>
        <v>San Diego</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210506</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2526072</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46"/>
      <c r="AA786" s="1447"/>
      <c r="AB786" s="1447"/>
      <c r="AC786" s="1447"/>
      <c r="AD786" s="1447"/>
      <c r="AE786" s="14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78"/>
      <c r="AA787" s="1447"/>
      <c r="AB787" s="1447"/>
      <c r="AC787" s="1447"/>
      <c r="AD787" s="1447"/>
      <c r="AE787" s="14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414"/>
      <c r="AB788" s="1414"/>
      <c r="AC788" s="1414"/>
      <c r="AD788" s="1414"/>
      <c r="AE788" s="141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13100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v>500</v>
      </c>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v>500</v>
      </c>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7" t="s">
        <v>1783</v>
      </c>
      <c r="Q796" s="1477"/>
      <c r="R796" s="1477"/>
      <c r="S796" s="1477"/>
      <c r="T796" s="1477"/>
      <c r="U796" s="1477"/>
      <c r="V796" s="1477"/>
      <c r="W796" s="1477"/>
      <c r="X796" s="1477"/>
      <c r="Y796" s="1478"/>
      <c r="Z796" s="1202">
        <v>5550</v>
      </c>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19650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2545722</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9" t="s">
        <v>133</v>
      </c>
      <c r="N803" s="1569"/>
      <c r="O803" s="1569"/>
      <c r="P803" s="1570"/>
      <c r="Q803" s="1558" t="s">
        <v>308</v>
      </c>
      <c r="R803" s="1558"/>
      <c r="S803" s="1558"/>
      <c r="T803" s="1558"/>
      <c r="U803" s="1558" t="s">
        <v>309</v>
      </c>
      <c r="V803" s="1558"/>
      <c r="W803" s="1558"/>
      <c r="X803" s="1558"/>
      <c r="Y803" s="1558" t="s">
        <v>310</v>
      </c>
      <c r="Z803" s="1558"/>
      <c r="AA803" s="1558"/>
      <c r="AB803" s="1558"/>
      <c r="AC803" s="1558" t="s">
        <v>384</v>
      </c>
      <c r="AD803" s="1558"/>
      <c r="AE803" s="1558"/>
      <c r="AF803" s="1558"/>
      <c r="AG803" s="1460" t="s">
        <v>357</v>
      </c>
      <c r="AH803" s="1460"/>
      <c r="AI803" s="1460"/>
      <c r="AJ803" s="1460"/>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1"/>
      <c r="N804" s="1571"/>
      <c r="O804" s="1571"/>
      <c r="P804" s="1572"/>
      <c r="Q804" s="1558"/>
      <c r="R804" s="1558"/>
      <c r="S804" s="1558"/>
      <c r="T804" s="1558"/>
      <c r="U804" s="1558"/>
      <c r="V804" s="1558"/>
      <c r="W804" s="1558"/>
      <c r="X804" s="1558"/>
      <c r="Y804" s="1558"/>
      <c r="Z804" s="1558"/>
      <c r="AA804" s="1558"/>
      <c r="AB804" s="1558"/>
      <c r="AC804" s="1558"/>
      <c r="AD804" s="1558"/>
      <c r="AE804" s="1558"/>
      <c r="AF804" s="1558"/>
      <c r="AG804" s="1460"/>
      <c r="AH804" s="1460"/>
      <c r="AI804" s="1460"/>
      <c r="AJ804" s="1460"/>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6"/>
      <c r="N805" s="1406"/>
      <c r="O805" s="1406"/>
      <c r="P805" s="1406"/>
      <c r="Q805" s="1406"/>
      <c r="R805" s="1406"/>
      <c r="S805" s="1406"/>
      <c r="T805" s="1406"/>
      <c r="U805" s="1406">
        <v>10</v>
      </c>
      <c r="V805" s="1406"/>
      <c r="W805" s="1406"/>
      <c r="X805" s="1406"/>
      <c r="Y805" s="1406">
        <v>12</v>
      </c>
      <c r="Z805" s="1406"/>
      <c r="AA805" s="1406"/>
      <c r="AB805" s="1406"/>
      <c r="AC805" s="1184">
        <v>15</v>
      </c>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06"/>
      <c r="N806" s="1406"/>
      <c r="O806" s="1406"/>
      <c r="P806" s="1406"/>
      <c r="Q806" s="1406"/>
      <c r="R806" s="1406"/>
      <c r="S806" s="1406"/>
      <c r="T806" s="1406"/>
      <c r="U806" s="1406"/>
      <c r="V806" s="1406"/>
      <c r="W806" s="1406"/>
      <c r="X806" s="1406"/>
      <c r="Y806" s="1406"/>
      <c r="Z806" s="1406"/>
      <c r="AA806" s="1406"/>
      <c r="AB806" s="1406"/>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06"/>
      <c r="N807" s="1406"/>
      <c r="O807" s="1406"/>
      <c r="P807" s="1406"/>
      <c r="Q807" s="1406"/>
      <c r="R807" s="1406"/>
      <c r="S807" s="1406"/>
      <c r="T807" s="1406"/>
      <c r="U807" s="1406">
        <v>6</v>
      </c>
      <c r="V807" s="1406"/>
      <c r="W807" s="1406"/>
      <c r="X807" s="1406"/>
      <c r="Y807" s="1406">
        <v>7</v>
      </c>
      <c r="Z807" s="1406"/>
      <c r="AA807" s="1406"/>
      <c r="AB807" s="1406"/>
      <c r="AC807" s="1184">
        <v>9</v>
      </c>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6"/>
      <c r="E808" s="1156"/>
      <c r="F808" s="1156"/>
      <c r="G808" s="1156"/>
      <c r="H808" s="1156"/>
      <c r="I808" s="96"/>
      <c r="J808" s="96"/>
      <c r="K808" s="96"/>
      <c r="L808" s="97"/>
      <c r="M808" s="1406"/>
      <c r="N808" s="1406"/>
      <c r="O808" s="1406"/>
      <c r="P808" s="1406"/>
      <c r="Q808" s="1406"/>
      <c r="R808" s="1406"/>
      <c r="S808" s="1406"/>
      <c r="T808" s="1406"/>
      <c r="U808" s="1406"/>
      <c r="V808" s="1406"/>
      <c r="W808" s="1406"/>
      <c r="X808" s="1406"/>
      <c r="Y808" s="1406"/>
      <c r="Z808" s="1406"/>
      <c r="AA808" s="1406"/>
      <c r="AB808" s="1406"/>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6"/>
      <c r="E809" s="1156"/>
      <c r="F809" s="1156"/>
      <c r="G809" s="1156"/>
      <c r="H809" s="1156"/>
      <c r="I809" s="96"/>
      <c r="J809" s="96"/>
      <c r="K809" s="96"/>
      <c r="L809" s="97"/>
      <c r="M809" s="1406"/>
      <c r="N809" s="1406"/>
      <c r="O809" s="1406"/>
      <c r="P809" s="1406"/>
      <c r="Q809" s="1406"/>
      <c r="R809" s="1406"/>
      <c r="S809" s="1406"/>
      <c r="T809" s="1406"/>
      <c r="U809" s="1406">
        <v>30</v>
      </c>
      <c r="V809" s="1406"/>
      <c r="W809" s="1406"/>
      <c r="X809" s="1406"/>
      <c r="Y809" s="1406">
        <v>37</v>
      </c>
      <c r="Z809" s="1406"/>
      <c r="AA809" s="1406"/>
      <c r="AB809" s="1406"/>
      <c r="AC809" s="1184">
        <v>47</v>
      </c>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6" t="s">
        <v>864</v>
      </c>
      <c r="D810" s="1156"/>
      <c r="E810" s="1156"/>
      <c r="F810" s="1156"/>
      <c r="G810" s="1156"/>
      <c r="H810" s="1156"/>
      <c r="I810" s="96"/>
      <c r="J810" s="96"/>
      <c r="K810" s="96"/>
      <c r="L810" s="97"/>
      <c r="M810" s="1406"/>
      <c r="N810" s="1406"/>
      <c r="O810" s="1406"/>
      <c r="P810" s="1406"/>
      <c r="Q810" s="1406"/>
      <c r="R810" s="1406"/>
      <c r="S810" s="1406"/>
      <c r="T810" s="1406"/>
      <c r="U810" s="1406"/>
      <c r="V810" s="1406"/>
      <c r="W810" s="1406"/>
      <c r="X810" s="1406"/>
      <c r="Y810" s="1406"/>
      <c r="Z810" s="1406"/>
      <c r="AA810" s="1406"/>
      <c r="AB810" s="1406"/>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08" t="s">
        <v>356</v>
      </c>
      <c r="G811" s="1194"/>
      <c r="H811" s="1194"/>
      <c r="I811" s="1194"/>
      <c r="J811" s="1194"/>
      <c r="K811" s="1194"/>
      <c r="L811" s="1195"/>
      <c r="M811" s="1406"/>
      <c r="N811" s="1406"/>
      <c r="O811" s="1406"/>
      <c r="P811" s="1406"/>
      <c r="Q811" s="1406"/>
      <c r="R811" s="1406"/>
      <c r="S811" s="1406"/>
      <c r="T811" s="1406"/>
      <c r="U811" s="1406"/>
      <c r="V811" s="1406"/>
      <c r="W811" s="1406"/>
      <c r="X811" s="1406"/>
      <c r="Y811" s="1406"/>
      <c r="Z811" s="1406"/>
      <c r="AA811" s="1406"/>
      <c r="AB811" s="1406"/>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07">
        <f>SUM(M805:P811)</f>
        <v>0</v>
      </c>
      <c r="N812" s="1407"/>
      <c r="O812" s="1407"/>
      <c r="P812" s="1407"/>
      <c r="Q812" s="1407">
        <f>SUM(Q805:T811)</f>
        <v>0</v>
      </c>
      <c r="R812" s="1407"/>
      <c r="S812" s="1407"/>
      <c r="T812" s="1407"/>
      <c r="U812" s="1407">
        <f>SUM(U805:X811)</f>
        <v>46</v>
      </c>
      <c r="V812" s="1407"/>
      <c r="W812" s="1407"/>
      <c r="X812" s="1407"/>
      <c r="Y812" s="1407">
        <f>SUM(Y805:AB811)</f>
        <v>56</v>
      </c>
      <c r="Z812" s="1407"/>
      <c r="AA812" s="1407"/>
      <c r="AB812" s="1407"/>
      <c r="AC812" s="1407">
        <f>SUM(AC805:AF811)</f>
        <v>71</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1784</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4">
        <v>2000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4">
        <v>2000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4">
        <v>8000</v>
      </c>
      <c r="X824" s="1144"/>
      <c r="Y824" s="1144"/>
      <c r="Z824" s="1144"/>
      <c r="AA824" s="1144"/>
      <c r="AB824" s="1144"/>
      <c r="AC824" s="1144"/>
      <c r="AD824" s="12"/>
      <c r="AE824" s="12"/>
      <c r="AF824" s="12"/>
      <c r="AG824" s="12"/>
      <c r="AH824" s="12"/>
      <c r="AI824" s="12"/>
      <c r="AJ824" s="12"/>
      <c r="AK824" s="12"/>
      <c r="AL824" s="12"/>
      <c r="AS824" s="21"/>
      <c r="AT824" s="56"/>
      <c r="AV824" s="1579">
        <f>ROUNDDOWN(AP908*2,2)</f>
        <v>0</v>
      </c>
      <c r="AW824" s="1579"/>
      <c r="AX824" s="1579"/>
      <c r="AY824" s="157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3" t="s">
        <v>1785</v>
      </c>
      <c r="N826" s="1194"/>
      <c r="O826" s="1194"/>
      <c r="P826" s="1194"/>
      <c r="Q826" s="1194"/>
      <c r="R826" s="1194"/>
      <c r="S826" s="1194"/>
      <c r="T826" s="1194"/>
      <c r="U826" s="1194"/>
      <c r="V826" s="1195"/>
      <c r="W826" s="1144">
        <v>24910</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4">
        <f>SUM(W822:AC826)</f>
        <v>36910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3" t="s">
        <v>368</v>
      </c>
      <c r="K829" s="1264"/>
      <c r="L829" s="1264"/>
      <c r="M829" s="1264"/>
      <c r="N829" s="1264"/>
      <c r="O829" s="1264"/>
      <c r="P829" s="1264"/>
      <c r="Q829" s="1264"/>
      <c r="R829" s="1264"/>
      <c r="S829" s="1264"/>
      <c r="T829" s="1264"/>
      <c r="U829" s="1264"/>
      <c r="V829" s="1265"/>
      <c r="W829" s="1202">
        <v>96000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19">
        <v>200</v>
      </c>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5"/>
      <c r="AU831" s="1455"/>
      <c r="AV831" s="1455"/>
      <c r="AW831" s="1455"/>
      <c r="AX831" s="1455"/>
      <c r="AY831" s="1455"/>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19">
        <v>1800</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9">
        <v>39300</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9">
        <v>94300</v>
      </c>
      <c r="X834" s="1419"/>
      <c r="Y834" s="1419"/>
      <c r="Z834" s="1419"/>
      <c r="AA834" s="1419"/>
      <c r="AB834" s="1419"/>
      <c r="AC834" s="1419"/>
      <c r="AD834" s="12"/>
      <c r="AE834" s="12"/>
      <c r="AF834" s="12"/>
      <c r="AG834" s="12"/>
      <c r="AH834" s="12"/>
      <c r="AI834" s="12"/>
      <c r="AJ834" s="12"/>
      <c r="AK834" s="12"/>
      <c r="AL834" s="12"/>
      <c r="AM834" s="1422">
        <f>SUM(AM801:AM829)</f>
        <v>7.5000000000000011E-2</v>
      </c>
      <c r="AN834" s="142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0">
        <f>SUM(W831:AC834)</f>
        <v>135600</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7">
        <v>62880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7">
        <v>78600</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3" t="s">
        <v>1786</v>
      </c>
      <c r="N839" s="1194"/>
      <c r="O839" s="1194"/>
      <c r="P839" s="1194"/>
      <c r="Q839" s="1194"/>
      <c r="R839" s="1194"/>
      <c r="S839" s="1194"/>
      <c r="T839" s="1194"/>
      <c r="U839" s="1194"/>
      <c r="V839" s="1195"/>
      <c r="W839" s="1217">
        <v>34500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0">
        <f>SUM(W837:AC839)</f>
        <v>175980</v>
      </c>
      <c r="X840" s="1471"/>
      <c r="Y840" s="1471"/>
      <c r="Z840" s="1471"/>
      <c r="AA840" s="1471"/>
      <c r="AB840" s="1471"/>
      <c r="AC840" s="147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7">
        <v>40610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4">
        <v>6550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4">
        <v>77750</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4">
        <v>47200</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4">
        <v>1800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4">
        <v>31400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4">
        <v>10000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3" t="s">
        <v>1787</v>
      </c>
      <c r="N849" s="1194"/>
      <c r="O849" s="1194"/>
      <c r="P849" s="1194"/>
      <c r="Q849" s="1194"/>
      <c r="R849" s="1194"/>
      <c r="S849" s="1194"/>
      <c r="T849" s="1194"/>
      <c r="U849" s="1194"/>
      <c r="V849" s="1195"/>
      <c r="W849" s="1144">
        <v>62900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237600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93" t="s">
        <v>1788</v>
      </c>
      <c r="N852" s="1194"/>
      <c r="O852" s="1194"/>
      <c r="P852" s="1194"/>
      <c r="Q852" s="1194"/>
      <c r="R852" s="1194"/>
      <c r="S852" s="1194"/>
      <c r="T852" s="1194"/>
      <c r="U852" s="1194"/>
      <c r="V852" s="1195"/>
      <c r="W852" s="1202">
        <v>350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193" t="s">
        <v>1789</v>
      </c>
      <c r="N853" s="1194"/>
      <c r="O853" s="1194"/>
      <c r="P853" s="1194"/>
      <c r="Q853" s="1194"/>
      <c r="R853" s="1194"/>
      <c r="S853" s="1194"/>
      <c r="T853" s="1194"/>
      <c r="U853" s="1194"/>
      <c r="V853" s="1195"/>
      <c r="W853" s="1202">
        <v>800</v>
      </c>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08" t="s">
        <v>356</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08" t="s">
        <v>356</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08" t="s">
        <v>356</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4">
        <f>SUM(W852:AC856)</f>
        <v>1150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4">
        <f>W827+W835+W840+W841+W850+W857+W829</f>
        <v>723850</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131</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2">
        <f>IF(ISERROR((ROUNDDOWN(AC861/AC862,0))),0,(ROUNDDOWN(AC861/AC862,0)))</f>
        <v>5525</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v>543645</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4"/>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32750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18900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9" t="s">
        <v>1790</v>
      </c>
      <c r="F869" s="1410"/>
      <c r="G869" s="1410"/>
      <c r="H869" s="1410"/>
      <c r="I869" s="1410"/>
      <c r="J869" s="1410"/>
      <c r="K869" s="1410"/>
      <c r="L869" s="1410"/>
      <c r="M869" s="1410"/>
      <c r="N869" s="1410"/>
      <c r="O869" s="1410"/>
      <c r="P869" s="1410"/>
      <c r="Q869" s="1410"/>
      <c r="R869" s="1410"/>
      <c r="S869" s="1410"/>
      <c r="T869" s="1410"/>
      <c r="U869" s="1410"/>
      <c r="V869" s="1410"/>
      <c r="W869" s="1410"/>
      <c r="X869" s="1410"/>
      <c r="Y869" s="1410"/>
      <c r="Z869" s="1410"/>
      <c r="AA869" s="1410"/>
      <c r="AB869" s="1411"/>
      <c r="AC869" s="1144">
        <v>10500</v>
      </c>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9" t="s">
        <v>1065</v>
      </c>
      <c r="F870" s="1410"/>
      <c r="G870" s="1410"/>
      <c r="H870" s="1410"/>
      <c r="I870" s="1410"/>
      <c r="J870" s="1410"/>
      <c r="K870" s="1410"/>
      <c r="L870" s="1410"/>
      <c r="M870" s="1410"/>
      <c r="N870" s="1410"/>
      <c r="O870" s="1410"/>
      <c r="P870" s="1410"/>
      <c r="Q870" s="1410"/>
      <c r="R870" s="1410"/>
      <c r="S870" s="1410"/>
      <c r="T870" s="1410"/>
      <c r="U870" s="1410"/>
      <c r="V870" s="1410"/>
      <c r="W870" s="1410"/>
      <c r="X870" s="1410"/>
      <c r="Y870" s="1410"/>
      <c r="Z870" s="1410"/>
      <c r="AA870" s="1410"/>
      <c r="AB870" s="1411"/>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4">
        <f>Z874-(Z875+Z876)</f>
        <v>0</v>
      </c>
      <c r="AA877" s="1215"/>
      <c r="AB877" s="1215"/>
      <c r="AC877" s="1215"/>
      <c r="AD877" s="1215"/>
      <c r="AE877" s="1216"/>
      <c r="AM877" s="61"/>
      <c r="AO877" s="52" t="s">
        <v>179</v>
      </c>
      <c r="AP877" s="177">
        <v>20</v>
      </c>
      <c r="AQ877" s="1459">
        <f>IF(AD955&gt;0,0.2,0)</f>
        <v>0</v>
      </c>
      <c r="AR877" s="145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2">
        <f>IF(AD965&gt;0,0.07,0)</f>
        <v>7.0000000000000007E-2</v>
      </c>
      <c r="AR879" s="14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2">
        <f>IF(AD969&gt;0,0.02,0)</f>
        <v>0</v>
      </c>
      <c r="AR880" s="14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2">
        <f>IF(AD971&gt;0,0.02,0)</f>
        <v>0</v>
      </c>
      <c r="AR881" s="14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59">
        <f>AN891</f>
        <v>0</v>
      </c>
      <c r="AR882" s="14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0"/>
      <c r="AR883" s="1580"/>
      <c r="AS883" s="158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49"/>
      <c r="AR884" s="1449"/>
      <c r="AS884" s="144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322</v>
      </c>
      <c r="AP885" s="177">
        <v>10</v>
      </c>
      <c r="AQ885" s="1442">
        <f>IF(AD988&gt;0,0.1,0)</f>
        <v>0.1</v>
      </c>
      <c r="AR885" s="14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59">
        <f>SUM(AQ877:AQ885)</f>
        <v>0.17</v>
      </c>
      <c r="AR886" s="1442"/>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9">
        <f>SUM(AQ877:AR881)+AQ885</f>
        <v>0.17</v>
      </c>
      <c r="AR888" s="14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3" t="s">
        <v>873</v>
      </c>
      <c r="G890" s="1474"/>
      <c r="H890" s="1474"/>
      <c r="I890" s="1474"/>
      <c r="J890" s="1474"/>
      <c r="K890" s="1474"/>
      <c r="L890" s="1474"/>
      <c r="M890" s="1474"/>
      <c r="N890" s="1474"/>
      <c r="O890" s="1474"/>
      <c r="P890" s="1474"/>
      <c r="Q890" s="1474"/>
      <c r="R890" s="1474"/>
      <c r="S890" s="1474"/>
      <c r="T890" s="1475"/>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5" t="s">
        <v>423</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9" t="s">
        <v>591</v>
      </c>
      <c r="V893" s="1120"/>
      <c r="W893" s="1120"/>
      <c r="X893" s="1120"/>
      <c r="Y893" s="1120"/>
      <c r="Z893" s="1121"/>
      <c r="AA893" s="1191">
        <v>48000000</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9" t="s">
        <v>591</v>
      </c>
      <c r="V894" s="1120"/>
      <c r="W894" s="1120"/>
      <c r="X894" s="1120"/>
      <c r="Y894" s="1120"/>
      <c r="Z894" s="1121"/>
      <c r="AA894" s="1191">
        <v>22000000</v>
      </c>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9" t="s">
        <v>641</v>
      </c>
      <c r="V895" s="1120"/>
      <c r="W895" s="1120"/>
      <c r="X895" s="1120"/>
      <c r="Y895" s="1120"/>
      <c r="Z895" s="1121"/>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9" t="s">
        <v>641</v>
      </c>
      <c r="V896" s="1120"/>
      <c r="W896" s="1120"/>
      <c r="X896" s="1120"/>
      <c r="Y896" s="1120"/>
      <c r="Z896" s="1121"/>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9" t="s">
        <v>641</v>
      </c>
      <c r="V897" s="1120"/>
      <c r="W897" s="1120"/>
      <c r="X897" s="1120"/>
      <c r="Y897" s="1120"/>
      <c r="Z897" s="1121"/>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9" t="s">
        <v>641</v>
      </c>
      <c r="V898" s="1120"/>
      <c r="W898" s="1120"/>
      <c r="X898" s="1120"/>
      <c r="Y898" s="1120"/>
      <c r="Z898" s="1121"/>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9" t="s">
        <v>641</v>
      </c>
      <c r="V899" s="1120"/>
      <c r="W899" s="1120"/>
      <c r="X899" s="1120"/>
      <c r="Y899" s="1120"/>
      <c r="Z899" s="1121"/>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9" t="s">
        <v>641</v>
      </c>
      <c r="V900" s="1120"/>
      <c r="W900" s="1120"/>
      <c r="X900" s="1120"/>
      <c r="Y900" s="1120"/>
      <c r="Z900" s="1121"/>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9" t="s">
        <v>641</v>
      </c>
      <c r="V901" s="1120"/>
      <c r="W901" s="1120"/>
      <c r="X901" s="1120"/>
      <c r="Y901" s="1120"/>
      <c r="Z901" s="1121"/>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9" t="s">
        <v>641</v>
      </c>
      <c r="V902" s="1120"/>
      <c r="W902" s="1120"/>
      <c r="X902" s="1120"/>
      <c r="Y902" s="1120"/>
      <c r="Z902" s="1121"/>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9" t="s">
        <v>591</v>
      </c>
      <c r="V903" s="1120"/>
      <c r="W903" s="1120"/>
      <c r="X903" s="1120"/>
      <c r="Y903" s="1120"/>
      <c r="Z903" s="1121"/>
      <c r="AA903" s="1191">
        <v>6500000</v>
      </c>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9" t="s">
        <v>641</v>
      </c>
      <c r="V904" s="1120"/>
      <c r="W904" s="1120"/>
      <c r="X904" s="1120"/>
      <c r="Y904" s="1120"/>
      <c r="Z904" s="1121"/>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9" t="s">
        <v>641</v>
      </c>
      <c r="V905" s="1120"/>
      <c r="W905" s="1120"/>
      <c r="X905" s="1120"/>
      <c r="Y905" s="1120"/>
      <c r="Z905" s="1121"/>
      <c r="AA905" s="1191"/>
      <c r="AB905" s="1155"/>
      <c r="AC905" s="1155"/>
      <c r="AD905" s="1155"/>
      <c r="AE905" s="1155"/>
      <c r="AF905" s="1192"/>
      <c r="AM905" s="1450">
        <f>G734+O778</f>
        <v>130</v>
      </c>
      <c r="AN905" s="145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9" t="s">
        <v>641</v>
      </c>
      <c r="V906" s="1120"/>
      <c r="W906" s="1120"/>
      <c r="X906" s="1120"/>
      <c r="Y906" s="1120"/>
      <c r="Z906" s="1121"/>
      <c r="AA906" s="1191"/>
      <c r="AB906" s="1155"/>
      <c r="AC906" s="1155"/>
      <c r="AD906" s="1155"/>
      <c r="AE906" s="1155"/>
      <c r="AF906" s="1192"/>
      <c r="AM906" s="52"/>
      <c r="AN906" s="21"/>
      <c r="AO906" s="1461">
        <f>ROUNDDOWN(X999/I999,2)</f>
        <v>0.5</v>
      </c>
      <c r="AP906" s="1462"/>
      <c r="AQ906" s="1462"/>
      <c r="AR906" s="146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9" t="s">
        <v>641</v>
      </c>
      <c r="V907" s="1120"/>
      <c r="W907" s="1120"/>
      <c r="X907" s="1120"/>
      <c r="Y907" s="1120"/>
      <c r="Z907" s="1121"/>
      <c r="AA907" s="1191"/>
      <c r="AB907" s="1155"/>
      <c r="AC907" s="1155"/>
      <c r="AD907" s="1155"/>
      <c r="AE907" s="1155"/>
      <c r="AF907" s="1192"/>
      <c r="AM907" s="52"/>
      <c r="AN907" s="52"/>
      <c r="AO907" s="1485">
        <f>ROUNDDOWN(X1003/I1003,2)</f>
        <v>0</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9" t="s">
        <v>722</v>
      </c>
      <c r="Q908" s="1120"/>
      <c r="R908" s="1120"/>
      <c r="S908" s="1120"/>
      <c r="T908" s="1121"/>
      <c r="U908" s="1119" t="s">
        <v>641</v>
      </c>
      <c r="V908" s="1120"/>
      <c r="W908" s="1120"/>
      <c r="X908" s="1120"/>
      <c r="Y908" s="1120"/>
      <c r="Z908" s="1121"/>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7" t="s">
        <v>356</v>
      </c>
      <c r="J909" s="1468"/>
      <c r="K909" s="1468"/>
      <c r="L909" s="1468"/>
      <c r="M909" s="1468"/>
      <c r="N909" s="1468"/>
      <c r="O909" s="1468"/>
      <c r="P909" s="1468"/>
      <c r="Q909" s="1468"/>
      <c r="R909" s="1468"/>
      <c r="S909" s="1468"/>
      <c r="T909" s="1469"/>
      <c r="U909" s="1119" t="s">
        <v>641</v>
      </c>
      <c r="V909" s="1120"/>
      <c r="W909" s="1120"/>
      <c r="X909" s="1120"/>
      <c r="Y909" s="1120"/>
      <c r="Z909" s="1121"/>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356</v>
      </c>
      <c r="J910" s="1477"/>
      <c r="K910" s="1477"/>
      <c r="L910" s="1477"/>
      <c r="M910" s="1477"/>
      <c r="N910" s="1477"/>
      <c r="O910" s="1477"/>
      <c r="P910" s="1477"/>
      <c r="Q910" s="1477"/>
      <c r="R910" s="1477"/>
      <c r="S910" s="1477"/>
      <c r="T910" s="1478"/>
      <c r="U910" s="1119" t="s">
        <v>641</v>
      </c>
      <c r="V910" s="1120"/>
      <c r="W910" s="1120"/>
      <c r="X910" s="1120"/>
      <c r="Y910" s="1120"/>
      <c r="Z910" s="1121"/>
      <c r="AA910" s="1191"/>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6" t="s">
        <v>356</v>
      </c>
      <c r="J911" s="1477"/>
      <c r="K911" s="1477"/>
      <c r="L911" s="1477"/>
      <c r="M911" s="1477"/>
      <c r="N911" s="1477"/>
      <c r="O911" s="1477"/>
      <c r="P911" s="1477"/>
      <c r="Q911" s="1477"/>
      <c r="R911" s="1477"/>
      <c r="S911" s="1477"/>
      <c r="T911" s="1478"/>
      <c r="U911" s="1119" t="s">
        <v>641</v>
      </c>
      <c r="V911" s="1120"/>
      <c r="W911" s="1120"/>
      <c r="X911" s="1120"/>
      <c r="Y911" s="1120"/>
      <c r="Z911" s="1121"/>
      <c r="AA911" s="1191"/>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6" t="s">
        <v>356</v>
      </c>
      <c r="J912" s="1477"/>
      <c r="K912" s="1477"/>
      <c r="L912" s="1477"/>
      <c r="M912" s="1477"/>
      <c r="N912" s="1477"/>
      <c r="O912" s="1477"/>
      <c r="P912" s="1477"/>
      <c r="Q912" s="1477"/>
      <c r="R912" s="1477"/>
      <c r="S912" s="1477"/>
      <c r="T912" s="1478"/>
      <c r="U912" s="1119" t="s">
        <v>641</v>
      </c>
      <c r="V912" s="1120"/>
      <c r="W912" s="1120"/>
      <c r="X912" s="1120"/>
      <c r="Y912" s="1120"/>
      <c r="Z912" s="1121"/>
      <c r="AA912" s="1191"/>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c r="N917" s="1414"/>
      <c r="O917" s="1414"/>
      <c r="P917" s="1414"/>
      <c r="Q917" s="1414"/>
      <c r="R917" s="1414"/>
      <c r="S917" s="1415"/>
      <c r="U917" s="103" t="s">
        <v>11</v>
      </c>
      <c r="V917" s="77"/>
      <c r="W917" s="77"/>
      <c r="X917" s="77"/>
      <c r="Y917" s="77"/>
      <c r="Z917" s="77"/>
      <c r="AA917" s="77"/>
      <c r="AB917" s="77"/>
      <c r="AC917" s="77"/>
      <c r="AD917" s="78"/>
      <c r="AE917" s="1494"/>
      <c r="AF917" s="1414"/>
      <c r="AG917" s="1414"/>
      <c r="AH917" s="1414"/>
      <c r="AI917" s="1414"/>
      <c r="AJ917" s="1414"/>
      <c r="AK917" s="141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6"/>
      <c r="N918" s="1457"/>
      <c r="O918" s="1457"/>
      <c r="P918" s="1457"/>
      <c r="Q918" s="1457"/>
      <c r="R918" s="1457"/>
      <c r="S918" s="1458"/>
      <c r="U918" s="103" t="s">
        <v>12</v>
      </c>
      <c r="V918" s="77"/>
      <c r="W918" s="77"/>
      <c r="X918" s="77"/>
      <c r="Y918" s="77"/>
      <c r="Z918" s="77"/>
      <c r="AA918" s="77"/>
      <c r="AB918" s="77"/>
      <c r="AC918" s="77"/>
      <c r="AD918" s="78"/>
      <c r="AE918" s="1456"/>
      <c r="AF918" s="1457"/>
      <c r="AG918" s="1457"/>
      <c r="AH918" s="1457"/>
      <c r="AI918" s="1457"/>
      <c r="AJ918" s="1457"/>
      <c r="AK918" s="14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3" t="s">
        <v>328</v>
      </c>
      <c r="K919" s="1504"/>
      <c r="L919" s="1504"/>
      <c r="M919" s="1504"/>
      <c r="N919" s="1504"/>
      <c r="O919" s="1504"/>
      <c r="P919" s="1504"/>
      <c r="Q919" s="1504"/>
      <c r="R919" s="1504"/>
      <c r="S919" s="1505"/>
      <c r="U919" s="103" t="s">
        <v>974</v>
      </c>
      <c r="V919" s="77"/>
      <c r="W919" s="77"/>
      <c r="AB919" s="1503" t="s">
        <v>328</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6"/>
      <c r="N921" s="1447"/>
      <c r="O921" s="1447"/>
      <c r="P921" s="1447"/>
      <c r="Q921" s="1447"/>
      <c r="R921" s="1447"/>
      <c r="S921" s="1448"/>
      <c r="U921" s="103" t="s">
        <v>14</v>
      </c>
      <c r="V921" s="77"/>
      <c r="W921" s="77"/>
      <c r="X921" s="77"/>
      <c r="Y921" s="77"/>
      <c r="Z921" s="77"/>
      <c r="AA921" s="77"/>
      <c r="AB921" s="77"/>
      <c r="AC921" s="77"/>
      <c r="AD921" s="78"/>
      <c r="AE921" s="1446"/>
      <c r="AF921" s="1447"/>
      <c r="AG921" s="1447"/>
      <c r="AH921" s="1447"/>
      <c r="AI921" s="1447"/>
      <c r="AJ921" s="1447"/>
      <c r="AK921" s="14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2"/>
      <c r="N924" s="1453"/>
      <c r="O924" s="1453"/>
      <c r="P924" s="1453"/>
      <c r="Q924" s="1453"/>
      <c r="R924" s="1453"/>
      <c r="S924" s="1454"/>
      <c r="U924" s="103" t="s">
        <v>620</v>
      </c>
      <c r="V924" s="77"/>
      <c r="W924" s="77"/>
      <c r="X924" s="77"/>
      <c r="Y924" s="77"/>
      <c r="Z924" s="77"/>
      <c r="AA924" s="77"/>
      <c r="AB924" s="77"/>
      <c r="AC924" s="77"/>
      <c r="AD924" s="78"/>
      <c r="AE924" s="1452"/>
      <c r="AF924" s="1453"/>
      <c r="AG924" s="1453"/>
      <c r="AH924" s="1453"/>
      <c r="AI924" s="1453"/>
      <c r="AJ924" s="1453"/>
      <c r="AK924" s="14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5"/>
      <c r="N929" s="1426"/>
      <c r="O929" s="1426"/>
      <c r="P929" s="1426"/>
      <c r="Q929" s="1426"/>
      <c r="R929" s="1426"/>
      <c r="S929" s="1427"/>
      <c r="T929" s="103" t="s">
        <v>871</v>
      </c>
      <c r="U929" s="77"/>
      <c r="V929" s="77"/>
      <c r="W929" s="77"/>
      <c r="X929" s="77"/>
      <c r="Y929" s="77"/>
      <c r="Z929" s="78"/>
      <c r="AA929" s="1425"/>
      <c r="AB929" s="1426"/>
      <c r="AC929" s="1426"/>
      <c r="AD929" s="1426"/>
      <c r="AE929" s="1426"/>
      <c r="AF929" s="1426"/>
      <c r="AG929" s="142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5"/>
      <c r="N930" s="1426"/>
      <c r="O930" s="1426"/>
      <c r="P930" s="1426"/>
      <c r="Q930" s="1426"/>
      <c r="R930" s="1426"/>
      <c r="S930" s="1427"/>
      <c r="T930" s="103" t="s">
        <v>870</v>
      </c>
      <c r="U930" s="77"/>
      <c r="V930" s="77"/>
      <c r="W930" s="77"/>
      <c r="X930" s="77"/>
      <c r="Y930" s="77"/>
      <c r="Z930" s="78"/>
      <c r="AA930" s="1425"/>
      <c r="AB930" s="1426"/>
      <c r="AC930" s="1426"/>
      <c r="AD930" s="1426"/>
      <c r="AE930" s="1426"/>
      <c r="AF930" s="1426"/>
      <c r="AG930" s="142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8" t="s">
        <v>641</v>
      </c>
      <c r="N931" s="1499"/>
      <c r="O931" s="1499"/>
      <c r="P931" s="1499"/>
      <c r="Q931" s="1499"/>
      <c r="R931" s="1499"/>
      <c r="S931" s="1500"/>
      <c r="T931" s="76" t="s">
        <v>359</v>
      </c>
      <c r="U931" s="77"/>
      <c r="V931" s="77"/>
      <c r="W931" s="77"/>
      <c r="X931" s="77"/>
      <c r="Y931" s="77"/>
      <c r="Z931" s="78"/>
      <c r="AA931" s="1425"/>
      <c r="AB931" s="1426"/>
      <c r="AC931" s="1426"/>
      <c r="AD931" s="1426"/>
      <c r="AE931" s="1426"/>
      <c r="AF931" s="1426"/>
      <c r="AG931" s="142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5"/>
      <c r="N932" s="1426"/>
      <c r="O932" s="1426"/>
      <c r="P932" s="1426"/>
      <c r="Q932" s="1426"/>
      <c r="R932" s="1426"/>
      <c r="S932" s="1427"/>
      <c r="T932" s="76" t="s">
        <v>360</v>
      </c>
      <c r="U932" s="77"/>
      <c r="V932" s="77"/>
      <c r="W932" s="77"/>
      <c r="X932" s="77"/>
      <c r="Y932" s="77"/>
      <c r="Z932" s="78"/>
      <c r="AA932" s="1425"/>
      <c r="AB932" s="1426"/>
      <c r="AC932" s="1426"/>
      <c r="AD932" s="1426"/>
      <c r="AE932" s="1426"/>
      <c r="AF932" s="1426"/>
      <c r="AG932" s="142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5"/>
      <c r="N933" s="1426"/>
      <c r="O933" s="1426"/>
      <c r="P933" s="1426"/>
      <c r="Q933" s="1426"/>
      <c r="R933" s="1426"/>
      <c r="S933" s="1427"/>
      <c r="T933" s="76" t="s">
        <v>407</v>
      </c>
      <c r="U933" s="77"/>
      <c r="V933" s="77"/>
      <c r="W933" s="77"/>
      <c r="X933" s="77"/>
      <c r="Y933" s="77"/>
      <c r="Z933" s="78"/>
      <c r="AA933" s="1425"/>
      <c r="AB933" s="1426"/>
      <c r="AC933" s="1426"/>
      <c r="AD933" s="1426"/>
      <c r="AE933" s="1426"/>
      <c r="AF933" s="1426"/>
      <c r="AG933" s="142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2" t="s">
        <v>328</v>
      </c>
      <c r="N934" s="1483"/>
      <c r="O934" s="1483"/>
      <c r="P934" s="1483"/>
      <c r="Q934" s="1483"/>
      <c r="R934" s="1483"/>
      <c r="S934" s="1484"/>
      <c r="T934" s="1464"/>
      <c r="U934" s="1465"/>
      <c r="V934" s="1465"/>
      <c r="W934" s="1465"/>
      <c r="X934" s="1465"/>
      <c r="Y934" s="1465"/>
      <c r="Z934" s="1466"/>
      <c r="AA934" s="1425"/>
      <c r="AB934" s="1426"/>
      <c r="AC934" s="1426"/>
      <c r="AD934" s="1426"/>
      <c r="AE934" s="1426"/>
      <c r="AF934" s="1426"/>
      <c r="AG934" s="142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5"/>
      <c r="N935" s="1426"/>
      <c r="O935" s="1426"/>
      <c r="P935" s="1426"/>
      <c r="Q935" s="1426"/>
      <c r="R935" s="1426"/>
      <c r="S935" s="1427"/>
      <c r="T935" s="1464"/>
      <c r="U935" s="1465"/>
      <c r="V935" s="1465"/>
      <c r="W935" s="1465"/>
      <c r="X935" s="1465"/>
      <c r="Y935" s="1465"/>
      <c r="Z935" s="1466"/>
      <c r="AA935" s="1425"/>
      <c r="AB935" s="1426"/>
      <c r="AC935" s="1426"/>
      <c r="AD935" s="1426"/>
      <c r="AE935" s="1426"/>
      <c r="AF935" s="1426"/>
      <c r="AG935" s="142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2" t="s">
        <v>722</v>
      </c>
      <c r="P936" s="1163"/>
      <c r="Q936" s="142"/>
      <c r="R936" s="142"/>
      <c r="S936" s="143"/>
      <c r="T936" s="71" t="s">
        <v>176</v>
      </c>
      <c r="U936" s="72"/>
      <c r="V936" s="72"/>
      <c r="W936" s="1408" t="s">
        <v>356</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5"/>
      <c r="N937" s="1426"/>
      <c r="O937" s="1426"/>
      <c r="P937" s="1426"/>
      <c r="Q937" s="1426"/>
      <c r="R937" s="1426"/>
      <c r="S937" s="1427"/>
      <c r="T937" s="79"/>
      <c r="U937" s="80"/>
      <c r="V937" s="80"/>
      <c r="W937" s="80"/>
      <c r="X937" s="80"/>
      <c r="Y937" s="80"/>
      <c r="Z937" s="196" t="s">
        <v>141</v>
      </c>
      <c r="AA937" s="1443"/>
      <c r="AB937" s="1444"/>
      <c r="AC937" s="1444"/>
      <c r="AD937" s="1444"/>
      <c r="AE937" s="1444"/>
      <c r="AF937" s="1444"/>
      <c r="AG937" s="144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594</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5"/>
      <c r="AU941" s="1455"/>
      <c r="AV941" s="1455"/>
      <c r="AW941" s="1455"/>
      <c r="AX941" s="1455"/>
      <c r="AY941" s="145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8" t="s">
        <v>688</v>
      </c>
      <c r="C946" s="1438"/>
      <c r="D946" s="1438"/>
      <c r="E946" s="1438"/>
      <c r="F946" s="1438"/>
      <c r="G946" s="1438"/>
      <c r="H946" s="1438"/>
      <c r="I946" s="1438"/>
      <c r="J946" s="1438"/>
      <c r="K946" s="1438"/>
      <c r="L946" s="1438" t="s">
        <v>689</v>
      </c>
      <c r="M946" s="1438"/>
      <c r="N946" s="1438"/>
      <c r="O946" s="1438"/>
      <c r="P946" s="1438"/>
      <c r="Q946" s="1438"/>
      <c r="R946" s="1438"/>
      <c r="S946" s="1438"/>
      <c r="T946" s="1438"/>
      <c r="U946" s="1438"/>
      <c r="V946" s="1438" t="s">
        <v>690</v>
      </c>
      <c r="W946" s="1438"/>
      <c r="X946" s="1438"/>
      <c r="Y946" s="1438"/>
      <c r="Z946" s="1438"/>
      <c r="AA946" s="1438"/>
      <c r="AB946" s="1438"/>
      <c r="AC946" s="1438"/>
      <c r="AD946" s="1506" t="s">
        <v>691</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4" t="s">
        <v>683</v>
      </c>
      <c r="C947" s="1568"/>
      <c r="D947" s="1568"/>
      <c r="E947" s="1568"/>
      <c r="F947" s="1568"/>
      <c r="G947" s="1568"/>
      <c r="H947" s="1568"/>
      <c r="I947" s="1568"/>
      <c r="J947" s="1568"/>
      <c r="K947" s="1568"/>
      <c r="L947" s="1439">
        <f>IF(ISNA(IF($BA$779="4%",(INDEX($BC$789:$BG$846,MATCH($BO$779,$BB$789:$BB$846,0),MATCH(B947,$BC$788:$BG$788,0))),(INDEX($BJ$789:$BN$846,MATCH($BO$779,$BI$789:$BI$846,0),MATCH(B947,$BJ$788:$BN$788,0))))),0,IF($BA$779="4%",(INDEX($BC$789:$BG$846,MATCH($BO$779,$BB$789:$BB$846,0),MATCH(B947,$BC$788:$BG$788,0))),(INDEX($BJ$789:$BN$846,MATCH($BO$779,$BI$789:$BI$846,0),MATCH(B947,$BJ$788:$BN$788,0)))))</f>
        <v>255964</v>
      </c>
      <c r="M947" s="1440"/>
      <c r="N947" s="1440"/>
      <c r="O947" s="1440"/>
      <c r="P947" s="1440"/>
      <c r="Q947" s="1440"/>
      <c r="R947" s="1440"/>
      <c r="S947" s="1440"/>
      <c r="T947" s="1440"/>
      <c r="U947" s="1441"/>
      <c r="V947" s="1247">
        <f>BA635</f>
        <v>0</v>
      </c>
      <c r="W947" s="1247"/>
      <c r="X947" s="1247"/>
      <c r="Y947" s="1247"/>
      <c r="Z947" s="1247"/>
      <c r="AA947" s="1247"/>
      <c r="AB947" s="1247"/>
      <c r="AC947" s="1247"/>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4" t="s">
        <v>347</v>
      </c>
      <c r="C948" s="1294"/>
      <c r="D948" s="1294"/>
      <c r="E948" s="1294"/>
      <c r="F948" s="1294"/>
      <c r="G948" s="1294"/>
      <c r="H948" s="1294"/>
      <c r="I948" s="1294"/>
      <c r="J948" s="1294"/>
      <c r="K948" s="1294"/>
      <c r="L948" s="1439">
        <f>IF(ISNA(IF($BA$779="4%",(INDEX($BC$789:$BG$846,MATCH($BO$779,$BB$789:$BB$846,0),MATCH(B948,$BC$788:$BG$788,0))),(INDEX($BJ$789:$BN$846,MATCH($BO$779,$BI$789:$BI$846,0),MATCH(B948,$BJ$788:$BN$788,0))))),0,IF($BA$779="4%",(INDEX($BC$789:$BG$846,MATCH($BO$779,$BB$789:$BB$846,0),MATCH(B948,$BC$788:$BG$788,0))),(INDEX($BJ$789:$BN$846,MATCH($BO$779,$BI$789:$BI$846,0),MATCH(B948,$BJ$788:$BN$788,0)))))</f>
        <v>295124</v>
      </c>
      <c r="M948" s="1440"/>
      <c r="N948" s="1440"/>
      <c r="O948" s="1440"/>
      <c r="P948" s="1440"/>
      <c r="Q948" s="1440"/>
      <c r="R948" s="1440"/>
      <c r="S948" s="1440"/>
      <c r="T948" s="1440"/>
      <c r="U948" s="1441"/>
      <c r="V948" s="1247">
        <f>BF635</f>
        <v>0</v>
      </c>
      <c r="W948" s="1247"/>
      <c r="X948" s="1247"/>
      <c r="Y948" s="1247"/>
      <c r="Z948" s="1247"/>
      <c r="AA948" s="1247"/>
      <c r="AB948" s="1247"/>
      <c r="AC948" s="1247"/>
      <c r="AD948" s="1209">
        <f>IF(ISERROR((L948*V948)),0,(L948*V948))</f>
        <v>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4" t="s">
        <v>170</v>
      </c>
      <c r="C949" s="1294"/>
      <c r="D949" s="1294"/>
      <c r="E949" s="1294"/>
      <c r="F949" s="1294"/>
      <c r="G949" s="1294"/>
      <c r="H949" s="1294"/>
      <c r="I949" s="1294"/>
      <c r="J949" s="1294"/>
      <c r="K949" s="1294"/>
      <c r="L949" s="1439">
        <f>IF(ISNA(IF($BA$779="4%",(INDEX($BC$789:$BG$846,MATCH($BO$779,$BB$789:$BB$846,0),MATCH(B949,$BC$788:$BG$788,0))),(INDEX($BJ$789:$BN$846,MATCH($BO$779,$BI$789:$BI$846,0),MATCH(B949,$BJ$788:$BN$788,0))))),0,IF($BA$779="4%",(INDEX($BC$789:$BG$846,MATCH($BO$779,$BB$789:$BB$846,0),MATCH(B949,$BC$788:$BG$788,0))),(INDEX($BJ$789:$BN$846,MATCH($BO$779,$BI$789:$BI$846,0),MATCH(B949,$BJ$788:$BN$788,0)))))</f>
        <v>356000</v>
      </c>
      <c r="M949" s="1440"/>
      <c r="N949" s="1440"/>
      <c r="O949" s="1440"/>
      <c r="P949" s="1440"/>
      <c r="Q949" s="1440"/>
      <c r="R949" s="1440"/>
      <c r="S949" s="1440"/>
      <c r="T949" s="1440"/>
      <c r="U949" s="1441"/>
      <c r="V949" s="1247">
        <f>BK635</f>
        <v>24</v>
      </c>
      <c r="W949" s="1247"/>
      <c r="X949" s="1247"/>
      <c r="Y949" s="1247"/>
      <c r="Z949" s="1247"/>
      <c r="AA949" s="1247"/>
      <c r="AB949" s="1247"/>
      <c r="AC949" s="1247"/>
      <c r="AD949" s="1209">
        <f>IF(ISERROR((L949*V949)),0,(L949*V949))</f>
        <v>8544000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4" t="s">
        <v>171</v>
      </c>
      <c r="C950" s="1294"/>
      <c r="D950" s="1294"/>
      <c r="E950" s="1294"/>
      <c r="F950" s="1294"/>
      <c r="G950" s="1294"/>
      <c r="H950" s="1294"/>
      <c r="I950" s="1294"/>
      <c r="J950" s="1294"/>
      <c r="K950" s="1294"/>
      <c r="L950" s="1439">
        <f>IF(ISNA(IF($BA$779="4%",(INDEX($BC$789:$BG$846,MATCH($BO$779,$BB$789:$BB$846,0),MATCH(B950,$BC$788:$BG$788,0))),(INDEX($BJ$789:$BN$846,MATCH($BO$779,$BI$789:$BI$846,0),MATCH(B950,$BJ$788:$BN$788,0))))),0,IF($BA$779="4%",(INDEX($BC$789:$BG$846,MATCH($BO$779,$BB$789:$BB$846,0),MATCH(B950,$BC$788:$BG$788,0))),(INDEX($BJ$789:$BN$846,MATCH($BO$779,$BI$789:$BI$846,0),MATCH(B950,$BJ$788:$BN$788,0)))))</f>
        <v>455680</v>
      </c>
      <c r="M950" s="1440"/>
      <c r="N950" s="1440"/>
      <c r="O950" s="1440"/>
      <c r="P950" s="1440"/>
      <c r="Q950" s="1440"/>
      <c r="R950" s="1440"/>
      <c r="S950" s="1440"/>
      <c r="T950" s="1440"/>
      <c r="U950" s="1441"/>
      <c r="V950" s="1247">
        <f>BP635</f>
        <v>74</v>
      </c>
      <c r="W950" s="1247"/>
      <c r="X950" s="1247"/>
      <c r="Y950" s="1247"/>
      <c r="Z950" s="1247"/>
      <c r="AA950" s="1247"/>
      <c r="AB950" s="1247"/>
      <c r="AC950" s="1247"/>
      <c r="AD950" s="1209">
        <f>IF(ISERROR((L950*V950)),0,(L950*V950))</f>
        <v>33720320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4" t="s">
        <v>506</v>
      </c>
      <c r="C951" s="1294"/>
      <c r="D951" s="1294"/>
      <c r="E951" s="1294"/>
      <c r="F951" s="1294"/>
      <c r="G951" s="1294"/>
      <c r="H951" s="1294"/>
      <c r="I951" s="1294"/>
      <c r="J951" s="1294"/>
      <c r="K951" s="1294"/>
      <c r="L951" s="1439">
        <f>IF(ISNA(IF($BA$779="4%",(INDEX($BC$789:$BG$846,MATCH($BO$779,$BB$789:$BB$846,0),MATCH(B951,$BC$788:$BG$788,0))),(INDEX($BJ$789:$BN$846,MATCH($BO$779,$BI$789:$BI$846,0),MATCH(B951,$BJ$788:$BN$788,0))))),0,IF($BA$779="4%",(INDEX($BC$789:$BG$846,MATCH($BO$779,$BB$789:$BB$846,0),MATCH(B951,$BC$788:$BG$788,0))),(INDEX($BJ$789:$BN$846,MATCH($BO$779,$BI$789:$BI$846,0),MATCH(B951,$BJ$788:$BN$788,0)))))</f>
        <v>507656</v>
      </c>
      <c r="M951" s="1440"/>
      <c r="N951" s="1440"/>
      <c r="O951" s="1440"/>
      <c r="P951" s="1440"/>
      <c r="Q951" s="1440"/>
      <c r="R951" s="1440"/>
      <c r="S951" s="1440"/>
      <c r="T951" s="1440"/>
      <c r="U951" s="1441"/>
      <c r="V951" s="1247">
        <f>BZ635+BU635</f>
        <v>33</v>
      </c>
      <c r="W951" s="1247"/>
      <c r="X951" s="1247"/>
      <c r="Y951" s="1247"/>
      <c r="Z951" s="1247"/>
      <c r="AA951" s="1247"/>
      <c r="AB951" s="1247"/>
      <c r="AC951" s="1247"/>
      <c r="AD951" s="1209">
        <f>IF(ISERROR((L951*V951)),0,(L951*V951))</f>
        <v>16752648</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3" t="s">
        <v>872</v>
      </c>
      <c r="C952" s="1574"/>
      <c r="D952" s="1574"/>
      <c r="E952" s="1574"/>
      <c r="F952" s="1574"/>
      <c r="G952" s="1574"/>
      <c r="H952" s="1574"/>
      <c r="I952" s="1574"/>
      <c r="J952" s="1574"/>
      <c r="K952" s="1574"/>
      <c r="L952" s="1574"/>
      <c r="M952" s="1574"/>
      <c r="N952" s="1574"/>
      <c r="O952" s="1574"/>
      <c r="P952" s="1574"/>
      <c r="Q952" s="1574"/>
      <c r="R952" s="1574"/>
      <c r="S952" s="1574"/>
      <c r="T952" s="1574"/>
      <c r="U952" s="1575"/>
      <c r="V952" s="1430">
        <f>SUM(V947:AC951)</f>
        <v>131</v>
      </c>
      <c r="W952" s="1431"/>
      <c r="X952" s="1431"/>
      <c r="Y952" s="1431"/>
      <c r="Z952" s="1431"/>
      <c r="AA952" s="1431"/>
      <c r="AB952" s="1431"/>
      <c r="AC952" s="1432"/>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558</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3">
        <f>SUM(AD947:AK951)</f>
        <v>59016968</v>
      </c>
      <c r="AE953" s="1434"/>
      <c r="AF953" s="1434"/>
      <c r="AG953" s="1434"/>
      <c r="AH953" s="1434"/>
      <c r="AI953" s="1434"/>
      <c r="AJ953" s="1434"/>
      <c r="AK953" s="143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3" t="s">
        <v>1481</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1" t="s">
        <v>722</v>
      </c>
      <c r="AB955" s="1502"/>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07" t="s">
        <v>1482</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9"/>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28" t="s">
        <v>722</v>
      </c>
      <c r="AB958" s="1429"/>
      <c r="AC958" s="128"/>
      <c r="AD958" s="1436">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7"/>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7"/>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7"/>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7"/>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7"/>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28" t="s">
        <v>591</v>
      </c>
      <c r="AB965" s="1429"/>
      <c r="AC965" s="128"/>
      <c r="AD965" s="1187">
        <f>ROUND(IF(AA965="yes",AD953*0.07,0),0)</f>
        <v>4131188</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226</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5" t="s">
        <v>722</v>
      </c>
      <c r="AB969" s="1496"/>
      <c r="AC969" s="51"/>
      <c r="AD969" s="1436">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7"/>
      <c r="AE970" s="1189"/>
      <c r="AF970" s="1189"/>
      <c r="AG970" s="1189"/>
      <c r="AH970" s="1189"/>
      <c r="AI970" s="1189"/>
      <c r="AJ970" s="1189"/>
      <c r="AK970" s="1190"/>
      <c r="AL970" s="105"/>
      <c r="AO970" s="945"/>
      <c r="AP970" s="945"/>
      <c r="AQ970" s="945"/>
      <c r="AR970" s="945"/>
      <c r="AS970" s="945"/>
    </row>
    <row r="971" spans="1:96" ht="12.75" customHeight="1">
      <c r="A971" s="51"/>
      <c r="B971" s="120"/>
      <c r="C971" s="121" t="s">
        <v>229</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28" t="s">
        <v>722</v>
      </c>
      <c r="AB971" s="1429"/>
      <c r="AC971" s="120"/>
      <c r="AD971" s="1436">
        <f>ROUND(IF(AA971="yes",AD953*0.02,0),0)</f>
        <v>0</v>
      </c>
      <c r="AE971" s="1187"/>
      <c r="AF971" s="1187"/>
      <c r="AG971" s="1187"/>
      <c r="AH971" s="1187"/>
      <c r="AI971" s="1187"/>
      <c r="AJ971" s="1187"/>
      <c r="AK971" s="1188"/>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7"/>
      <c r="AE972" s="1189"/>
      <c r="AF972" s="1189"/>
      <c r="AG972" s="1189"/>
      <c r="AH972" s="1189"/>
      <c r="AI972" s="1189"/>
      <c r="AJ972" s="1189"/>
      <c r="AK972" s="1190"/>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1"/>
      <c r="AE973" s="1492"/>
      <c r="AF973" s="1492"/>
      <c r="AG973" s="1492"/>
      <c r="AH973" s="1492"/>
      <c r="AI973" s="1492"/>
      <c r="AJ973" s="1492"/>
      <c r="AK973" s="1493"/>
      <c r="AL973" s="105"/>
    </row>
    <row r="974" spans="1:96" ht="12.75" customHeight="1">
      <c r="A974" s="51"/>
      <c r="B974" s="120"/>
      <c r="C974" s="121" t="s">
        <v>232</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28" t="s">
        <v>722</v>
      </c>
      <c r="AB974" s="1429"/>
      <c r="AC974" s="128"/>
      <c r="AD974" s="1436">
        <f>IF(AA974="yes",AD953*AN891,0)</f>
        <v>0</v>
      </c>
      <c r="AE974" s="1187"/>
      <c r="AF974" s="1187"/>
      <c r="AG974" s="1187"/>
      <c r="AH974" s="1187"/>
      <c r="AI974" s="1187"/>
      <c r="AJ974" s="1187"/>
      <c r="AK974" s="1188"/>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7"/>
      <c r="AE975" s="1189"/>
      <c r="AF975" s="1189"/>
      <c r="AG975" s="1189"/>
      <c r="AH975" s="1189"/>
      <c r="AI975" s="1189"/>
      <c r="AJ975" s="1189"/>
      <c r="AK975" s="1190"/>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7"/>
      <c r="AE976" s="1189"/>
      <c r="AF976" s="1189"/>
      <c r="AG976" s="1189"/>
      <c r="AH976" s="1189"/>
      <c r="AI976" s="1189"/>
      <c r="AJ976" s="1189"/>
      <c r="AK976" s="1190"/>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1"/>
      <c r="AE977" s="1492"/>
      <c r="AF977" s="1492"/>
      <c r="AG977" s="1492"/>
      <c r="AH977" s="1492"/>
      <c r="AI977" s="1492"/>
      <c r="AJ977" s="1492"/>
      <c r="AK977" s="1493"/>
      <c r="AL977" s="105"/>
    </row>
    <row r="978" spans="1:38" ht="12.75" customHeight="1">
      <c r="A978" s="51"/>
      <c r="B978" s="120"/>
      <c r="C978" s="121" t="s">
        <v>237</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5" t="s">
        <v>722</v>
      </c>
      <c r="AB978" s="1496"/>
      <c r="AC978" s="51"/>
      <c r="AD978" s="1528"/>
      <c r="AE978" s="1529"/>
      <c r="AF978" s="1529"/>
      <c r="AG978" s="1529"/>
      <c r="AH978" s="1529"/>
      <c r="AI978" s="1529"/>
      <c r="AJ978" s="1529"/>
      <c r="AK978" s="1530"/>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1">
        <f>IF(AA978="yes","Please Select Type and Enter Amount:",0)</f>
        <v>0</v>
      </c>
      <c r="AA979" s="1221"/>
      <c r="AB979" s="1221"/>
      <c r="AC979" s="1222"/>
      <c r="AD979" s="1531"/>
      <c r="AE979" s="1532"/>
      <c r="AF979" s="1532"/>
      <c r="AG979" s="1532"/>
      <c r="AH979" s="1532"/>
      <c r="AI979" s="1532"/>
      <c r="AJ979" s="1532"/>
      <c r="AK979" s="1533"/>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0"/>
      <c r="AA980" s="1221"/>
      <c r="AB980" s="1221"/>
      <c r="AC980" s="1222"/>
      <c r="AD980" s="1531"/>
      <c r="AE980" s="1532"/>
      <c r="AF980" s="1532"/>
      <c r="AG980" s="1532"/>
      <c r="AH980" s="1532"/>
      <c r="AI980" s="1532"/>
      <c r="AJ980" s="1532"/>
      <c r="AK980" s="1533"/>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0"/>
      <c r="AA981" s="1221"/>
      <c r="AB981" s="1221"/>
      <c r="AC981" s="1222"/>
      <c r="AD981" s="1531"/>
      <c r="AE981" s="1532"/>
      <c r="AF981" s="1532"/>
      <c r="AG981" s="1532"/>
      <c r="AH981" s="1532"/>
      <c r="AI981" s="1532"/>
      <c r="AJ981" s="1532"/>
      <c r="AK981" s="1533"/>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0"/>
      <c r="AA982" s="1221"/>
      <c r="AB982" s="1221"/>
      <c r="AC982" s="1222"/>
      <c r="AD982" s="1531"/>
      <c r="AE982" s="1532"/>
      <c r="AF982" s="1532"/>
      <c r="AG982" s="1532"/>
      <c r="AH982" s="1532"/>
      <c r="AI982" s="1532"/>
      <c r="AJ982" s="1532"/>
      <c r="AK982" s="1533"/>
      <c r="AL982" s="105"/>
    </row>
    <row r="983" spans="1:38" ht="12.75" customHeight="1">
      <c r="A983" s="51"/>
      <c r="B983" s="122"/>
      <c r="C983" s="125"/>
      <c r="D983" s="949" t="s">
        <v>382</v>
      </c>
      <c r="E983" s="136"/>
      <c r="F983" s="136"/>
      <c r="G983" s="163"/>
      <c r="H983" s="7"/>
      <c r="J983" s="1537" t="s">
        <v>641</v>
      </c>
      <c r="K983" s="1538"/>
      <c r="L983" s="1538"/>
      <c r="M983" s="1538"/>
      <c r="N983" s="1538"/>
      <c r="O983" s="1538"/>
      <c r="P983" s="1538"/>
      <c r="Q983" s="1539"/>
      <c r="R983" s="7"/>
      <c r="S983" s="7"/>
      <c r="T983" s="164"/>
      <c r="U983" s="7"/>
      <c r="V983" s="1522" t="str">
        <f>IF(AA978="yes",(AD953*0.15),"")</f>
        <v/>
      </c>
      <c r="W983" s="1522"/>
      <c r="X983" s="1522"/>
      <c r="Y983" s="1523"/>
      <c r="Z983" s="1223"/>
      <c r="AA983" s="1224"/>
      <c r="AB983" s="1224"/>
      <c r="AC983" s="1225"/>
      <c r="AD983" s="1534"/>
      <c r="AE983" s="1535"/>
      <c r="AF983" s="1535"/>
      <c r="AG983" s="1535"/>
      <c r="AH983" s="1535"/>
      <c r="AI983" s="1535"/>
      <c r="AJ983" s="1535"/>
      <c r="AK983" s="1536"/>
      <c r="AL983" s="105"/>
    </row>
    <row r="984" spans="1:38" ht="12.75" customHeight="1">
      <c r="A984" s="51"/>
      <c r="B984" s="120"/>
      <c r="C984" s="121" t="s">
        <v>243</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5" t="s">
        <v>591</v>
      </c>
      <c r="AB984" s="1496"/>
      <c r="AC984" s="51"/>
      <c r="AD984" s="1528">
        <v>1630789</v>
      </c>
      <c r="AE984" s="1529"/>
      <c r="AF984" s="1529"/>
      <c r="AG984" s="1529"/>
      <c r="AH984" s="1529"/>
      <c r="AI984" s="1529"/>
      <c r="AJ984" s="1529"/>
      <c r="AK984" s="1530"/>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26" t="str">
        <f>IF(AA984="yes","Please Enter Amount:",0)</f>
        <v>Please Enter Amount:</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248</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28" t="s">
        <v>591</v>
      </c>
      <c r="AB988" s="1429"/>
      <c r="AC988" s="127"/>
      <c r="AD988" s="1436">
        <f>ROUND(IF(AA988="yes",(AD953*0.1),0),0)</f>
        <v>5901697</v>
      </c>
      <c r="AE988" s="1187"/>
      <c r="AF988" s="1187"/>
      <c r="AG988" s="1187"/>
      <c r="AH988" s="1187"/>
      <c r="AI988" s="1187"/>
      <c r="AJ988" s="1187"/>
      <c r="AK988" s="1188"/>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7"/>
      <c r="AE989" s="1189"/>
      <c r="AF989" s="1189"/>
      <c r="AG989" s="1189"/>
      <c r="AH989" s="1189"/>
      <c r="AI989" s="1189"/>
      <c r="AJ989" s="1189"/>
      <c r="AK989" s="1190"/>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7"/>
      <c r="AE990" s="1189"/>
      <c r="AF990" s="1189"/>
      <c r="AG990" s="1189"/>
      <c r="AH990" s="1189"/>
      <c r="AI990" s="1189"/>
      <c r="AJ990" s="1189"/>
      <c r="AK990" s="1190"/>
      <c r="AL990" s="105"/>
    </row>
    <row r="991" spans="1:38" ht="12.75" customHeight="1">
      <c r="A991" s="51"/>
      <c r="B991" s="120"/>
      <c r="C991" s="555" t="s">
        <v>741</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28" t="s">
        <v>722</v>
      </c>
      <c r="AB991" s="1429"/>
      <c r="AC991" s="127"/>
      <c r="AD991" s="1436">
        <f>ROUND(IF(AA991="yes",(AD953*0.1),0),0)</f>
        <v>0</v>
      </c>
      <c r="AE991" s="1187"/>
      <c r="AF991" s="1187"/>
      <c r="AG991" s="1187"/>
      <c r="AH991" s="1187"/>
      <c r="AI991" s="1187"/>
      <c r="AJ991" s="1187"/>
      <c r="AK991" s="1188"/>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7"/>
      <c r="AE992" s="1189"/>
      <c r="AF992" s="1189"/>
      <c r="AG992" s="1189"/>
      <c r="AH992" s="1189"/>
      <c r="AI992" s="1189"/>
      <c r="AJ992" s="1189"/>
      <c r="AK992" s="1190"/>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3" t="str">
        <f>IF(X999&gt;0,"Yes","No")</f>
        <v>Yes</v>
      </c>
      <c r="AB996" s="1234"/>
      <c r="AC996" s="128"/>
      <c r="AD996" s="1235">
        <f>IF((X999=0),"",AO906*AD953)</f>
        <v>29508484</v>
      </c>
      <c r="AE996" s="1236"/>
      <c r="AF996" s="1236"/>
      <c r="AG996" s="1236"/>
      <c r="AH996" s="1236"/>
      <c r="AI996" s="1236"/>
      <c r="AJ996" s="1236"/>
      <c r="AK996" s="1237"/>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1080</v>
      </c>
      <c r="E999" s="208"/>
      <c r="F999" s="208"/>
      <c r="G999" s="208"/>
      <c r="H999" s="104"/>
      <c r="I999" s="1524">
        <f>AM905</f>
        <v>130</v>
      </c>
      <c r="J999" s="1525"/>
      <c r="K999" s="51"/>
      <c r="L999" s="104"/>
      <c r="M999" s="208"/>
      <c r="N999" s="208"/>
      <c r="O999" s="208"/>
      <c r="P999" s="208"/>
      <c r="Q999" s="208"/>
      <c r="R999" s="208"/>
      <c r="S999" s="208"/>
      <c r="T999" s="208"/>
      <c r="U999" s="208"/>
      <c r="V999" s="104"/>
      <c r="W999" s="209" t="s">
        <v>1081</v>
      </c>
      <c r="X999" s="1423">
        <f>AT614</f>
        <v>65</v>
      </c>
      <c r="Y999" s="1424"/>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1154</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1080</v>
      </c>
      <c r="E1003" s="208"/>
      <c r="F1003" s="208"/>
      <c r="G1003" s="208"/>
      <c r="H1003" s="208"/>
      <c r="I1003" s="1524">
        <f>AM905</f>
        <v>130</v>
      </c>
      <c r="J1003" s="1525"/>
      <c r="K1003" s="51"/>
      <c r="L1003" s="208"/>
      <c r="M1003" s="208"/>
      <c r="N1003" s="208"/>
      <c r="O1003" s="208"/>
      <c r="P1003" s="208"/>
      <c r="Q1003" s="208"/>
      <c r="R1003" s="208"/>
      <c r="S1003" s="208"/>
      <c r="T1003" s="208"/>
      <c r="U1003" s="208"/>
      <c r="V1003" s="208"/>
      <c r="W1003" s="209" t="s">
        <v>1082</v>
      </c>
      <c r="X1003" s="1423">
        <f>AX614</f>
        <v>0</v>
      </c>
      <c r="Y1003" s="1424"/>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5" t="s">
        <v>559</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3">
        <f>SUM(AD953:AK1003)</f>
        <v>100189126</v>
      </c>
      <c r="AE1004" s="1434"/>
      <c r="AF1004" s="1434"/>
      <c r="AG1004" s="1434"/>
      <c r="AH1004" s="1434"/>
      <c r="AI1004" s="1434"/>
      <c r="AJ1004" s="1434"/>
      <c r="AK1004" s="143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6"/>
      <c r="Y1007" s="1566"/>
      <c r="Z1007" s="1566"/>
      <c r="AA1007" s="1566"/>
      <c r="AB1007" s="1566"/>
      <c r="AC1007" s="156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7"/>
      <c r="Y1008" s="1567"/>
      <c r="Z1008" s="1567"/>
      <c r="AA1008" s="1567"/>
      <c r="AB1008" s="1567"/>
      <c r="AC1008" s="1567"/>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7"/>
      <c r="D1012" s="1577"/>
      <c r="E1012" s="1577"/>
      <c r="F1012" s="1577"/>
      <c r="G1012" s="1577"/>
      <c r="H1012" s="1577"/>
      <c r="I1012" s="1577"/>
      <c r="J1012" s="1577"/>
      <c r="K1012" s="1577"/>
      <c r="L1012" s="1577"/>
      <c r="M1012" s="1577"/>
      <c r="N1012" s="1577"/>
      <c r="O1012" s="1577"/>
      <c r="P1012" s="1577"/>
      <c r="Q1012" s="1577"/>
      <c r="R1012" s="1577"/>
      <c r="S1012" s="1577"/>
      <c r="T1012" s="1577"/>
      <c r="U1012" s="1577"/>
      <c r="V1012" s="1577"/>
      <c r="W1012" s="1577"/>
      <c r="X1012" s="1577"/>
      <c r="Y1012" s="1577"/>
      <c r="Z1012" s="1577"/>
      <c r="AA1012" s="1577"/>
      <c r="AB1012" s="1577"/>
      <c r="AC1012" s="1577"/>
      <c r="AD1012" s="1577"/>
      <c r="AE1012" s="1577"/>
      <c r="AF1012" s="1577"/>
      <c r="AG1012" s="1577"/>
      <c r="AH1012" s="1577"/>
      <c r="AI1012" s="1577"/>
      <c r="AJ1012" s="1577"/>
      <c r="AK1012" s="1577"/>
      <c r="AL1012" s="105"/>
    </row>
    <row r="1013" spans="1:38" ht="12.6" customHeight="1">
      <c r="A1013" s="131"/>
      <c r="B1013" s="1577"/>
      <c r="C1013" s="1577"/>
      <c r="D1013" s="1577"/>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7"/>
      <c r="AF1013" s="1577"/>
      <c r="AG1013" s="1577"/>
      <c r="AH1013" s="1577"/>
      <c r="AI1013" s="1577"/>
      <c r="AJ1013" s="1577"/>
      <c r="AK1013" s="1577"/>
      <c r="AL1013" s="105"/>
    </row>
    <row r="1014" spans="1:38" ht="12.6"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 customHeight="1" thickBot="1">
      <c r="A1015" s="1544" t="s">
        <v>875</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641</v>
      </c>
      <c r="B1019" s="1117"/>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7" t="s">
        <v>641</v>
      </c>
      <c r="B1025" s="1117"/>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7" t="s">
        <v>641</v>
      </c>
      <c r="B1031" s="1117"/>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7" t="s">
        <v>641</v>
      </c>
      <c r="B1038" s="1117"/>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7" t="s">
        <v>641</v>
      </c>
      <c r="B1041" s="1117"/>
      <c r="C1041" s="13">
        <v>5</v>
      </c>
      <c r="D1041" s="982" t="s">
        <v>1464</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7" t="s">
        <v>641</v>
      </c>
      <c r="B1046" s="1117"/>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7" t="s">
        <v>641</v>
      </c>
      <c r="B1049" s="1117"/>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7" t="s">
        <v>641</v>
      </c>
      <c r="B1053" s="1117"/>
      <c r="C1053" s="328">
        <v>8</v>
      </c>
      <c r="D1053" s="982" t="s">
        <v>1476</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7" t="s">
        <v>641</v>
      </c>
      <c r="B1057" s="1117"/>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K114" sqref="K11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8" t="s">
        <v>671</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405</v>
      </c>
      <c r="D2" s="216" t="s">
        <v>404</v>
      </c>
      <c r="E2" s="216" t="s">
        <v>27</v>
      </c>
      <c r="F2" s="217" t="str">
        <f>Application!B618&amp;Application!C618</f>
        <v>1)Citibank, N.A. - T.E. Bonds (Series A)</v>
      </c>
      <c r="G2" s="217" t="str">
        <f>Application!B619&amp;Application!C619</f>
        <v>2)Bonneville - T.E. Bonds (Series B)</v>
      </c>
      <c r="H2" s="217" t="str">
        <f>Application!B620&amp;Application!C620</f>
        <v>3)CalHFA - MIP Loan</v>
      </c>
      <c r="I2" s="217" t="str">
        <f>Application!B621&amp;Application!C621</f>
        <v xml:space="preserve">4)Pacific West Communities, Inc. - DDF </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4545000</v>
      </c>
      <c r="C4" s="225">
        <v>4545000</v>
      </c>
      <c r="D4" s="225"/>
      <c r="E4" s="225">
        <v>4545000</v>
      </c>
      <c r="F4" s="225"/>
      <c r="G4" s="225"/>
      <c r="H4" s="225"/>
      <c r="I4" s="225"/>
      <c r="J4" s="225"/>
      <c r="K4" s="225"/>
      <c r="L4" s="225"/>
      <c r="M4" s="225"/>
      <c r="N4" s="225"/>
      <c r="O4" s="225"/>
      <c r="P4" s="225"/>
      <c r="Q4" s="225"/>
      <c r="R4" s="916">
        <f>SUM(E4:Q4)</f>
        <v>4545000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v>5000</v>
      </c>
      <c r="F6" s="225"/>
      <c r="G6" s="225"/>
      <c r="H6" s="225"/>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4550000</v>
      </c>
      <c r="C8" s="224">
        <f t="shared" ref="C8:Q8" si="0">SUM(C4:C7)</f>
        <v>4550000</v>
      </c>
      <c r="D8" s="224">
        <f t="shared" si="0"/>
        <v>0</v>
      </c>
      <c r="E8" s="224">
        <f t="shared" si="0"/>
        <v>4550000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4550000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4550000</v>
      </c>
      <c r="C12" s="224">
        <f t="shared" si="2"/>
        <v>4550000</v>
      </c>
      <c r="D12" s="224">
        <f t="shared" si="2"/>
        <v>0</v>
      </c>
      <c r="E12" s="224">
        <f t="shared" si="2"/>
        <v>4550000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4550000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3275000</v>
      </c>
      <c r="C28" s="225">
        <v>3275000</v>
      </c>
      <c r="D28" s="225"/>
      <c r="E28" s="225">
        <v>3275000</v>
      </c>
      <c r="F28" s="225"/>
      <c r="G28" s="225"/>
      <c r="H28" s="225"/>
      <c r="I28" s="225"/>
      <c r="J28" s="225"/>
      <c r="K28" s="225"/>
      <c r="L28" s="225"/>
      <c r="M28" s="225"/>
      <c r="N28" s="225"/>
      <c r="O28" s="225"/>
      <c r="P28" s="225"/>
      <c r="Q28" s="225"/>
      <c r="R28" s="916">
        <f t="shared" ref="R28:R35" si="7">SUM(E28:Q28)</f>
        <v>3275000</v>
      </c>
      <c r="S28" s="225">
        <f>R28</f>
        <v>3275000</v>
      </c>
      <c r="T28" s="225"/>
      <c r="U28" s="221"/>
    </row>
    <row r="29" spans="1:21" s="222" customFormat="1">
      <c r="A29" s="223" t="s">
        <v>649</v>
      </c>
      <c r="B29" s="224">
        <f t="shared" si="6"/>
        <v>45192320</v>
      </c>
      <c r="C29" s="225">
        <v>45192320</v>
      </c>
      <c r="D29" s="225"/>
      <c r="E29" s="225">
        <v>4192320</v>
      </c>
      <c r="F29" s="225">
        <v>24500000</v>
      </c>
      <c r="G29" s="225">
        <v>10000000</v>
      </c>
      <c r="H29" s="225">
        <v>6500000</v>
      </c>
      <c r="I29" s="225"/>
      <c r="J29" s="225"/>
      <c r="K29" s="225"/>
      <c r="L29" s="225"/>
      <c r="M29" s="225"/>
      <c r="N29" s="225"/>
      <c r="O29" s="225"/>
      <c r="P29" s="225"/>
      <c r="Q29" s="225"/>
      <c r="R29" s="916">
        <f t="shared" si="7"/>
        <v>45192320</v>
      </c>
      <c r="S29" s="225">
        <f>R29</f>
        <v>45192320</v>
      </c>
      <c r="T29" s="225"/>
      <c r="U29" s="221"/>
    </row>
    <row r="30" spans="1:21" s="222" customFormat="1">
      <c r="A30" s="223" t="s">
        <v>650</v>
      </c>
      <c r="B30" s="224">
        <f t="shared" si="6"/>
        <v>2908039</v>
      </c>
      <c r="C30" s="225">
        <v>2908039</v>
      </c>
      <c r="D30" s="225"/>
      <c r="E30" s="225">
        <v>2908039</v>
      </c>
      <c r="F30" s="225"/>
      <c r="G30" s="225"/>
      <c r="H30" s="225"/>
      <c r="I30" s="225"/>
      <c r="J30" s="225"/>
      <c r="K30" s="225"/>
      <c r="L30" s="225"/>
      <c r="M30" s="225"/>
      <c r="N30" s="225"/>
      <c r="O30" s="225"/>
      <c r="P30" s="225"/>
      <c r="Q30" s="225"/>
      <c r="R30" s="916">
        <f t="shared" si="7"/>
        <v>2908039</v>
      </c>
      <c r="S30" s="225">
        <f>R30</f>
        <v>2908039</v>
      </c>
      <c r="T30" s="225"/>
      <c r="U30" s="221"/>
    </row>
    <row r="31" spans="1:21" s="222" customFormat="1">
      <c r="A31" s="223" t="s">
        <v>144</v>
      </c>
      <c r="B31" s="224">
        <f t="shared" si="6"/>
        <v>1027507</v>
      </c>
      <c r="C31" s="225">
        <v>1027507</v>
      </c>
      <c r="D31" s="225"/>
      <c r="E31" s="225">
        <v>1027507</v>
      </c>
      <c r="F31" s="225"/>
      <c r="G31" s="225"/>
      <c r="H31" s="225"/>
      <c r="I31" s="225"/>
      <c r="J31" s="225"/>
      <c r="K31" s="225"/>
      <c r="L31" s="225"/>
      <c r="M31" s="225"/>
      <c r="N31" s="225"/>
      <c r="O31" s="225"/>
      <c r="P31" s="225"/>
      <c r="Q31" s="225"/>
      <c r="R31" s="916">
        <f t="shared" si="7"/>
        <v>1027507</v>
      </c>
      <c r="S31" s="225">
        <f>R31</f>
        <v>1027507</v>
      </c>
      <c r="T31" s="225"/>
      <c r="U31" s="221"/>
    </row>
    <row r="32" spans="1:21" s="222" customFormat="1">
      <c r="A32" s="223" t="s">
        <v>145</v>
      </c>
      <c r="B32" s="224">
        <f t="shared" si="6"/>
        <v>3082522</v>
      </c>
      <c r="C32" s="225">
        <v>3082522</v>
      </c>
      <c r="D32" s="225"/>
      <c r="E32" s="225">
        <v>3082522</v>
      </c>
      <c r="F32" s="225"/>
      <c r="G32" s="225"/>
      <c r="H32" s="225"/>
      <c r="I32" s="225"/>
      <c r="J32" s="225"/>
      <c r="K32" s="225"/>
      <c r="L32" s="225"/>
      <c r="M32" s="225"/>
      <c r="N32" s="225"/>
      <c r="O32" s="225"/>
      <c r="P32" s="225"/>
      <c r="Q32" s="225"/>
      <c r="R32" s="916">
        <f t="shared" si="7"/>
        <v>3082522</v>
      </c>
      <c r="S32" s="225">
        <f>R32</f>
        <v>3082522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450000</v>
      </c>
      <c r="C34" s="225">
        <v>450000</v>
      </c>
      <c r="D34" s="225"/>
      <c r="E34" s="225">
        <v>450000</v>
      </c>
      <c r="F34" s="225"/>
      <c r="G34" s="225"/>
      <c r="H34" s="225"/>
      <c r="I34" s="225"/>
      <c r="J34" s="225"/>
      <c r="K34" s="225"/>
      <c r="L34" s="225"/>
      <c r="M34" s="225"/>
      <c r="N34" s="225"/>
      <c r="O34" s="225"/>
      <c r="P34" s="225"/>
      <c r="Q34" s="225"/>
      <c r="R34" s="916">
        <f t="shared" si="7"/>
        <v>450000</v>
      </c>
      <c r="S34" s="225">
        <f>R34</f>
        <v>450000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55935388</v>
      </c>
      <c r="C36" s="224">
        <f>SUM(C28:C35)</f>
        <v>55935388</v>
      </c>
      <c r="D36" s="224">
        <f t="shared" ref="D36:Q36" si="8">SUM(D28:D35)</f>
        <v>0</v>
      </c>
      <c r="E36" s="224">
        <f t="shared" si="8"/>
        <v>14935388</v>
      </c>
      <c r="F36" s="224">
        <f t="shared" si="8"/>
        <v>24500000</v>
      </c>
      <c r="G36" s="224">
        <f t="shared" si="8"/>
        <v>10000000</v>
      </c>
      <c r="H36" s="224">
        <f t="shared" si="8"/>
        <v>6500000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55935388</v>
      </c>
      <c r="S36" s="228">
        <f>SUM(S28:S35)</f>
        <v>55935388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550000</v>
      </c>
      <c r="C38" s="225">
        <v>550000</v>
      </c>
      <c r="D38" s="225"/>
      <c r="E38" s="225">
        <v>550000</v>
      </c>
      <c r="F38" s="225"/>
      <c r="G38" s="225"/>
      <c r="H38" s="225"/>
      <c r="I38" s="225"/>
      <c r="J38" s="225"/>
      <c r="K38" s="225"/>
      <c r="L38" s="225"/>
      <c r="M38" s="225"/>
      <c r="N38" s="225"/>
      <c r="O38" s="225"/>
      <c r="P38" s="225"/>
      <c r="Q38" s="225"/>
      <c r="R38" s="916">
        <f>SUM(E38:Q38)</f>
        <v>550000</v>
      </c>
      <c r="S38" s="225">
        <f>R38</f>
        <v>550000</v>
      </c>
      <c r="T38" s="225"/>
      <c r="U38" s="221"/>
    </row>
    <row r="39" spans="1:21" s="222" customFormat="1">
      <c r="A39" s="223" t="s">
        <v>153</v>
      </c>
      <c r="B39" s="224">
        <f>SUM(C39+D39)</f>
        <v>200000</v>
      </c>
      <c r="C39" s="225">
        <v>200000</v>
      </c>
      <c r="D39" s="225"/>
      <c r="E39" s="225">
        <v>200000</v>
      </c>
      <c r="F39" s="225"/>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750000</v>
      </c>
      <c r="C40" s="224">
        <f>SUM(C37:C39)</f>
        <v>750000</v>
      </c>
      <c r="D40" s="224">
        <f>SUM(D37:D39)</f>
        <v>0</v>
      </c>
      <c r="E40" s="224">
        <f t="shared" ref="E40:T40" si="9">SUM(E38:E39)</f>
        <v>750000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750000</v>
      </c>
      <c r="S40" s="228">
        <f t="shared" si="9"/>
        <v>750000</v>
      </c>
      <c r="T40" s="228">
        <f t="shared" si="9"/>
        <v>0</v>
      </c>
      <c r="U40" s="221"/>
    </row>
    <row r="41" spans="1:21" s="222" customFormat="1">
      <c r="A41" s="227" t="s">
        <v>155</v>
      </c>
      <c r="B41" s="224">
        <f>SUM(C41:D41)</f>
        <v>240000</v>
      </c>
      <c r="C41" s="225">
        <v>240000</v>
      </c>
      <c r="D41" s="225"/>
      <c r="E41" s="225">
        <v>240000</v>
      </c>
      <c r="F41" s="225"/>
      <c r="G41" s="225"/>
      <c r="H41" s="225"/>
      <c r="I41" s="225"/>
      <c r="J41" s="225"/>
      <c r="K41" s="225"/>
      <c r="L41" s="225"/>
      <c r="M41" s="225"/>
      <c r="N41" s="225"/>
      <c r="O41" s="225"/>
      <c r="P41" s="225"/>
      <c r="Q41" s="225"/>
      <c r="R41" s="916">
        <f>SUM(E41:Q41)</f>
        <v>240000</v>
      </c>
      <c r="S41" s="225">
        <f>R41</f>
        <v>240000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2700000</v>
      </c>
      <c r="C43" s="225">
        <v>2700000</v>
      </c>
      <c r="D43" s="225"/>
      <c r="E43" s="225">
        <v>2700000</v>
      </c>
      <c r="F43" s="225"/>
      <c r="G43" s="225"/>
      <c r="H43" s="225"/>
      <c r="I43" s="225"/>
      <c r="J43" s="225"/>
      <c r="K43" s="225"/>
      <c r="L43" s="225"/>
      <c r="M43" s="225"/>
      <c r="N43" s="225"/>
      <c r="O43" s="225"/>
      <c r="P43" s="225"/>
      <c r="Q43" s="225"/>
      <c r="R43" s="916">
        <f t="shared" ref="R43:R52" si="11">SUM(E43:Q43)</f>
        <v>2700000</v>
      </c>
      <c r="S43" s="225">
        <f>R43</f>
        <v>2700000</v>
      </c>
      <c r="T43" s="225"/>
      <c r="U43" s="221"/>
    </row>
    <row r="44" spans="1:21" s="222" customFormat="1">
      <c r="A44" s="223" t="s">
        <v>158</v>
      </c>
      <c r="B44" s="224">
        <f t="shared" si="10"/>
        <v>600000</v>
      </c>
      <c r="C44" s="225">
        <v>600000</v>
      </c>
      <c r="D44" s="225"/>
      <c r="E44" s="225">
        <v>600000</v>
      </c>
      <c r="F44" s="225"/>
      <c r="G44" s="225"/>
      <c r="H44" s="225"/>
      <c r="I44" s="225"/>
      <c r="J44" s="225"/>
      <c r="K44" s="225"/>
      <c r="L44" s="225"/>
      <c r="M44" s="225"/>
      <c r="N44" s="225"/>
      <c r="O44" s="225"/>
      <c r="P44" s="225"/>
      <c r="Q44" s="225"/>
      <c r="R44" s="916">
        <f t="shared" si="11"/>
        <v>600000</v>
      </c>
      <c r="S44" s="225">
        <f>R44</f>
        <v>600000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150000</v>
      </c>
      <c r="C47" s="225">
        <v>150000</v>
      </c>
      <c r="D47" s="225"/>
      <c r="E47" s="225">
        <v>150000</v>
      </c>
      <c r="F47" s="225"/>
      <c r="G47" s="225"/>
      <c r="H47" s="225"/>
      <c r="I47" s="225"/>
      <c r="J47" s="225"/>
      <c r="K47" s="225"/>
      <c r="L47" s="225"/>
      <c r="M47" s="225"/>
      <c r="N47" s="225"/>
      <c r="O47" s="225"/>
      <c r="P47" s="225"/>
      <c r="Q47" s="225"/>
      <c r="R47" s="916">
        <f t="shared" si="11"/>
        <v>150000</v>
      </c>
      <c r="S47" s="225">
        <f t="shared" ref="S47:S52" si="12">R47</f>
        <v>150000</v>
      </c>
      <c r="T47" s="225"/>
      <c r="U47" s="221"/>
    </row>
    <row r="48" spans="1:21" s="222" customFormat="1">
      <c r="A48" s="223" t="s">
        <v>163</v>
      </c>
      <c r="B48" s="224">
        <f t="shared" si="10"/>
        <v>80000</v>
      </c>
      <c r="C48" s="225">
        <v>80000</v>
      </c>
      <c r="D48" s="225"/>
      <c r="E48" s="225">
        <v>80000</v>
      </c>
      <c r="F48" s="225"/>
      <c r="G48" s="225"/>
      <c r="H48" s="225"/>
      <c r="I48" s="225"/>
      <c r="J48" s="225"/>
      <c r="K48" s="225"/>
      <c r="L48" s="225"/>
      <c r="M48" s="225"/>
      <c r="N48" s="225"/>
      <c r="O48" s="225"/>
      <c r="P48" s="225"/>
      <c r="Q48" s="225"/>
      <c r="R48" s="916">
        <f t="shared" si="11"/>
        <v>80000</v>
      </c>
      <c r="S48" s="225">
        <f t="shared" si="12"/>
        <v>80000</v>
      </c>
      <c r="T48" s="225"/>
      <c r="U48" s="221"/>
    </row>
    <row r="49" spans="1:21" s="222" customFormat="1">
      <c r="A49" s="457" t="s">
        <v>161</v>
      </c>
      <c r="B49" s="224">
        <f t="shared" si="10"/>
        <v>80000</v>
      </c>
      <c r="C49" s="225">
        <v>80000</v>
      </c>
      <c r="D49" s="225"/>
      <c r="E49" s="225">
        <v>80000</v>
      </c>
      <c r="F49" s="225"/>
      <c r="G49" s="225"/>
      <c r="H49" s="225"/>
      <c r="I49" s="225"/>
      <c r="J49" s="225"/>
      <c r="K49" s="225"/>
      <c r="L49" s="225"/>
      <c r="M49" s="225"/>
      <c r="N49" s="225"/>
      <c r="O49" s="225"/>
      <c r="P49" s="225"/>
      <c r="Q49" s="225"/>
      <c r="R49" s="916">
        <f t="shared" si="11"/>
        <v>80000</v>
      </c>
      <c r="S49" s="225">
        <f t="shared" si="12"/>
        <v>80000</v>
      </c>
      <c r="T49" s="225"/>
      <c r="U49" s="221"/>
    </row>
    <row r="50" spans="1:21" s="222" customFormat="1">
      <c r="A50" s="223" t="s">
        <v>162</v>
      </c>
      <c r="B50" s="224">
        <f t="shared" si="10"/>
        <v>424300</v>
      </c>
      <c r="C50" s="225">
        <v>424300</v>
      </c>
      <c r="D50" s="225"/>
      <c r="E50" s="225">
        <v>424300</v>
      </c>
      <c r="F50" s="225"/>
      <c r="G50" s="225"/>
      <c r="H50" s="225"/>
      <c r="I50" s="225"/>
      <c r="J50" s="225"/>
      <c r="K50" s="225"/>
      <c r="L50" s="225"/>
      <c r="M50" s="225"/>
      <c r="N50" s="225"/>
      <c r="O50" s="225"/>
      <c r="P50" s="225"/>
      <c r="Q50" s="225"/>
      <c r="R50" s="916">
        <f t="shared" si="11"/>
        <v>424300</v>
      </c>
      <c r="S50" s="225">
        <f t="shared" si="12"/>
        <v>424300</v>
      </c>
      <c r="T50" s="225"/>
      <c r="U50" s="221"/>
    </row>
    <row r="51" spans="1:21" s="222" customFormat="1">
      <c r="A51" s="955" t="s">
        <v>1791</v>
      </c>
      <c r="B51" s="224">
        <f t="shared" si="10"/>
        <v>150000</v>
      </c>
      <c r="C51" s="225">
        <v>150000</v>
      </c>
      <c r="D51" s="225"/>
      <c r="E51" s="225">
        <v>150000</v>
      </c>
      <c r="F51" s="225"/>
      <c r="G51" s="225"/>
      <c r="H51" s="225"/>
      <c r="I51" s="225"/>
      <c r="J51" s="225"/>
      <c r="K51" s="225"/>
      <c r="L51" s="225"/>
      <c r="M51" s="225"/>
      <c r="N51" s="225"/>
      <c r="O51" s="225"/>
      <c r="P51" s="225"/>
      <c r="Q51" s="225"/>
      <c r="R51" s="916">
        <f t="shared" si="11"/>
        <v>150000</v>
      </c>
      <c r="S51" s="225">
        <f t="shared" si="12"/>
        <v>150000</v>
      </c>
      <c r="T51" s="225"/>
      <c r="U51" s="221"/>
    </row>
    <row r="52" spans="1:21" s="222" customFormat="1" ht="24">
      <c r="A52" s="955" t="s">
        <v>1792</v>
      </c>
      <c r="B52" s="224">
        <f t="shared" si="10"/>
        <v>1600000</v>
      </c>
      <c r="C52" s="225">
        <v>1600000</v>
      </c>
      <c r="D52" s="225"/>
      <c r="E52" s="225">
        <v>1600000</v>
      </c>
      <c r="F52" s="225"/>
      <c r="G52" s="225"/>
      <c r="H52" s="225"/>
      <c r="I52" s="225"/>
      <c r="J52" s="225"/>
      <c r="K52" s="225"/>
      <c r="L52" s="225"/>
      <c r="M52" s="225"/>
      <c r="N52" s="225"/>
      <c r="O52" s="225"/>
      <c r="P52" s="225"/>
      <c r="Q52" s="225"/>
      <c r="R52" s="916">
        <f t="shared" si="11"/>
        <v>1600000</v>
      </c>
      <c r="S52" s="225">
        <f t="shared" si="12"/>
        <v>1600000</v>
      </c>
      <c r="T52" s="225"/>
      <c r="U52" s="221"/>
    </row>
    <row r="53" spans="1:21" s="232" customFormat="1">
      <c r="A53" s="227" t="s">
        <v>164</v>
      </c>
      <c r="B53" s="228">
        <f>SUM(C53:D53)</f>
        <v>5784300</v>
      </c>
      <c r="C53" s="228">
        <f t="shared" ref="C53:T53" si="13">SUM(C43:C52)</f>
        <v>5784300</v>
      </c>
      <c r="D53" s="228">
        <f t="shared" si="13"/>
        <v>0</v>
      </c>
      <c r="E53" s="228">
        <f t="shared" si="13"/>
        <v>5784300</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5784300</v>
      </c>
      <c r="S53" s="228">
        <f t="shared" si="13"/>
        <v>5784300</v>
      </c>
      <c r="T53" s="228">
        <f t="shared" si="13"/>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270000</v>
      </c>
      <c r="C55" s="225">
        <v>270000</v>
      </c>
      <c r="D55" s="225"/>
      <c r="E55" s="225">
        <v>270000</v>
      </c>
      <c r="F55" s="225"/>
      <c r="G55" s="225"/>
      <c r="H55" s="225"/>
      <c r="I55" s="225"/>
      <c r="J55" s="225"/>
      <c r="K55" s="225"/>
      <c r="L55" s="225"/>
      <c r="M55" s="225"/>
      <c r="N55" s="225"/>
      <c r="O55" s="225"/>
      <c r="P55" s="225"/>
      <c r="Q55" s="225"/>
      <c r="R55" s="916">
        <f t="shared" ref="R55:R61" si="15">SUM(E55:Q55)</f>
        <v>270000</v>
      </c>
      <c r="S55" s="226"/>
      <c r="T55" s="226"/>
      <c r="U55" s="221"/>
    </row>
    <row r="56" spans="1:21" s="313" customFormat="1">
      <c r="A56" s="307" t="s">
        <v>159</v>
      </c>
      <c r="B56" s="314">
        <f t="shared" si="14"/>
        <v>15000</v>
      </c>
      <c r="C56" s="311">
        <v>15000</v>
      </c>
      <c r="D56" s="311"/>
      <c r="E56" s="311">
        <v>15000</v>
      </c>
      <c r="F56" s="311"/>
      <c r="G56" s="311"/>
      <c r="H56" s="311"/>
      <c r="I56" s="311"/>
      <c r="J56" s="311"/>
      <c r="K56" s="311"/>
      <c r="L56" s="311"/>
      <c r="M56" s="311"/>
      <c r="N56" s="311"/>
      <c r="O56" s="311"/>
      <c r="P56" s="311"/>
      <c r="Q56" s="311"/>
      <c r="R56" s="916">
        <f t="shared" si="15"/>
        <v>15000</v>
      </c>
      <c r="S56" s="315"/>
      <c r="T56" s="315"/>
      <c r="U56" s="312"/>
    </row>
    <row r="57" spans="1:21" s="222" customFormat="1">
      <c r="A57" s="223" t="s">
        <v>163</v>
      </c>
      <c r="B57" s="224">
        <f t="shared" si="14"/>
        <v>10000</v>
      </c>
      <c r="C57" s="225">
        <v>10000</v>
      </c>
      <c r="D57" s="225"/>
      <c r="E57" s="225">
        <v>10000</v>
      </c>
      <c r="F57" s="225"/>
      <c r="G57" s="225"/>
      <c r="H57" s="225"/>
      <c r="I57" s="225"/>
      <c r="J57" s="225"/>
      <c r="K57" s="225"/>
      <c r="L57" s="225"/>
      <c r="M57" s="225"/>
      <c r="N57" s="225"/>
      <c r="O57" s="225"/>
      <c r="P57" s="225"/>
      <c r="Q57" s="225"/>
      <c r="R57" s="916">
        <f t="shared" si="15"/>
        <v>10000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955" t="s">
        <v>1793</v>
      </c>
      <c r="B60" s="224">
        <f t="shared" si="14"/>
        <v>110000</v>
      </c>
      <c r="C60" s="225">
        <v>110000</v>
      </c>
      <c r="D60" s="225"/>
      <c r="E60" s="225">
        <v>110000</v>
      </c>
      <c r="F60" s="225"/>
      <c r="G60" s="225"/>
      <c r="H60" s="225"/>
      <c r="I60" s="225"/>
      <c r="J60" s="225"/>
      <c r="K60" s="225"/>
      <c r="L60" s="225"/>
      <c r="M60" s="225"/>
      <c r="N60" s="225"/>
      <c r="O60" s="225"/>
      <c r="P60" s="225"/>
      <c r="Q60" s="225"/>
      <c r="R60" s="916">
        <f t="shared" si="15"/>
        <v>110000</v>
      </c>
      <c r="S60" s="226"/>
      <c r="T60" s="226"/>
      <c r="U60" s="221"/>
    </row>
    <row r="61" spans="1:21" s="222" customFormat="1">
      <c r="A61" s="955" t="s">
        <v>1794</v>
      </c>
      <c r="B61" s="224">
        <f t="shared" si="14"/>
        <v>75000</v>
      </c>
      <c r="C61" s="225">
        <v>75000</v>
      </c>
      <c r="D61" s="225"/>
      <c r="E61" s="225">
        <v>75000</v>
      </c>
      <c r="F61" s="225"/>
      <c r="G61" s="225"/>
      <c r="H61" s="225"/>
      <c r="I61" s="225"/>
      <c r="J61" s="225"/>
      <c r="K61" s="225"/>
      <c r="L61" s="225"/>
      <c r="M61" s="225"/>
      <c r="N61" s="225"/>
      <c r="O61" s="225"/>
      <c r="P61" s="225"/>
      <c r="Q61" s="225"/>
      <c r="R61" s="916">
        <f t="shared" si="15"/>
        <v>75000</v>
      </c>
      <c r="S61" s="226"/>
      <c r="T61" s="226"/>
      <c r="U61" s="221"/>
    </row>
    <row r="62" spans="1:21" s="222" customFormat="1" ht="13.7" customHeight="1">
      <c r="A62" s="227" t="s">
        <v>319</v>
      </c>
      <c r="B62" s="224">
        <f>SUM(C62:D62)</f>
        <v>480000</v>
      </c>
      <c r="C62" s="224">
        <f t="shared" ref="C62:Q62" si="16">SUM(C55:C61)</f>
        <v>480000</v>
      </c>
      <c r="D62" s="224">
        <f t="shared" si="16"/>
        <v>0</v>
      </c>
      <c r="E62" s="224">
        <f t="shared" si="16"/>
        <v>480000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480000</v>
      </c>
      <c r="S62" s="226"/>
      <c r="T62" s="226"/>
      <c r="U62" s="221"/>
    </row>
    <row r="63" spans="1:21" s="222" customFormat="1">
      <c r="A63" s="233" t="s">
        <v>320</v>
      </c>
      <c r="B63" s="224">
        <f>SUM(B8+B11+B13+B14+B15+B25+B26+B36+B40+B41+B53+B62)</f>
        <v>67739688</v>
      </c>
      <c r="C63" s="224">
        <f t="shared" ref="C63:Q63" si="17">SUM(C8+C11+C13+C14+C15+C25+C26+C36+C40+C41+C53+C62)</f>
        <v>67739688</v>
      </c>
      <c r="D63" s="224">
        <f t="shared" si="17"/>
        <v>0</v>
      </c>
      <c r="E63" s="224">
        <f t="shared" si="17"/>
        <v>26739688</v>
      </c>
      <c r="F63" s="224">
        <f t="shared" si="17"/>
        <v>24500000</v>
      </c>
      <c r="G63" s="224">
        <f t="shared" si="17"/>
        <v>10000000</v>
      </c>
      <c r="H63" s="224">
        <f t="shared" si="17"/>
        <v>6500000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67739688</v>
      </c>
      <c r="S63" s="224">
        <f>SUM(S10+S13+S14+S15+S25+S26+S36+S40+S41+S53)</f>
        <v>62709688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1795</v>
      </c>
      <c r="B66" s="224">
        <f>SUM(C66+D66)</f>
        <v>100000</v>
      </c>
      <c r="C66" s="225">
        <v>100000</v>
      </c>
      <c r="D66" s="225"/>
      <c r="E66" s="225">
        <v>100000</v>
      </c>
      <c r="F66" s="225"/>
      <c r="G66" s="225"/>
      <c r="H66" s="225"/>
      <c r="I66" s="225"/>
      <c r="J66" s="225"/>
      <c r="K66" s="225"/>
      <c r="L66" s="225"/>
      <c r="M66" s="225"/>
      <c r="N66" s="225"/>
      <c r="O66" s="225"/>
      <c r="P66" s="225"/>
      <c r="Q66" s="225"/>
      <c r="R66" s="916">
        <f>SUM(E66:Q66)</f>
        <v>100000</v>
      </c>
      <c r="S66" s="225">
        <f>R66</f>
        <v>100000</v>
      </c>
      <c r="T66" s="225"/>
      <c r="U66" s="221"/>
    </row>
    <row r="67" spans="1:21" s="222" customFormat="1">
      <c r="A67" s="227" t="s">
        <v>651</v>
      </c>
      <c r="B67" s="224">
        <f>SUM(C67:D67)</f>
        <v>100000</v>
      </c>
      <c r="C67" s="224">
        <f>SUM(C64:C66)</f>
        <v>100000</v>
      </c>
      <c r="D67" s="224">
        <f>SUM(D64:D66)</f>
        <v>0</v>
      </c>
      <c r="E67" s="224">
        <f t="shared" ref="E67:T67" si="18">SUM(E65:E66)</f>
        <v>100000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100000</v>
      </c>
      <c r="S67" s="228">
        <f>SUM(S65:S66)</f>
        <v>100000</v>
      </c>
      <c r="T67" s="228">
        <f t="shared" si="1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543645</v>
      </c>
      <c r="C72" s="225">
        <v>543645</v>
      </c>
      <c r="D72" s="225"/>
      <c r="E72" s="225">
        <v>543645</v>
      </c>
      <c r="F72" s="225"/>
      <c r="G72" s="225"/>
      <c r="H72" s="225"/>
      <c r="I72" s="225"/>
      <c r="J72" s="225"/>
      <c r="K72" s="225"/>
      <c r="L72" s="225"/>
      <c r="M72" s="225"/>
      <c r="N72" s="225"/>
      <c r="O72" s="225"/>
      <c r="P72" s="225"/>
      <c r="Q72" s="225"/>
      <c r="R72" s="916">
        <f>SUM(E72:Q72)</f>
        <v>543645</v>
      </c>
      <c r="S72" s="226"/>
      <c r="T72" s="226"/>
      <c r="U72" s="221"/>
    </row>
    <row r="73" spans="1:21" s="222" customFormat="1" ht="24">
      <c r="A73" s="955" t="s">
        <v>1796</v>
      </c>
      <c r="B73" s="224">
        <f>SUM(C73+D73)</f>
        <v>400000</v>
      </c>
      <c r="C73" s="225">
        <v>400000</v>
      </c>
      <c r="D73" s="225"/>
      <c r="E73" s="225">
        <v>400000</v>
      </c>
      <c r="F73" s="225"/>
      <c r="G73" s="225"/>
      <c r="H73" s="225"/>
      <c r="I73" s="225"/>
      <c r="J73" s="225"/>
      <c r="K73" s="225"/>
      <c r="L73" s="225"/>
      <c r="M73" s="225"/>
      <c r="N73" s="225"/>
      <c r="O73" s="225"/>
      <c r="P73" s="225"/>
      <c r="Q73" s="225"/>
      <c r="R73" s="916">
        <f>SUM(E73:Q73)</f>
        <v>400000</v>
      </c>
      <c r="S73" s="226"/>
      <c r="T73" s="226"/>
      <c r="U73" s="221"/>
    </row>
    <row r="74" spans="1:21" s="222" customFormat="1">
      <c r="A74" s="227" t="s">
        <v>656</v>
      </c>
      <c r="B74" s="224">
        <f>SUM(C74:D74)</f>
        <v>943645</v>
      </c>
      <c r="C74" s="224">
        <f>SUM(C69:C73)</f>
        <v>943645</v>
      </c>
      <c r="D74" s="224">
        <f>SUM(D69:D73)</f>
        <v>0</v>
      </c>
      <c r="E74" s="224">
        <f t="shared" ref="E74:Q74" si="19">SUM(E69:E73)</f>
        <v>943645</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943645</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2800000</v>
      </c>
      <c r="C76" s="225">
        <v>2800000</v>
      </c>
      <c r="D76" s="225"/>
      <c r="E76" s="225">
        <v>2800000</v>
      </c>
      <c r="F76" s="225"/>
      <c r="G76" s="225"/>
      <c r="H76" s="225"/>
      <c r="I76" s="225"/>
      <c r="J76" s="225"/>
      <c r="K76" s="225"/>
      <c r="L76" s="225"/>
      <c r="M76" s="225"/>
      <c r="N76" s="225"/>
      <c r="O76" s="225"/>
      <c r="P76" s="225"/>
      <c r="Q76" s="225"/>
      <c r="R76" s="916">
        <f>SUM(E76:Q76)</f>
        <v>2800000</v>
      </c>
      <c r="S76" s="225">
        <f>R76</f>
        <v>2800000</v>
      </c>
      <c r="T76" s="225"/>
      <c r="U76" s="221"/>
    </row>
    <row r="77" spans="1:21" s="222" customFormat="1">
      <c r="A77" s="457" t="s">
        <v>63</v>
      </c>
      <c r="B77" s="224">
        <f>SUM(C77:D77)</f>
        <v>500000</v>
      </c>
      <c r="C77" s="225">
        <v>500000</v>
      </c>
      <c r="D77" s="225"/>
      <c r="E77" s="225">
        <v>500000</v>
      </c>
      <c r="F77" s="225"/>
      <c r="G77" s="225"/>
      <c r="H77" s="225"/>
      <c r="I77" s="225"/>
      <c r="J77" s="225"/>
      <c r="K77" s="225"/>
      <c r="L77" s="225"/>
      <c r="M77" s="225"/>
      <c r="N77" s="225"/>
      <c r="O77" s="225"/>
      <c r="P77" s="225"/>
      <c r="Q77" s="225"/>
      <c r="R77" s="916">
        <f>SUM(E77:Q77)</f>
        <v>500000</v>
      </c>
      <c r="S77" s="225">
        <f>R77</f>
        <v>500000</v>
      </c>
      <c r="T77" s="225"/>
      <c r="U77" s="221"/>
    </row>
    <row r="78" spans="1:21" s="222" customFormat="1">
      <c r="A78" s="227" t="s">
        <v>1466</v>
      </c>
      <c r="B78" s="224">
        <f>SUM(C78:D78)</f>
        <v>3300000</v>
      </c>
      <c r="C78" s="890">
        <f>SUM(C76:C77)</f>
        <v>3300000</v>
      </c>
      <c r="D78" s="890">
        <f t="shared" ref="D78:T78" si="20">SUM(D76:D77)</f>
        <v>0</v>
      </c>
      <c r="E78" s="890">
        <f t="shared" si="20"/>
        <v>3300000</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3300000</v>
      </c>
      <c r="S78" s="890">
        <f t="shared" si="20"/>
        <v>3300000</v>
      </c>
      <c r="T78" s="890">
        <f t="shared" si="2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1">SUM(C80+D80)</f>
        <v>87463</v>
      </c>
      <c r="C80" s="225">
        <v>87463</v>
      </c>
      <c r="D80" s="225"/>
      <c r="E80" s="225">
        <v>87463</v>
      </c>
      <c r="F80" s="225"/>
      <c r="G80" s="225"/>
      <c r="H80" s="225"/>
      <c r="I80" s="225"/>
      <c r="J80" s="225"/>
      <c r="K80" s="225"/>
      <c r="L80" s="225"/>
      <c r="M80" s="225"/>
      <c r="N80" s="225"/>
      <c r="O80" s="225"/>
      <c r="P80" s="225"/>
      <c r="Q80" s="225"/>
      <c r="R80" s="916">
        <f t="shared" ref="R80:R94" si="22">SUM(E80:Q80)</f>
        <v>87463</v>
      </c>
      <c r="S80" s="226"/>
      <c r="T80" s="226"/>
      <c r="U80" s="221"/>
    </row>
    <row r="81" spans="1:21" s="222" customFormat="1">
      <c r="A81" s="223" t="s">
        <v>845</v>
      </c>
      <c r="B81" s="224">
        <f t="shared" si="21"/>
        <v>10000</v>
      </c>
      <c r="C81" s="225">
        <v>10000</v>
      </c>
      <c r="D81" s="225"/>
      <c r="E81" s="225">
        <v>10000</v>
      </c>
      <c r="F81" s="225"/>
      <c r="G81" s="225"/>
      <c r="H81" s="225"/>
      <c r="I81" s="225"/>
      <c r="J81" s="225"/>
      <c r="K81" s="225"/>
      <c r="L81" s="225"/>
      <c r="M81" s="225"/>
      <c r="N81" s="225"/>
      <c r="O81" s="225"/>
      <c r="P81" s="225"/>
      <c r="Q81" s="225"/>
      <c r="R81" s="916">
        <f t="shared" si="22"/>
        <v>10000</v>
      </c>
      <c r="S81" s="225">
        <f>R81</f>
        <v>10000</v>
      </c>
      <c r="T81" s="225"/>
      <c r="U81" s="221"/>
    </row>
    <row r="82" spans="1:21" s="222" customFormat="1">
      <c r="A82" s="223" t="s">
        <v>846</v>
      </c>
      <c r="B82" s="224">
        <f t="shared" si="21"/>
        <v>1630789</v>
      </c>
      <c r="C82" s="225">
        <v>1630789</v>
      </c>
      <c r="D82" s="225"/>
      <c r="E82" s="225">
        <v>1630789</v>
      </c>
      <c r="F82" s="225"/>
      <c r="G82" s="225"/>
      <c r="H82" s="225"/>
      <c r="I82" s="225"/>
      <c r="J82" s="225"/>
      <c r="K82" s="225"/>
      <c r="L82" s="225"/>
      <c r="M82" s="225"/>
      <c r="N82" s="225"/>
      <c r="O82" s="225"/>
      <c r="P82" s="225"/>
      <c r="Q82" s="225"/>
      <c r="R82" s="916">
        <f t="shared" si="22"/>
        <v>1630789</v>
      </c>
      <c r="S82" s="225">
        <f>R82</f>
        <v>1630789</v>
      </c>
      <c r="T82" s="225"/>
      <c r="U82" s="221"/>
    </row>
    <row r="83" spans="1:21" s="222" customFormat="1">
      <c r="A83" s="223" t="s">
        <v>847</v>
      </c>
      <c r="B83" s="224">
        <f t="shared" si="21"/>
        <v>520000</v>
      </c>
      <c r="C83" s="225">
        <v>520000</v>
      </c>
      <c r="D83" s="225"/>
      <c r="E83" s="225">
        <v>520000</v>
      </c>
      <c r="F83" s="225"/>
      <c r="G83" s="225"/>
      <c r="H83" s="225"/>
      <c r="I83" s="225"/>
      <c r="J83" s="225"/>
      <c r="K83" s="225"/>
      <c r="L83" s="225"/>
      <c r="M83" s="225"/>
      <c r="N83" s="225"/>
      <c r="O83" s="225"/>
      <c r="P83" s="225"/>
      <c r="Q83" s="225"/>
      <c r="R83" s="916">
        <f t="shared" si="22"/>
        <v>520000</v>
      </c>
      <c r="S83" s="225">
        <f>R83</f>
        <v>520000</v>
      </c>
      <c r="T83" s="225"/>
      <c r="U83" s="221"/>
    </row>
    <row r="84" spans="1:21" s="222" customFormat="1">
      <c r="A84" s="223" t="s">
        <v>848</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849</v>
      </c>
      <c r="B85" s="224">
        <f t="shared" si="21"/>
        <v>183501</v>
      </c>
      <c r="C85" s="225">
        <v>183501</v>
      </c>
      <c r="D85" s="225"/>
      <c r="E85" s="225">
        <v>183501</v>
      </c>
      <c r="F85" s="225"/>
      <c r="G85" s="225"/>
      <c r="H85" s="225"/>
      <c r="I85" s="225"/>
      <c r="J85" s="225"/>
      <c r="K85" s="225"/>
      <c r="L85" s="225"/>
      <c r="M85" s="225"/>
      <c r="N85" s="225"/>
      <c r="O85" s="225"/>
      <c r="P85" s="225"/>
      <c r="Q85" s="225"/>
      <c r="R85" s="916">
        <f t="shared" si="22"/>
        <v>183501</v>
      </c>
      <c r="S85" s="226"/>
      <c r="T85" s="226"/>
      <c r="U85" s="221"/>
    </row>
    <row r="86" spans="1:21" s="222" customFormat="1">
      <c r="A86" s="223" t="s">
        <v>850</v>
      </c>
      <c r="B86" s="224">
        <f t="shared" si="21"/>
        <v>60000</v>
      </c>
      <c r="C86" s="225">
        <v>60000</v>
      </c>
      <c r="D86" s="225"/>
      <c r="E86" s="225">
        <v>60000</v>
      </c>
      <c r="F86" s="225"/>
      <c r="G86" s="225"/>
      <c r="H86" s="225"/>
      <c r="I86" s="225"/>
      <c r="J86" s="225"/>
      <c r="K86" s="225"/>
      <c r="L86" s="225"/>
      <c r="M86" s="225"/>
      <c r="N86" s="225"/>
      <c r="O86" s="225"/>
      <c r="P86" s="225"/>
      <c r="Q86" s="225"/>
      <c r="R86" s="916">
        <f t="shared" si="22"/>
        <v>60000</v>
      </c>
      <c r="S86" s="225">
        <f>R86</f>
        <v>60000</v>
      </c>
      <c r="T86" s="225"/>
      <c r="U86" s="221"/>
    </row>
    <row r="87" spans="1:21" s="222" customFormat="1">
      <c r="A87" s="223" t="s">
        <v>851</v>
      </c>
      <c r="B87" s="224">
        <f t="shared" si="21"/>
        <v>10000</v>
      </c>
      <c r="C87" s="225">
        <v>10000</v>
      </c>
      <c r="D87" s="225"/>
      <c r="E87" s="225">
        <v>10000</v>
      </c>
      <c r="F87" s="225"/>
      <c r="G87" s="225"/>
      <c r="H87" s="225"/>
      <c r="I87" s="225"/>
      <c r="J87" s="225"/>
      <c r="K87" s="225"/>
      <c r="L87" s="225"/>
      <c r="M87" s="225"/>
      <c r="N87" s="225"/>
      <c r="O87" s="225"/>
      <c r="P87" s="225"/>
      <c r="Q87" s="225"/>
      <c r="R87" s="916">
        <f t="shared" si="22"/>
        <v>10000</v>
      </c>
      <c r="S87" s="225">
        <f>R87</f>
        <v>10000</v>
      </c>
      <c r="T87" s="225"/>
      <c r="U87" s="221"/>
    </row>
    <row r="88" spans="1:21" s="222" customFormat="1">
      <c r="A88" s="234" t="s">
        <v>403</v>
      </c>
      <c r="B88" s="224">
        <f t="shared" si="21"/>
        <v>10000</v>
      </c>
      <c r="C88" s="225">
        <v>10000</v>
      </c>
      <c r="D88" s="225"/>
      <c r="E88" s="225">
        <v>10000</v>
      </c>
      <c r="F88" s="225"/>
      <c r="G88" s="225"/>
      <c r="H88" s="225"/>
      <c r="I88" s="225"/>
      <c r="J88" s="225"/>
      <c r="K88" s="225"/>
      <c r="L88" s="225"/>
      <c r="M88" s="225"/>
      <c r="N88" s="225"/>
      <c r="O88" s="225"/>
      <c r="P88" s="225"/>
      <c r="Q88" s="225"/>
      <c r="R88" s="916">
        <f t="shared" si="22"/>
        <v>10000</v>
      </c>
      <c r="S88" s="225">
        <f>R88</f>
        <v>10000</v>
      </c>
      <c r="T88" s="225"/>
      <c r="U88" s="221"/>
    </row>
    <row r="89" spans="1:21" s="222" customFormat="1">
      <c r="A89" s="889" t="s">
        <v>1468</v>
      </c>
      <c r="B89" s="224">
        <f t="shared" si="21"/>
        <v>10000</v>
      </c>
      <c r="C89" s="225">
        <v>10000</v>
      </c>
      <c r="D89" s="225"/>
      <c r="E89" s="225">
        <v>10000</v>
      </c>
      <c r="F89" s="225"/>
      <c r="G89" s="225"/>
      <c r="H89" s="225"/>
      <c r="I89" s="225"/>
      <c r="J89" s="225"/>
      <c r="K89" s="225"/>
      <c r="L89" s="225"/>
      <c r="M89" s="225"/>
      <c r="N89" s="225"/>
      <c r="O89" s="225"/>
      <c r="P89" s="225"/>
      <c r="Q89" s="225"/>
      <c r="R89" s="916">
        <f t="shared" si="22"/>
        <v>10000</v>
      </c>
      <c r="S89" s="225">
        <f>R89</f>
        <v>10000</v>
      </c>
      <c r="T89" s="225"/>
      <c r="U89" s="221"/>
    </row>
    <row r="90" spans="1:21" s="222" customFormat="1">
      <c r="A90" s="230" t="s">
        <v>37</v>
      </c>
      <c r="B90" s="224">
        <f t="shared" si="21"/>
        <v>0</v>
      </c>
      <c r="C90" s="225"/>
      <c r="D90" s="225"/>
      <c r="E90" s="225"/>
      <c r="F90" s="225"/>
      <c r="G90" s="225"/>
      <c r="H90" s="225"/>
      <c r="I90" s="225"/>
      <c r="J90" s="225"/>
      <c r="K90" s="225"/>
      <c r="L90" s="225"/>
      <c r="M90" s="225"/>
      <c r="N90" s="225"/>
      <c r="O90" s="225"/>
      <c r="P90" s="225"/>
      <c r="Q90" s="225"/>
      <c r="R90" s="916">
        <f t="shared" si="22"/>
        <v>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852</v>
      </c>
      <c r="B95" s="224">
        <f>SUM(C95:D95)</f>
        <v>2521753</v>
      </c>
      <c r="C95" s="224">
        <f t="shared" ref="C95:Q95" si="23">SUM(C80:C94)</f>
        <v>2521753</v>
      </c>
      <c r="D95" s="224">
        <f t="shared" si="23"/>
        <v>0</v>
      </c>
      <c r="E95" s="224">
        <f t="shared" si="23"/>
        <v>2521753</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2521753</v>
      </c>
      <c r="S95" s="228">
        <f>SUM(S81:S84,S86:S94)</f>
        <v>2250789</v>
      </c>
      <c r="T95" s="224">
        <f>SUM(T81:T84,T86:T94)</f>
        <v>0</v>
      </c>
      <c r="U95" s="221"/>
    </row>
    <row r="96" spans="1:21" s="222" customFormat="1">
      <c r="A96" s="227" t="s">
        <v>853</v>
      </c>
      <c r="B96" s="224">
        <f>SUM(C96:D96)</f>
        <v>74605086</v>
      </c>
      <c r="C96" s="224">
        <f>SUM(C63+C67+C74+C78+C95)</f>
        <v>74605086</v>
      </c>
      <c r="D96" s="224">
        <f t="shared" ref="D96:R96" si="24">SUM(D63+D67+D74+D78+D95)</f>
        <v>0</v>
      </c>
      <c r="E96" s="224">
        <f t="shared" si="24"/>
        <v>33605086</v>
      </c>
      <c r="F96" s="224">
        <f t="shared" si="24"/>
        <v>24500000</v>
      </c>
      <c r="G96" s="224">
        <f t="shared" si="24"/>
        <v>10000000</v>
      </c>
      <c r="H96" s="224">
        <f t="shared" si="24"/>
        <v>6500000</v>
      </c>
      <c r="I96" s="224">
        <f t="shared" si="24"/>
        <v>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74605086</v>
      </c>
      <c r="S96" s="224">
        <f>SUM(S63+S67+S78+S95)</f>
        <v>68360477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8000000</v>
      </c>
      <c r="C98" s="225">
        <v>8000000</v>
      </c>
      <c r="D98" s="225"/>
      <c r="E98" s="225">
        <v>2800000</v>
      </c>
      <c r="F98" s="225"/>
      <c r="G98" s="225"/>
      <c r="H98" s="225"/>
      <c r="I98" s="225">
        <v>5200000</v>
      </c>
      <c r="J98" s="225"/>
      <c r="K98" s="225"/>
      <c r="L98" s="225"/>
      <c r="M98" s="225"/>
      <c r="N98" s="225"/>
      <c r="O98" s="225"/>
      <c r="P98" s="225"/>
      <c r="Q98" s="225"/>
      <c r="R98" s="916">
        <f t="shared" ref="R98:R103" si="26">SUM(E98:Q98)</f>
        <v>8000000</v>
      </c>
      <c r="S98" s="225">
        <f>R98</f>
        <v>8000000</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8000000</v>
      </c>
      <c r="C104" s="224">
        <f t="shared" ref="C104:T104" si="27">SUM(C98:C103)</f>
        <v>8000000</v>
      </c>
      <c r="D104" s="224">
        <f t="shared" si="27"/>
        <v>0</v>
      </c>
      <c r="E104" s="224">
        <f t="shared" si="27"/>
        <v>2800000</v>
      </c>
      <c r="F104" s="224">
        <f t="shared" si="27"/>
        <v>0</v>
      </c>
      <c r="G104" s="224">
        <f t="shared" si="27"/>
        <v>0</v>
      </c>
      <c r="H104" s="224">
        <f t="shared" si="27"/>
        <v>0</v>
      </c>
      <c r="I104" s="224">
        <f t="shared" si="27"/>
        <v>5200000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8000000</v>
      </c>
      <c r="S104" s="228">
        <f t="shared" si="27"/>
        <v>8000000</v>
      </c>
      <c r="T104" s="228">
        <f t="shared" si="27"/>
        <v>0</v>
      </c>
      <c r="U104" s="221"/>
    </row>
    <row r="105" spans="1:21" s="222" customFormat="1">
      <c r="A105" s="227" t="s">
        <v>861</v>
      </c>
      <c r="B105" s="228">
        <f>SUM(C105:D105)</f>
        <v>82605086</v>
      </c>
      <c r="C105" s="228">
        <f t="shared" ref="C105:R105" si="28">SUM(C96+C104)</f>
        <v>82605086</v>
      </c>
      <c r="D105" s="228">
        <f t="shared" si="28"/>
        <v>0</v>
      </c>
      <c r="E105" s="228">
        <f t="shared" si="28"/>
        <v>36405086</v>
      </c>
      <c r="F105" s="228">
        <f t="shared" si="28"/>
        <v>24500000</v>
      </c>
      <c r="G105" s="228">
        <f t="shared" si="28"/>
        <v>10000000</v>
      </c>
      <c r="H105" s="228">
        <f t="shared" si="28"/>
        <v>6500000</v>
      </c>
      <c r="I105" s="228">
        <f t="shared" si="28"/>
        <v>5200000</v>
      </c>
      <c r="J105" s="228">
        <f t="shared" si="28"/>
        <v>0</v>
      </c>
      <c r="K105" s="228">
        <f t="shared" si="28"/>
        <v>0</v>
      </c>
      <c r="L105" s="228">
        <f t="shared" si="28"/>
        <v>0</v>
      </c>
      <c r="M105" s="228">
        <f t="shared" si="28"/>
        <v>0</v>
      </c>
      <c r="N105" s="228">
        <f t="shared" si="28"/>
        <v>0</v>
      </c>
      <c r="O105" s="228">
        <f t="shared" si="28"/>
        <v>0</v>
      </c>
      <c r="P105" s="228">
        <f t="shared" si="28"/>
        <v>0</v>
      </c>
      <c r="Q105" s="228">
        <f t="shared" si="28"/>
        <v>0</v>
      </c>
      <c r="R105" s="558">
        <f t="shared" si="28"/>
        <v>82605086</v>
      </c>
      <c r="S105" s="228">
        <f>S96+S104</f>
        <v>76360477</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76360477</v>
      </c>
      <c r="T107" s="242">
        <f>T105+T106</f>
        <v>0</v>
      </c>
    </row>
    <row r="108" spans="1:21" s="310" customFormat="1">
      <c r="A108" s="241" t="s">
        <v>973</v>
      </c>
      <c r="B108" s="236"/>
      <c r="C108" s="236"/>
      <c r="D108" s="236"/>
      <c r="E108" s="481">
        <f>Application!AG631</f>
        <v>36405086</v>
      </c>
      <c r="F108" s="481">
        <f>Application!AG618</f>
        <v>24500000</v>
      </c>
      <c r="G108" s="481">
        <f>Application!AG619</f>
        <v>10000000</v>
      </c>
      <c r="H108" s="481">
        <f>Application!AG620</f>
        <v>6500000</v>
      </c>
      <c r="I108" s="481">
        <f>Application!AG621</f>
        <v>5200000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3" t="s">
        <v>1133</v>
      </c>
      <c r="E122" s="1603"/>
      <c r="F122" s="160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3" t="s">
        <v>1490</v>
      </c>
      <c r="E123" s="1594"/>
      <c r="F123" s="1594"/>
      <c r="G123" s="1594"/>
      <c r="H123" s="1594"/>
      <c r="I123" s="1594"/>
      <c r="J123" s="1594"/>
      <c r="K123" s="1594"/>
      <c r="L123" s="1594"/>
      <c r="M123" s="1594"/>
      <c r="N123" s="1594"/>
      <c r="O123" s="1594"/>
      <c r="P123" s="1594"/>
      <c r="Q123" s="1594"/>
      <c r="R123" s="1594"/>
      <c r="S123" s="1594"/>
      <c r="T123" s="535"/>
      <c r="U123" s="537"/>
    </row>
    <row r="124" spans="1:21" ht="12.75">
      <c r="A124" s="534" t="s">
        <v>1135</v>
      </c>
      <c r="B124" s="544"/>
      <c r="C124" s="534"/>
      <c r="D124" s="1594"/>
      <c r="E124" s="1594"/>
      <c r="F124" s="1594"/>
      <c r="G124" s="1594"/>
      <c r="H124" s="1594"/>
      <c r="I124" s="1594"/>
      <c r="J124" s="1594"/>
      <c r="K124" s="1594"/>
      <c r="L124" s="1594"/>
      <c r="M124" s="1594"/>
      <c r="N124" s="1594"/>
      <c r="O124" s="1594"/>
      <c r="P124" s="1594"/>
      <c r="Q124" s="1594"/>
      <c r="R124" s="1594"/>
      <c r="S124" s="1594"/>
      <c r="T124" s="535"/>
      <c r="U124" s="537"/>
    </row>
    <row r="125" spans="1:21" ht="12.75">
      <c r="A125" s="534" t="s">
        <v>1136</v>
      </c>
      <c r="B125" s="544"/>
      <c r="C125" s="534"/>
      <c r="D125" s="1594"/>
      <c r="E125" s="1594"/>
      <c r="F125" s="1594"/>
      <c r="G125" s="1594"/>
      <c r="H125" s="1594"/>
      <c r="I125" s="1594"/>
      <c r="J125" s="1594"/>
      <c r="K125" s="1594"/>
      <c r="L125" s="1594"/>
      <c r="M125" s="1594"/>
      <c r="N125" s="1594"/>
      <c r="O125" s="1594"/>
      <c r="P125" s="1594"/>
      <c r="Q125" s="1594"/>
      <c r="R125" s="1594"/>
      <c r="S125" s="1594"/>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1"/>
      <c r="E128" s="1601"/>
      <c r="F128" s="1601"/>
      <c r="G128" s="1601"/>
      <c r="H128" s="1601"/>
      <c r="I128" s="534"/>
      <c r="J128" s="1592"/>
      <c r="K128" s="1592"/>
      <c r="L128" s="534"/>
      <c r="M128" s="534"/>
      <c r="N128" s="534"/>
      <c r="O128" s="534"/>
      <c r="P128" s="534"/>
      <c r="Q128" s="534"/>
      <c r="R128" s="534"/>
      <c r="S128" s="534"/>
      <c r="T128" s="535"/>
      <c r="U128" s="537"/>
    </row>
    <row r="129" spans="1:21" ht="12.75">
      <c r="A129" s="534" t="s">
        <v>318</v>
      </c>
      <c r="B129" s="544"/>
      <c r="C129" s="534"/>
      <c r="D129" s="1602" t="s">
        <v>1140</v>
      </c>
      <c r="E129" s="1602"/>
      <c r="F129" s="1602"/>
      <c r="G129" s="1602"/>
      <c r="H129" s="160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5" t="s">
        <v>1143</v>
      </c>
      <c r="E132" s="1595"/>
      <c r="F132" s="1595"/>
      <c r="G132" s="1595"/>
      <c r="H132" s="1595"/>
      <c r="I132" s="534"/>
      <c r="J132" s="1595" t="s">
        <v>1144</v>
      </c>
      <c r="K132" s="1595"/>
      <c r="L132" s="1595"/>
      <c r="M132" s="159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6"/>
      <c r="B138" s="1597"/>
      <c r="C138" s="1597"/>
      <c r="D138" s="539"/>
      <c r="E138" s="1592"/>
      <c r="F138" s="1592"/>
      <c r="G138" s="534"/>
      <c r="H138" s="534"/>
      <c r="I138" s="534"/>
      <c r="J138" s="534"/>
      <c r="K138" s="534"/>
      <c r="L138" s="534"/>
      <c r="M138" s="534"/>
      <c r="N138" s="534"/>
      <c r="O138" s="534"/>
      <c r="P138" s="534"/>
      <c r="Q138" s="534"/>
      <c r="R138" s="534"/>
      <c r="S138" s="534"/>
      <c r="T138" s="541"/>
      <c r="U138" s="542"/>
    </row>
    <row r="139" spans="1:21" ht="12.75">
      <c r="A139" s="1590" t="s">
        <v>1147</v>
      </c>
      <c r="B139" s="1591"/>
      <c r="C139" s="1591"/>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0" t="s">
        <v>1493</v>
      </c>
      <c r="B1" s="1611"/>
      <c r="C1" s="1611"/>
      <c r="D1" s="1611"/>
      <c r="E1" s="1611"/>
      <c r="F1" s="1611"/>
      <c r="G1" s="1611"/>
      <c r="H1" s="1611"/>
      <c r="I1" s="1611"/>
      <c r="J1" s="1612"/>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4545000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4550000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4550000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3275000</v>
      </c>
      <c r="C28" s="590"/>
      <c r="D28" s="590"/>
      <c r="E28" s="589">
        <f>'Sources and Uses Budget'!S28</f>
        <v>3275000</v>
      </c>
      <c r="F28" s="590"/>
      <c r="G28" s="590"/>
      <c r="H28" s="589">
        <f>'Sources and Uses Budget'!T28</f>
        <v>0</v>
      </c>
      <c r="I28" s="590"/>
      <c r="J28" s="590"/>
      <c r="K28" s="587"/>
    </row>
    <row r="29" spans="1:11" s="588" customFormat="1">
      <c r="A29" s="223" t="s">
        <v>649</v>
      </c>
      <c r="B29" s="589">
        <f>'Sources and Uses Budget'!C29</f>
        <v>45192320</v>
      </c>
      <c r="C29" s="590"/>
      <c r="D29" s="590"/>
      <c r="E29" s="589">
        <f>'Sources and Uses Budget'!S29</f>
        <v>45192320</v>
      </c>
      <c r="F29" s="590"/>
      <c r="G29" s="590"/>
      <c r="H29" s="589">
        <f>'Sources and Uses Budget'!T29</f>
        <v>0</v>
      </c>
      <c r="I29" s="590"/>
      <c r="J29" s="590"/>
      <c r="K29" s="587"/>
    </row>
    <row r="30" spans="1:11" s="588" customFormat="1">
      <c r="A30" s="223" t="s">
        <v>650</v>
      </c>
      <c r="B30" s="589">
        <f>'Sources and Uses Budget'!C30</f>
        <v>2908039</v>
      </c>
      <c r="C30" s="590"/>
      <c r="D30" s="590"/>
      <c r="E30" s="589">
        <f>'Sources and Uses Budget'!S30</f>
        <v>2908039</v>
      </c>
      <c r="F30" s="590"/>
      <c r="G30" s="590"/>
      <c r="H30" s="589">
        <f>'Sources and Uses Budget'!T30</f>
        <v>0</v>
      </c>
      <c r="I30" s="590"/>
      <c r="J30" s="590"/>
      <c r="K30" s="587"/>
    </row>
    <row r="31" spans="1:11" s="588" customFormat="1">
      <c r="A31" s="223" t="s">
        <v>144</v>
      </c>
      <c r="B31" s="589">
        <f>'Sources and Uses Budget'!C31</f>
        <v>1027507</v>
      </c>
      <c r="C31" s="590"/>
      <c r="D31" s="590"/>
      <c r="E31" s="589">
        <f>'Sources and Uses Budget'!S31</f>
        <v>1027507</v>
      </c>
      <c r="F31" s="590"/>
      <c r="G31" s="590"/>
      <c r="H31" s="589">
        <f>'Sources and Uses Budget'!T31</f>
        <v>0</v>
      </c>
      <c r="I31" s="590"/>
      <c r="J31" s="590"/>
      <c r="K31" s="587"/>
    </row>
    <row r="32" spans="1:11" s="588" customFormat="1">
      <c r="A32" s="223" t="s">
        <v>145</v>
      </c>
      <c r="B32" s="589">
        <f>'Sources and Uses Budget'!C32</f>
        <v>3082522</v>
      </c>
      <c r="C32" s="590"/>
      <c r="D32" s="590"/>
      <c r="E32" s="589">
        <f>'Sources and Uses Budget'!S32</f>
        <v>3082522</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450000</v>
      </c>
      <c r="C34" s="590"/>
      <c r="D34" s="590"/>
      <c r="E34" s="589">
        <f>'Sources and Uses Budget'!S34</f>
        <v>450000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55935388</v>
      </c>
      <c r="C36" s="589">
        <f>SUM(C28:C35)</f>
        <v>0</v>
      </c>
      <c r="D36" s="589">
        <f>SUM(D28:D35)</f>
        <v>0</v>
      </c>
      <c r="E36" s="589">
        <f>'Sources and Uses Budget'!S36</f>
        <v>55935388</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550000</v>
      </c>
      <c r="C38" s="590"/>
      <c r="D38" s="590"/>
      <c r="E38" s="589">
        <f>'Sources and Uses Budget'!S38</f>
        <v>550000</v>
      </c>
      <c r="F38" s="590"/>
      <c r="G38" s="590"/>
      <c r="H38" s="589">
        <f>'Sources and Uses Budget'!T38</f>
        <v>0</v>
      </c>
      <c r="I38" s="590"/>
      <c r="J38" s="590"/>
      <c r="K38" s="587"/>
    </row>
    <row r="39" spans="1:11" s="588" customFormat="1">
      <c r="A39" s="592" t="s">
        <v>153</v>
      </c>
      <c r="B39" s="589">
        <f>'Sources and Uses Budget'!C39</f>
        <v>200000</v>
      </c>
      <c r="C39" s="590"/>
      <c r="D39" s="590"/>
      <c r="E39" s="589">
        <f>'Sources and Uses Budget'!S39</f>
        <v>200000</v>
      </c>
      <c r="F39" s="590"/>
      <c r="G39" s="590"/>
      <c r="H39" s="589">
        <f>'Sources and Uses Budget'!T39</f>
        <v>0</v>
      </c>
      <c r="I39" s="590"/>
      <c r="J39" s="590"/>
      <c r="K39" s="587"/>
    </row>
    <row r="40" spans="1:11" s="588" customFormat="1">
      <c r="A40" s="593" t="s">
        <v>154</v>
      </c>
      <c r="B40" s="589">
        <f>'Sources and Uses Budget'!C40</f>
        <v>750000</v>
      </c>
      <c r="C40" s="589">
        <f>SUM(C37:C39)</f>
        <v>0</v>
      </c>
      <c r="D40" s="589">
        <f>SUM(D37:D39)</f>
        <v>0</v>
      </c>
      <c r="E40" s="589">
        <f>'Sources and Uses Budget'!S40</f>
        <v>750000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240000</v>
      </c>
      <c r="C41" s="590"/>
      <c r="D41" s="590"/>
      <c r="E41" s="589">
        <f>'Sources and Uses Budget'!S41</f>
        <v>240000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2700000</v>
      </c>
      <c r="C43" s="590"/>
      <c r="D43" s="590"/>
      <c r="E43" s="589">
        <f>'Sources and Uses Budget'!S43</f>
        <v>2700000</v>
      </c>
      <c r="F43" s="590"/>
      <c r="G43" s="590"/>
      <c r="H43" s="589">
        <f>'Sources and Uses Budget'!T43</f>
        <v>0</v>
      </c>
      <c r="I43" s="590"/>
      <c r="J43" s="590"/>
      <c r="K43" s="587"/>
    </row>
    <row r="44" spans="1:11" s="588" customFormat="1">
      <c r="A44" s="592" t="s">
        <v>158</v>
      </c>
      <c r="B44" s="589">
        <f>'Sources and Uses Budget'!C44</f>
        <v>600000</v>
      </c>
      <c r="C44" s="590"/>
      <c r="D44" s="590"/>
      <c r="E44" s="589">
        <f>'Sources and Uses Budget'!S44</f>
        <v>600000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150000</v>
      </c>
      <c r="C47" s="590"/>
      <c r="D47" s="590"/>
      <c r="E47" s="589">
        <f>'Sources and Uses Budget'!S47</f>
        <v>150000</v>
      </c>
      <c r="F47" s="590"/>
      <c r="G47" s="590"/>
      <c r="H47" s="589">
        <f>'Sources and Uses Budget'!T47</f>
        <v>0</v>
      </c>
      <c r="I47" s="590"/>
      <c r="J47" s="590"/>
      <c r="K47" s="587"/>
    </row>
    <row r="48" spans="1:11" s="588" customFormat="1">
      <c r="A48" s="592" t="s">
        <v>163</v>
      </c>
      <c r="B48" s="589">
        <f>'Sources and Uses Budget'!C48</f>
        <v>80000</v>
      </c>
      <c r="C48" s="590"/>
      <c r="D48" s="590"/>
      <c r="E48" s="589">
        <f>'Sources and Uses Budget'!S48</f>
        <v>80000</v>
      </c>
      <c r="F48" s="590"/>
      <c r="G48" s="590"/>
      <c r="H48" s="589">
        <f>'Sources and Uses Budget'!T48</f>
        <v>0</v>
      </c>
      <c r="I48" s="590"/>
      <c r="J48" s="590"/>
      <c r="K48" s="587"/>
    </row>
    <row r="49" spans="1:11" s="588" customFormat="1">
      <c r="A49" s="592" t="s">
        <v>161</v>
      </c>
      <c r="B49" s="589">
        <f>'Sources and Uses Budget'!C49</f>
        <v>80000</v>
      </c>
      <c r="C49" s="590"/>
      <c r="D49" s="590"/>
      <c r="E49" s="589">
        <f>'Sources and Uses Budget'!S49</f>
        <v>80000</v>
      </c>
      <c r="F49" s="590"/>
      <c r="G49" s="590"/>
      <c r="H49" s="589">
        <f>'Sources and Uses Budget'!T49</f>
        <v>0</v>
      </c>
      <c r="I49" s="590"/>
      <c r="J49" s="590"/>
      <c r="K49" s="587"/>
    </row>
    <row r="50" spans="1:11" s="588" customFormat="1">
      <c r="A50" s="592" t="s">
        <v>162</v>
      </c>
      <c r="B50" s="589">
        <f>'Sources and Uses Budget'!C50</f>
        <v>424300</v>
      </c>
      <c r="C50" s="590"/>
      <c r="D50" s="590"/>
      <c r="E50" s="589">
        <f>'Sources and Uses Budget'!S50</f>
        <v>424300</v>
      </c>
      <c r="F50" s="590"/>
      <c r="G50" s="590"/>
      <c r="H50" s="589">
        <f>'Sources and Uses Budget'!T50</f>
        <v>0</v>
      </c>
      <c r="I50" s="590"/>
      <c r="J50" s="590"/>
      <c r="K50" s="587"/>
    </row>
    <row r="51" spans="1:11" s="588" customFormat="1">
      <c r="A51" s="595" t="str">
        <f>'Sources and Uses Budget'!$A60</f>
        <v>Bond Counsel</v>
      </c>
      <c r="B51" s="589">
        <f>'Sources and Uses Budget'!C51</f>
        <v>150000</v>
      </c>
      <c r="C51" s="590"/>
      <c r="D51" s="590"/>
      <c r="E51" s="589">
        <f>'Sources and Uses Budget'!S51</f>
        <v>150000</v>
      </c>
      <c r="F51" s="590"/>
      <c r="G51" s="590"/>
      <c r="H51" s="589">
        <f>'Sources and Uses Budget'!T51</f>
        <v>0</v>
      </c>
      <c r="I51" s="590"/>
      <c r="J51" s="590"/>
      <c r="K51" s="587"/>
    </row>
    <row r="52" spans="1:11" s="588" customFormat="1">
      <c r="A52" s="595" t="str">
        <f>'Sources and Uses Budget'!$A61</f>
        <v>CalHFA MIP Loan Fees &amp; Costs</v>
      </c>
      <c r="B52" s="589">
        <f>'Sources and Uses Budget'!C52</f>
        <v>1600000</v>
      </c>
      <c r="C52" s="590"/>
      <c r="D52" s="590"/>
      <c r="E52" s="589">
        <f>'Sources and Uses Budget'!S52</f>
        <v>1600000</v>
      </c>
      <c r="F52" s="590"/>
      <c r="G52" s="590"/>
      <c r="H52" s="589">
        <f>'Sources and Uses Budget'!T52</f>
        <v>0</v>
      </c>
      <c r="I52" s="590"/>
      <c r="J52" s="590"/>
      <c r="K52" s="587"/>
    </row>
    <row r="53" spans="1:11" s="599" customFormat="1">
      <c r="A53" s="593" t="s">
        <v>164</v>
      </c>
      <c r="B53" s="589">
        <f>'Sources and Uses Budget'!C53</f>
        <v>5784300</v>
      </c>
      <c r="C53" s="596">
        <f>SUM(C43:C52)</f>
        <v>0</v>
      </c>
      <c r="D53" s="596">
        <f>SUM(D43:D52)</f>
        <v>0</v>
      </c>
      <c r="E53" s="589">
        <f>'Sources and Uses Budget'!S53</f>
        <v>5784300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270000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110000</v>
      </c>
      <c r="C60" s="590"/>
      <c r="D60" s="590"/>
      <c r="E60" s="591"/>
      <c r="F60" s="591"/>
      <c r="G60" s="591"/>
      <c r="H60" s="591"/>
      <c r="I60" s="591"/>
      <c r="J60" s="591"/>
      <c r="K60" s="587"/>
    </row>
    <row r="61" spans="1:11" s="588" customFormat="1">
      <c r="A61" s="595" t="str">
        <f>'Sources and Uses Budget'!$A61</f>
        <v>CalHFA MIP Loan Fees &amp; Costs</v>
      </c>
      <c r="B61" s="589">
        <f>'Sources and Uses Budget'!C61</f>
        <v>75000</v>
      </c>
      <c r="C61" s="590"/>
      <c r="D61" s="590"/>
      <c r="E61" s="591"/>
      <c r="F61" s="591"/>
      <c r="G61" s="591"/>
      <c r="H61" s="591"/>
      <c r="I61" s="591"/>
      <c r="J61" s="591"/>
      <c r="K61" s="587"/>
    </row>
    <row r="62" spans="1:11" s="588" customFormat="1" ht="13.7" customHeight="1">
      <c r="A62" s="593" t="s">
        <v>319</v>
      </c>
      <c r="B62" s="589">
        <f>'Sources and Uses Budget'!C62</f>
        <v>480000</v>
      </c>
      <c r="C62" s="589">
        <f>SUM(C55:C61)</f>
        <v>0</v>
      </c>
      <c r="D62" s="589">
        <f>SUM(D55:D61)</f>
        <v>0</v>
      </c>
      <c r="E62" s="591"/>
      <c r="F62" s="591"/>
      <c r="G62" s="591"/>
      <c r="H62" s="591"/>
      <c r="I62" s="591"/>
      <c r="J62" s="591"/>
      <c r="K62" s="587"/>
    </row>
    <row r="63" spans="1:11" s="588" customFormat="1">
      <c r="A63" s="600" t="s">
        <v>320</v>
      </c>
      <c r="B63" s="589">
        <f>'Sources and Uses Budget'!C63</f>
        <v>67739688</v>
      </c>
      <c r="C63" s="589">
        <f>SUM(C8+C11+C13+C14+C15+C25+C26+C36+C40+C41+C53+C62)</f>
        <v>0</v>
      </c>
      <c r="D63" s="589">
        <f>SUM(D8+D11+D13+D14+D15+D25+D26+D36+D40+D41+D53+D62)</f>
        <v>0</v>
      </c>
      <c r="E63" s="589">
        <f>'Sources and Uses Budget'!S63</f>
        <v>62709688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0</v>
      </c>
      <c r="C65" s="590"/>
      <c r="D65" s="590"/>
      <c r="E65" s="589">
        <f>'Sources and Uses Budget'!S65</f>
        <v>0</v>
      </c>
      <c r="F65" s="590"/>
      <c r="G65" s="590"/>
      <c r="H65" s="589">
        <f>'Sources and Uses Budget'!T65</f>
        <v>0</v>
      </c>
      <c r="I65" s="590"/>
      <c r="J65" s="590"/>
      <c r="K65" s="587"/>
    </row>
    <row r="66" spans="1:11" s="588" customFormat="1" ht="24">
      <c r="A66" s="595" t="str">
        <f>'Sources and Uses Budget'!$A73</f>
        <v>Post Construction Interest (Series A Bonds)</v>
      </c>
      <c r="B66" s="589">
        <f>'Sources and Uses Budget'!C66</f>
        <v>100000</v>
      </c>
      <c r="C66" s="590"/>
      <c r="D66" s="590"/>
      <c r="E66" s="589">
        <f>'Sources and Uses Budget'!S66</f>
        <v>100000</v>
      </c>
      <c r="F66" s="590"/>
      <c r="G66" s="590"/>
      <c r="H66" s="589">
        <f>'Sources and Uses Budget'!T66</f>
        <v>0</v>
      </c>
      <c r="I66" s="590"/>
      <c r="J66" s="590"/>
      <c r="K66" s="587"/>
    </row>
    <row r="67" spans="1:11" s="588" customFormat="1">
      <c r="A67" s="593" t="s">
        <v>651</v>
      </c>
      <c r="B67" s="589">
        <f>'Sources and Uses Budget'!C67</f>
        <v>100000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543645</v>
      </c>
      <c r="C72" s="590"/>
      <c r="D72" s="590"/>
      <c r="E72" s="591"/>
      <c r="F72" s="591"/>
      <c r="G72" s="591"/>
      <c r="H72" s="591"/>
      <c r="I72" s="591"/>
      <c r="J72" s="591"/>
      <c r="K72" s="587"/>
    </row>
    <row r="73" spans="1:11" s="588" customFormat="1" ht="24">
      <c r="A73" s="595" t="str">
        <f>'Sources and Uses Budget'!$A73</f>
        <v>Post Construction Interest (Series A Bonds)</v>
      </c>
      <c r="B73" s="589">
        <f>'Sources and Uses Budget'!C73</f>
        <v>400000</v>
      </c>
      <c r="C73" s="590"/>
      <c r="D73" s="590"/>
      <c r="E73" s="591"/>
      <c r="F73" s="591"/>
      <c r="G73" s="591"/>
      <c r="H73" s="591"/>
      <c r="I73" s="591"/>
      <c r="J73" s="591"/>
      <c r="K73" s="587"/>
    </row>
    <row r="74" spans="1:11" s="588" customFormat="1">
      <c r="A74" s="593" t="s">
        <v>656</v>
      </c>
      <c r="B74" s="589">
        <f>'Sources and Uses Budget'!C74</f>
        <v>943645</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2800000</v>
      </c>
      <c r="C76" s="590"/>
      <c r="D76" s="590"/>
      <c r="E76" s="589">
        <f>'Sources and Uses Budget'!S76</f>
        <v>2800000</v>
      </c>
      <c r="F76" s="590"/>
      <c r="G76" s="590"/>
      <c r="H76" s="589">
        <f>'Sources and Uses Budget'!T76</f>
        <v>0</v>
      </c>
      <c r="I76" s="590"/>
      <c r="J76" s="590"/>
      <c r="K76" s="587"/>
    </row>
    <row r="77" spans="1:11" s="588" customFormat="1">
      <c r="A77" s="592" t="s">
        <v>63</v>
      </c>
      <c r="B77" s="589">
        <f>'Sources and Uses Budget'!C77</f>
        <v>500000</v>
      </c>
      <c r="C77" s="590"/>
      <c r="D77" s="590"/>
      <c r="E77" s="589">
        <f>'Sources and Uses Budget'!S77</f>
        <v>500000</v>
      </c>
      <c r="F77" s="590"/>
      <c r="G77" s="590"/>
      <c r="H77" s="589">
        <f>'Sources and Uses Budget'!T77</f>
        <v>0</v>
      </c>
      <c r="I77" s="590"/>
      <c r="J77" s="590"/>
      <c r="K77" s="587"/>
    </row>
    <row r="78" spans="1:11" s="588" customFormat="1">
      <c r="A78" s="593" t="s">
        <v>1466</v>
      </c>
      <c r="B78" s="589">
        <f>'Sources and Uses Budget'!C78</f>
        <v>3300000</v>
      </c>
      <c r="C78" s="589">
        <f>SUM(C76:C77)</f>
        <v>0</v>
      </c>
      <c r="D78" s="589">
        <f>SUM(D76:D77)</f>
        <v>0</v>
      </c>
      <c r="E78" s="589">
        <f>'Sources and Uses Budget'!S78</f>
        <v>3300000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87463</v>
      </c>
      <c r="C80" s="590"/>
      <c r="D80" s="590"/>
      <c r="E80" s="591"/>
      <c r="F80" s="591"/>
      <c r="G80" s="591"/>
      <c r="H80" s="591"/>
      <c r="I80" s="591"/>
      <c r="J80" s="591"/>
      <c r="K80" s="587"/>
    </row>
    <row r="81" spans="1:11" s="588" customFormat="1">
      <c r="A81" s="223" t="s">
        <v>845</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846</v>
      </c>
      <c r="B82" s="589">
        <f>'Sources and Uses Budget'!C82</f>
        <v>1630789</v>
      </c>
      <c r="C82" s="590"/>
      <c r="D82" s="590"/>
      <c r="E82" s="589">
        <f>'Sources and Uses Budget'!S82</f>
        <v>1630789</v>
      </c>
      <c r="F82" s="590"/>
      <c r="G82" s="590"/>
      <c r="H82" s="589">
        <f>'Sources and Uses Budget'!T82</f>
        <v>0</v>
      </c>
      <c r="I82" s="590"/>
      <c r="J82" s="590"/>
      <c r="K82" s="587"/>
    </row>
    <row r="83" spans="1:11" s="588" customFormat="1">
      <c r="A83" s="223" t="s">
        <v>847</v>
      </c>
      <c r="B83" s="589">
        <f>'Sources and Uses Budget'!C83</f>
        <v>520000</v>
      </c>
      <c r="C83" s="590"/>
      <c r="D83" s="590"/>
      <c r="E83" s="589">
        <f>'Sources and Uses Budget'!S83</f>
        <v>520000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183501</v>
      </c>
      <c r="C85" s="590"/>
      <c r="D85" s="590"/>
      <c r="E85" s="591"/>
      <c r="F85" s="591"/>
      <c r="G85" s="591"/>
      <c r="H85" s="591"/>
      <c r="I85" s="591"/>
      <c r="J85" s="591"/>
      <c r="K85" s="587"/>
    </row>
    <row r="86" spans="1:11" s="588" customFormat="1">
      <c r="A86" s="223" t="s">
        <v>850</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403</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2521753</v>
      </c>
      <c r="C95" s="589">
        <f>SUM(C80:C94)</f>
        <v>0</v>
      </c>
      <c r="D95" s="589">
        <f>SUM(D80:D94)</f>
        <v>0</v>
      </c>
      <c r="E95" s="589">
        <f>'Sources and Uses Budget'!S95</f>
        <v>2250789</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74605086</v>
      </c>
      <c r="C96" s="589">
        <f>SUM(C63+C67+C74+C78+C95)</f>
        <v>0</v>
      </c>
      <c r="D96" s="589">
        <f>SUM(D63+D67+D74+D78+D95)</f>
        <v>0</v>
      </c>
      <c r="E96" s="589">
        <f>'Sources and Uses Budget'!S96</f>
        <v>68360477</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8000000</v>
      </c>
      <c r="C98" s="590"/>
      <c r="D98" s="590"/>
      <c r="E98" s="589">
        <f>'Sources and Uses Budget'!S98</f>
        <v>8000000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8000000</v>
      </c>
      <c r="C104" s="589">
        <f>SUM(C98:C103)</f>
        <v>0</v>
      </c>
      <c r="D104" s="589">
        <f>SUM(D98:D103)</f>
        <v>0</v>
      </c>
      <c r="E104" s="589">
        <f>'Sources and Uses Budget'!S104</f>
        <v>8000000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82605086</v>
      </c>
      <c r="C105" s="596">
        <f>SUM(C96+C104)</f>
        <v>0</v>
      </c>
      <c r="D105" s="596">
        <f>SUM(D96+D104)</f>
        <v>0</v>
      </c>
      <c r="E105" s="589">
        <f>'Sources and Uses Budget'!S105</f>
        <v>76360477</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76360477</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2.75">
      <c r="A125" s="618"/>
      <c r="B125" s="617"/>
      <c r="C125" s="618"/>
      <c r="D125" s="1605"/>
      <c r="E125" s="1605"/>
      <c r="F125" s="1605"/>
      <c r="G125" s="1605"/>
      <c r="H125" s="1605"/>
      <c r="I125" s="1605"/>
      <c r="J125" s="607"/>
      <c r="K125" s="587"/>
    </row>
    <row r="126" spans="1:11" s="588" customFormat="1" ht="12.75">
      <c r="A126" s="618"/>
      <c r="B126" s="617"/>
      <c r="C126" s="618"/>
      <c r="D126" s="1605"/>
      <c r="E126" s="1605"/>
      <c r="F126" s="1605"/>
      <c r="G126" s="1605"/>
      <c r="H126" s="1605"/>
      <c r="I126" s="160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6"/>
      <c r="B139" s="1607"/>
      <c r="C139" s="1607"/>
      <c r="D139" s="630"/>
      <c r="E139" s="618"/>
      <c r="F139" s="618"/>
      <c r="G139" s="618"/>
    </row>
    <row r="140" spans="1:11" ht="12" customHeight="1">
      <c r="A140" s="1608"/>
      <c r="B140" s="1609"/>
      <c r="C140" s="160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1" t="s">
        <v>1598</v>
      </c>
      <c r="B1" s="1651"/>
      <c r="C1" s="1651"/>
      <c r="D1" s="1651"/>
      <c r="E1" s="1651"/>
      <c r="F1" s="1651"/>
      <c r="G1" s="1651"/>
      <c r="H1" s="1651"/>
      <c r="I1" s="1651"/>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2" t="s">
        <v>406</v>
      </c>
      <c r="C11" s="1623"/>
      <c r="D11" s="1623"/>
      <c r="E11" s="1623"/>
      <c r="F11" s="1623"/>
      <c r="G11" s="1623"/>
      <c r="H11" s="1623"/>
      <c r="I11" s="1623"/>
      <c r="J11" s="1623"/>
      <c r="K11" s="1623"/>
      <c r="L11" s="1623"/>
      <c r="M11" s="1623"/>
      <c r="N11" s="1623"/>
      <c r="O11" s="1623"/>
      <c r="P11" s="1623"/>
      <c r="Q11" s="1623"/>
      <c r="R11" s="1623"/>
      <c r="S11" s="1624"/>
      <c r="T11" s="1654">
        <f>IF('Sources and Basis Breakdown'!F107=0,'Sources and Basis Breakdown'!E107,'Sources and Basis Breakdown'!F107)</f>
        <v>76360477</v>
      </c>
      <c r="U11" s="1655"/>
      <c r="V11" s="1655"/>
      <c r="W11" s="1655"/>
      <c r="X11" s="1655"/>
      <c r="Y11" s="1654">
        <f>IF(Y7=" ",0,IF('Sources and Basis Breakdown'!G107+'Sources and Basis Breakdown'!F107='Sources and Basis Breakdown'!E107,'Sources and Basis Breakdown'!G107,0))</f>
        <v>0</v>
      </c>
      <c r="Z11" s="1655"/>
      <c r="AA11" s="1655"/>
      <c r="AB11" s="1655"/>
      <c r="AC11" s="1655"/>
      <c r="AD11" s="1655">
        <f>IF('Sources and Basis Breakdown'!I107=0,'Sources and Basis Breakdown'!H107,'Sources and Basis Breakdown'!I107)</f>
        <v>0</v>
      </c>
      <c r="AE11" s="1655"/>
      <c r="AF11" s="1655"/>
      <c r="AG11" s="1655"/>
      <c r="AH11" s="1655"/>
      <c r="AI11" s="1655">
        <f>IF(Y7=" ",0,IF('Sources and Basis Breakdown'!I107+'Sources and Basis Breakdown'!J107='Sources and Basis Breakdown'!H107,'Sources and Basis Breakdown'!J107,0))</f>
        <v>0</v>
      </c>
      <c r="AJ11" s="1655"/>
      <c r="AK11" s="1655"/>
      <c r="AL11" s="1655"/>
      <c r="AM11" s="165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6" t="s">
        <v>543</v>
      </c>
      <c r="C12" s="1647"/>
      <c r="D12" s="1647"/>
      <c r="E12" s="1647"/>
      <c r="F12" s="1647"/>
      <c r="G12" s="1647"/>
      <c r="H12" s="1647"/>
      <c r="I12" s="1647"/>
      <c r="J12" s="1647"/>
      <c r="K12" s="1647"/>
      <c r="L12" s="1647"/>
      <c r="M12" s="1647"/>
      <c r="N12" s="1647"/>
      <c r="O12" s="1647"/>
      <c r="P12" s="1647"/>
      <c r="Q12" s="1647"/>
      <c r="R12" s="1647"/>
      <c r="S12" s="1648"/>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9" t="s">
        <v>544</v>
      </c>
      <c r="D13" s="1649"/>
      <c r="E13" s="1649"/>
      <c r="F13" s="1649"/>
      <c r="G13" s="1649"/>
      <c r="H13" s="1649"/>
      <c r="I13" s="1649"/>
      <c r="J13" s="1649"/>
      <c r="K13" s="1649"/>
      <c r="L13" s="1649"/>
      <c r="M13" s="1649"/>
      <c r="N13" s="1649"/>
      <c r="O13" s="1649"/>
      <c r="P13" s="1649"/>
      <c r="Q13" s="1649"/>
      <c r="R13" s="1649"/>
      <c r="S13" s="1650"/>
      <c r="T13" s="1659"/>
      <c r="U13" s="1660"/>
      <c r="V13" s="1660"/>
      <c r="W13" s="1660"/>
      <c r="X13" s="1660"/>
      <c r="Y13" s="1659"/>
      <c r="Z13" s="1660"/>
      <c r="AA13" s="1660"/>
      <c r="AB13" s="1660"/>
      <c r="AC13" s="1660"/>
      <c r="AD13" s="1660"/>
      <c r="AE13" s="1660"/>
      <c r="AF13" s="1660"/>
      <c r="AG13" s="1660"/>
      <c r="AH13" s="1660"/>
      <c r="AI13" s="1660"/>
      <c r="AJ13" s="1660"/>
      <c r="AK13" s="1660"/>
      <c r="AL13" s="1660"/>
      <c r="AM13" s="166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9" t="s">
        <v>545</v>
      </c>
      <c r="D14" s="1649"/>
      <c r="E14" s="1649"/>
      <c r="F14" s="1649"/>
      <c r="G14" s="1649"/>
      <c r="H14" s="1649"/>
      <c r="I14" s="1649"/>
      <c r="J14" s="1649"/>
      <c r="K14" s="1649"/>
      <c r="L14" s="1649"/>
      <c r="M14" s="1649"/>
      <c r="N14" s="1649"/>
      <c r="O14" s="1649"/>
      <c r="P14" s="1649"/>
      <c r="Q14" s="1649"/>
      <c r="R14" s="1649"/>
      <c r="S14" s="1650"/>
      <c r="T14" s="1613"/>
      <c r="U14" s="1614"/>
      <c r="V14" s="1614"/>
      <c r="W14" s="1614"/>
      <c r="X14" s="1614"/>
      <c r="Y14" s="1613"/>
      <c r="Z14" s="1614"/>
      <c r="AA14" s="1614"/>
      <c r="AB14" s="1614"/>
      <c r="AC14" s="1614"/>
      <c r="AD14" s="1614"/>
      <c r="AE14" s="1614"/>
      <c r="AF14" s="1614"/>
      <c r="AG14" s="1614"/>
      <c r="AH14" s="1614"/>
      <c r="AI14" s="1614"/>
      <c r="AJ14" s="1614"/>
      <c r="AK14" s="1614"/>
      <c r="AL14" s="1614"/>
      <c r="AM14" s="161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9" t="s">
        <v>546</v>
      </c>
      <c r="D15" s="1649"/>
      <c r="E15" s="1649"/>
      <c r="F15" s="1649"/>
      <c r="G15" s="1649"/>
      <c r="H15" s="1649"/>
      <c r="I15" s="1649"/>
      <c r="J15" s="1649"/>
      <c r="K15" s="1649"/>
      <c r="L15" s="1649"/>
      <c r="M15" s="1649"/>
      <c r="N15" s="1649"/>
      <c r="O15" s="1649"/>
      <c r="P15" s="1649"/>
      <c r="Q15" s="1649"/>
      <c r="R15" s="1649"/>
      <c r="S15" s="1650"/>
      <c r="T15" s="1613"/>
      <c r="U15" s="1614"/>
      <c r="V15" s="1614"/>
      <c r="W15" s="1614"/>
      <c r="X15" s="1614"/>
      <c r="Y15" s="1613"/>
      <c r="Z15" s="1614"/>
      <c r="AA15" s="1614"/>
      <c r="AB15" s="1614"/>
      <c r="AC15" s="1614"/>
      <c r="AD15" s="1614"/>
      <c r="AE15" s="1614"/>
      <c r="AF15" s="1614"/>
      <c r="AG15" s="1614"/>
      <c r="AH15" s="1614"/>
      <c r="AI15" s="1614"/>
      <c r="AJ15" s="1614"/>
      <c r="AK15" s="1614"/>
      <c r="AL15" s="1614"/>
      <c r="AM15" s="161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9" t="s">
        <v>887</v>
      </c>
      <c r="D16" s="1649"/>
      <c r="E16" s="1649"/>
      <c r="F16" s="1649"/>
      <c r="G16" s="1649"/>
      <c r="H16" s="1649"/>
      <c r="I16" s="1649"/>
      <c r="J16" s="1649"/>
      <c r="K16" s="1649"/>
      <c r="L16" s="1649"/>
      <c r="M16" s="1649"/>
      <c r="N16" s="1649"/>
      <c r="O16" s="1649"/>
      <c r="P16" s="1649"/>
      <c r="Q16" s="1649"/>
      <c r="R16" s="1649"/>
      <c r="S16" s="1650"/>
      <c r="T16" s="1613"/>
      <c r="U16" s="1614"/>
      <c r="V16" s="1614"/>
      <c r="W16" s="1614"/>
      <c r="X16" s="1614"/>
      <c r="Y16" s="1613"/>
      <c r="Z16" s="1614"/>
      <c r="AA16" s="1614"/>
      <c r="AB16" s="1614"/>
      <c r="AC16" s="1614"/>
      <c r="AD16" s="1614"/>
      <c r="AE16" s="1614"/>
      <c r="AF16" s="1614"/>
      <c r="AG16" s="1614"/>
      <c r="AH16" s="1614"/>
      <c r="AI16" s="1614"/>
      <c r="AJ16" s="1614"/>
      <c r="AK16" s="1614"/>
      <c r="AL16" s="1614"/>
      <c r="AM16" s="161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9" t="s">
        <v>547</v>
      </c>
      <c r="D17" s="1649"/>
      <c r="E17" s="1649"/>
      <c r="F17" s="1649"/>
      <c r="G17" s="1649"/>
      <c r="H17" s="1649"/>
      <c r="I17" s="1649"/>
      <c r="J17" s="1649"/>
      <c r="K17" s="1649"/>
      <c r="L17" s="1649"/>
      <c r="M17" s="1649"/>
      <c r="N17" s="1649"/>
      <c r="O17" s="1649"/>
      <c r="P17" s="1649"/>
      <c r="Q17" s="1649"/>
      <c r="R17" s="1649"/>
      <c r="S17" s="1650"/>
      <c r="T17" s="1613"/>
      <c r="U17" s="1614"/>
      <c r="V17" s="1614"/>
      <c r="W17" s="1614"/>
      <c r="X17" s="1614"/>
      <c r="Y17" s="1613"/>
      <c r="Z17" s="1614"/>
      <c r="AA17" s="1614"/>
      <c r="AB17" s="1614"/>
      <c r="AC17" s="1614"/>
      <c r="AD17" s="1614"/>
      <c r="AE17" s="1614"/>
      <c r="AF17" s="1614"/>
      <c r="AG17" s="1614"/>
      <c r="AH17" s="1614"/>
      <c r="AI17" s="1614"/>
      <c r="AJ17" s="1614"/>
      <c r="AK17" s="1614"/>
      <c r="AL17" s="1614"/>
      <c r="AM17" s="161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4" t="s">
        <v>1069</v>
      </c>
      <c r="D18" s="1644"/>
      <c r="E18" s="1644"/>
      <c r="F18" s="1644"/>
      <c r="G18" s="1644"/>
      <c r="H18" s="1644"/>
      <c r="I18" s="1644"/>
      <c r="J18" s="1644"/>
      <c r="K18" s="1644"/>
      <c r="L18" s="1644"/>
      <c r="M18" s="1644"/>
      <c r="N18" s="1644"/>
      <c r="O18" s="1644"/>
      <c r="P18" s="1644"/>
      <c r="Q18" s="1644"/>
      <c r="R18" s="1644"/>
      <c r="S18" s="1645"/>
      <c r="T18" s="1613"/>
      <c r="U18" s="1614"/>
      <c r="V18" s="1614"/>
      <c r="W18" s="1614"/>
      <c r="X18" s="1614"/>
      <c r="Y18" s="1613"/>
      <c r="Z18" s="1614"/>
      <c r="AA18" s="1614"/>
      <c r="AB18" s="1614"/>
      <c r="AC18" s="1614"/>
      <c r="AD18" s="1614"/>
      <c r="AE18" s="1614"/>
      <c r="AF18" s="1614"/>
      <c r="AG18" s="1614"/>
      <c r="AH18" s="1614"/>
      <c r="AI18" s="1614"/>
      <c r="AJ18" s="1614"/>
      <c r="AK18" s="1614"/>
      <c r="AL18" s="1614"/>
      <c r="AM18" s="161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4" t="s">
        <v>1069</v>
      </c>
      <c r="D19" s="1644"/>
      <c r="E19" s="1644"/>
      <c r="F19" s="1644"/>
      <c r="G19" s="1644"/>
      <c r="H19" s="1644"/>
      <c r="I19" s="1644"/>
      <c r="J19" s="1644"/>
      <c r="K19" s="1644"/>
      <c r="L19" s="1644"/>
      <c r="M19" s="1644"/>
      <c r="N19" s="1644"/>
      <c r="O19" s="1644"/>
      <c r="P19" s="1644"/>
      <c r="Q19" s="1644"/>
      <c r="R19" s="1644"/>
      <c r="S19" s="1645"/>
      <c r="T19" s="1613"/>
      <c r="U19" s="1614"/>
      <c r="V19" s="1614"/>
      <c r="W19" s="1614"/>
      <c r="X19" s="1614"/>
      <c r="Y19" s="1613"/>
      <c r="Z19" s="1614"/>
      <c r="AA19" s="1614"/>
      <c r="AB19" s="1614"/>
      <c r="AC19" s="1614"/>
      <c r="AD19" s="1614"/>
      <c r="AE19" s="1614"/>
      <c r="AF19" s="1614"/>
      <c r="AG19" s="1614"/>
      <c r="AH19" s="1614"/>
      <c r="AI19" s="1614"/>
      <c r="AJ19" s="1614"/>
      <c r="AK19" s="1614"/>
      <c r="AL19" s="1614"/>
      <c r="AM19" s="161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2" t="s">
        <v>548</v>
      </c>
      <c r="C20" s="1623"/>
      <c r="D20" s="1623"/>
      <c r="E20" s="1623"/>
      <c r="F20" s="1623"/>
      <c r="G20" s="1623"/>
      <c r="H20" s="1623"/>
      <c r="I20" s="1623"/>
      <c r="J20" s="1623"/>
      <c r="K20" s="1623"/>
      <c r="L20" s="1623"/>
      <c r="M20" s="1623"/>
      <c r="N20" s="1623"/>
      <c r="O20" s="1623"/>
      <c r="P20" s="1623"/>
      <c r="Q20" s="1623"/>
      <c r="R20" s="1623"/>
      <c r="S20" s="1624"/>
      <c r="T20" s="1615">
        <f>SUM(T13:X19)</f>
        <v>0</v>
      </c>
      <c r="U20" s="1616"/>
      <c r="V20" s="1616"/>
      <c r="W20" s="1616"/>
      <c r="X20" s="1616"/>
      <c r="Y20" s="1615">
        <f>SUM(Y13:AC19)</f>
        <v>0</v>
      </c>
      <c r="Z20" s="1616"/>
      <c r="AA20" s="1616"/>
      <c r="AB20" s="1616"/>
      <c r="AC20" s="1616"/>
      <c r="AD20" s="1617">
        <f>SUM(AD13:AH19)</f>
        <v>0</v>
      </c>
      <c r="AE20" s="1618"/>
      <c r="AF20" s="1618"/>
      <c r="AG20" s="1618"/>
      <c r="AH20" s="1615"/>
      <c r="AI20" s="1617">
        <f>SUM(AI13:AM19)</f>
        <v>0</v>
      </c>
      <c r="AJ20" s="1618"/>
      <c r="AK20" s="1618"/>
      <c r="AL20" s="1618"/>
      <c r="AM20" s="161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2" t="s">
        <v>1550</v>
      </c>
      <c r="C21" s="1623"/>
      <c r="D21" s="1623"/>
      <c r="E21" s="1623"/>
      <c r="F21" s="1623"/>
      <c r="G21" s="1623"/>
      <c r="H21" s="1623"/>
      <c r="I21" s="1623"/>
      <c r="J21" s="1623"/>
      <c r="K21" s="1623"/>
      <c r="L21" s="1623"/>
      <c r="M21" s="1623"/>
      <c r="N21" s="1623"/>
      <c r="O21" s="1623"/>
      <c r="P21" s="1623"/>
      <c r="Q21" s="1623"/>
      <c r="R21" s="1623"/>
      <c r="S21" s="1624"/>
      <c r="T21" s="1613"/>
      <c r="U21" s="1614"/>
      <c r="V21" s="1614"/>
      <c r="W21" s="1614"/>
      <c r="X21" s="1614"/>
      <c r="Y21" s="1613"/>
      <c r="Z21" s="1614"/>
      <c r="AA21" s="1614"/>
      <c r="AB21" s="1614"/>
      <c r="AC21" s="1614"/>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2" t="s">
        <v>549</v>
      </c>
      <c r="C22" s="1623"/>
      <c r="D22" s="1623"/>
      <c r="E22" s="1623"/>
      <c r="F22" s="1623"/>
      <c r="G22" s="1623"/>
      <c r="H22" s="1623"/>
      <c r="I22" s="1623"/>
      <c r="J22" s="1623"/>
      <c r="K22" s="1623"/>
      <c r="L22" s="1623"/>
      <c r="M22" s="1623"/>
      <c r="N22" s="1623"/>
      <c r="O22" s="1623"/>
      <c r="P22" s="1623"/>
      <c r="Q22" s="1623"/>
      <c r="R22" s="1623"/>
      <c r="S22" s="1624"/>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5" t="s">
        <v>550</v>
      </c>
      <c r="C23" s="1626"/>
      <c r="D23" s="1626"/>
      <c r="E23" s="1626"/>
      <c r="F23" s="1626"/>
      <c r="G23" s="1626"/>
      <c r="H23" s="1626"/>
      <c r="I23" s="1626"/>
      <c r="J23" s="1626"/>
      <c r="K23" s="1626"/>
      <c r="L23" s="1626"/>
      <c r="M23" s="1626"/>
      <c r="N23" s="1626"/>
      <c r="O23" s="1626"/>
      <c r="P23" s="1626"/>
      <c r="Q23" s="1626"/>
      <c r="R23" s="1626"/>
      <c r="S23" s="1627"/>
      <c r="T23" s="1615">
        <f>T11+T22</f>
        <v>76360477</v>
      </c>
      <c r="U23" s="1616"/>
      <c r="V23" s="1616"/>
      <c r="W23" s="1616"/>
      <c r="X23" s="1616"/>
      <c r="Y23" s="1615">
        <f>Y11+Y22</f>
        <v>0</v>
      </c>
      <c r="Z23" s="1616"/>
      <c r="AA23" s="1616"/>
      <c r="AB23" s="1616"/>
      <c r="AC23" s="1616"/>
      <c r="AD23" s="1615">
        <f>AD11+AD22</f>
        <v>0</v>
      </c>
      <c r="AE23" s="1616"/>
      <c r="AF23" s="1616"/>
      <c r="AG23" s="1616"/>
      <c r="AH23" s="1616"/>
      <c r="AI23" s="1615">
        <f>AI11+AI22</f>
        <v>0</v>
      </c>
      <c r="AJ23" s="1616"/>
      <c r="AK23" s="1616"/>
      <c r="AL23" s="1616"/>
      <c r="AM23" s="161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2" t="s">
        <v>1070</v>
      </c>
      <c r="C24" s="1623"/>
      <c r="D24" s="1623"/>
      <c r="E24" s="1623"/>
      <c r="F24" s="1623"/>
      <c r="G24" s="1623"/>
      <c r="H24" s="1623"/>
      <c r="I24" s="1623"/>
      <c r="J24" s="1623"/>
      <c r="K24" s="1623"/>
      <c r="L24" s="1623"/>
      <c r="M24" s="1623"/>
      <c r="N24" s="1623"/>
      <c r="O24" s="1623"/>
      <c r="P24" s="1623"/>
      <c r="Q24" s="1623"/>
      <c r="R24" s="1623"/>
      <c r="S24" s="1624"/>
      <c r="T24" s="1617">
        <f>Application!AD1004</f>
        <v>100189126</v>
      </c>
      <c r="U24" s="1618"/>
      <c r="V24" s="1618"/>
      <c r="W24" s="1618"/>
      <c r="X24" s="1618"/>
      <c r="Y24" s="1618"/>
      <c r="Z24" s="1618"/>
      <c r="AA24" s="1618"/>
      <c r="AB24" s="1618"/>
      <c r="AC24" s="1618"/>
      <c r="AD24" s="1618"/>
      <c r="AE24" s="1618"/>
      <c r="AF24" s="1618"/>
      <c r="AG24" s="1618"/>
      <c r="AH24" s="1618"/>
      <c r="AI24" s="1618"/>
      <c r="AJ24" s="1618"/>
      <c r="AK24" s="1618"/>
      <c r="AL24" s="1618"/>
      <c r="AM24" s="161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0" t="s">
        <v>1551</v>
      </c>
      <c r="C25" s="1631"/>
      <c r="D25" s="1631"/>
      <c r="E25" s="1631"/>
      <c r="F25" s="1631"/>
      <c r="G25" s="1631"/>
      <c r="H25" s="1631"/>
      <c r="I25" s="1631"/>
      <c r="J25" s="1631"/>
      <c r="K25" s="1631"/>
      <c r="L25" s="1631"/>
      <c r="M25" s="1631"/>
      <c r="N25" s="1631"/>
      <c r="O25" s="1631"/>
      <c r="P25" s="1631"/>
      <c r="Q25" s="1631"/>
      <c r="R25" s="1631"/>
      <c r="S25" s="1632"/>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2" t="s">
        <v>551</v>
      </c>
      <c r="C26" s="1623"/>
      <c r="D26" s="1623"/>
      <c r="E26" s="1623"/>
      <c r="F26" s="1623"/>
      <c r="G26" s="1623"/>
      <c r="H26" s="1623"/>
      <c r="I26" s="1623"/>
      <c r="J26" s="1623"/>
      <c r="K26" s="1623"/>
      <c r="L26" s="1623"/>
      <c r="M26" s="1623"/>
      <c r="N26" s="1623"/>
      <c r="O26" s="1623"/>
      <c r="P26" s="1623"/>
      <c r="Q26" s="1623"/>
      <c r="R26" s="1623"/>
      <c r="S26" s="1624"/>
      <c r="T26" s="1666">
        <f>T23*T25</f>
        <v>99268620.100000009</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3" t="s">
        <v>460</v>
      </c>
      <c r="C27" s="1634"/>
      <c r="D27" s="1634"/>
      <c r="E27" s="1634"/>
      <c r="F27" s="1634"/>
      <c r="G27" s="1634"/>
      <c r="H27" s="1634"/>
      <c r="I27" s="1634"/>
      <c r="J27" s="1634"/>
      <c r="K27" s="1634"/>
      <c r="L27" s="1634"/>
      <c r="M27" s="1634"/>
      <c r="N27" s="1634"/>
      <c r="O27" s="1634"/>
      <c r="P27" s="1634"/>
      <c r="Q27" s="1634"/>
      <c r="R27" s="1634"/>
      <c r="S27" s="1635"/>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2" t="s">
        <v>552</v>
      </c>
      <c r="C28" s="1623"/>
      <c r="D28" s="1623"/>
      <c r="E28" s="1623"/>
      <c r="F28" s="1623"/>
      <c r="G28" s="1623"/>
      <c r="H28" s="1623"/>
      <c r="I28" s="1623"/>
      <c r="J28" s="1623"/>
      <c r="K28" s="1623"/>
      <c r="L28" s="1623"/>
      <c r="M28" s="1623"/>
      <c r="N28" s="1623"/>
      <c r="O28" s="1623"/>
      <c r="P28" s="1623"/>
      <c r="Q28" s="1623"/>
      <c r="R28" s="1623"/>
      <c r="S28" s="1624"/>
      <c r="T28" s="1636">
        <f>IF(ISERROR((T26*T27)),0,(T26*T27))</f>
        <v>99268620.100000009</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2" t="s">
        <v>569</v>
      </c>
      <c r="C29" s="1623"/>
      <c r="D29" s="1623"/>
      <c r="E29" s="1623"/>
      <c r="F29" s="1623"/>
      <c r="G29" s="1623"/>
      <c r="H29" s="1623"/>
      <c r="I29" s="1623"/>
      <c r="J29" s="1623"/>
      <c r="K29" s="1623"/>
      <c r="L29" s="1623"/>
      <c r="M29" s="1623"/>
      <c r="N29" s="1623"/>
      <c r="O29" s="1623"/>
      <c r="P29" s="1623"/>
      <c r="Q29" s="1623"/>
      <c r="R29" s="1623"/>
      <c r="S29" s="1624"/>
      <c r="T29" s="1617">
        <f>T28+Y28+AD28+AI28</f>
        <v>99268620.100000009</v>
      </c>
      <c r="U29" s="1618"/>
      <c r="V29" s="1618"/>
      <c r="W29" s="1618"/>
      <c r="X29" s="1618"/>
      <c r="Y29" s="1618"/>
      <c r="Z29" s="1618"/>
      <c r="AA29" s="1618"/>
      <c r="AB29" s="1618"/>
      <c r="AC29" s="1618"/>
      <c r="AD29" s="1618"/>
      <c r="AE29" s="1618"/>
      <c r="AF29" s="1618"/>
      <c r="AG29" s="1618"/>
      <c r="AH29" s="1618"/>
      <c r="AI29" s="1618"/>
      <c r="AJ29" s="1618"/>
      <c r="AK29" s="1618"/>
      <c r="AL29" s="1618"/>
      <c r="AM29" s="161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8" t="s">
        <v>1555</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8" t="s">
        <v>1552</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1385</v>
      </c>
      <c r="Z35" s="1653"/>
      <c r="AA35" s="1653"/>
      <c r="AB35" s="1653"/>
      <c r="AC35" s="1653"/>
      <c r="AD35" s="1685" t="s">
        <v>393</v>
      </c>
      <c r="AE35" s="1685"/>
      <c r="AF35" s="1685"/>
      <c r="AG35" s="1685"/>
      <c r="AH35" s="168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85"/>
      <c r="AE36" s="1685"/>
      <c r="AF36" s="1685"/>
      <c r="AG36" s="1685"/>
      <c r="AH36" s="168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85"/>
      <c r="AE37" s="1685"/>
      <c r="AF37" s="1685"/>
      <c r="AG37" s="1685"/>
      <c r="AH37" s="168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2" t="s">
        <v>552</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16">
        <f>IF(T24&gt;=(T23+Y23+AD23+AI23),T28+Y28,0)</f>
        <v>99268620.100000009</v>
      </c>
      <c r="Z38" s="1616"/>
      <c r="AA38" s="1616"/>
      <c r="AB38" s="1616"/>
      <c r="AC38" s="1616"/>
      <c r="AD38" s="1616">
        <f>IF(T24&gt;=(T23+Y23+AD23+AI23),AD28+AI28,0)</f>
        <v>0</v>
      </c>
      <c r="AE38" s="1616"/>
      <c r="AF38" s="1616"/>
      <c r="AG38" s="1616"/>
      <c r="AH38" s="161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2" t="s">
        <v>1553</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86">
        <v>3.2399999999999998E-2</v>
      </c>
      <c r="Z39" s="1686"/>
      <c r="AA39" s="1686"/>
      <c r="AB39" s="1686"/>
      <c r="AC39" s="1686"/>
      <c r="AD39" s="1686">
        <v>3.2399999999999998E-2</v>
      </c>
      <c r="AE39" s="1686"/>
      <c r="AF39" s="1686"/>
      <c r="AG39" s="1686"/>
      <c r="AH39" s="168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2" t="s">
        <v>692</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16">
        <f>ROUND(Y38*Y39,0)</f>
        <v>3216303</v>
      </c>
      <c r="Z40" s="1616"/>
      <c r="AA40" s="1616"/>
      <c r="AB40" s="1616"/>
      <c r="AC40" s="1616"/>
      <c r="AD40" s="1615">
        <f>ROUND(AD38*AD39,0)</f>
        <v>0</v>
      </c>
      <c r="AE40" s="1616"/>
      <c r="AF40" s="1616"/>
      <c r="AG40" s="1616"/>
      <c r="AH40" s="161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2" t="s">
        <v>693</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38">
        <f>Y40+AD40</f>
        <v>3216303</v>
      </c>
      <c r="Z41" s="1639"/>
      <c r="AA41" s="1639"/>
      <c r="AB41" s="1639"/>
      <c r="AC41" s="1639"/>
      <c r="AD41" s="1639"/>
      <c r="AE41" s="1639"/>
      <c r="AF41" s="1639"/>
      <c r="AG41" s="1639"/>
      <c r="AH41" s="164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9" t="s">
        <v>1554</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0" t="s">
        <v>1585</v>
      </c>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82605086</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46200000</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36405086</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8">
        <f>0.9999*0.9</f>
        <v>0.89990999999999999</v>
      </c>
      <c r="AC50" s="1679"/>
      <c r="AD50" s="1679"/>
      <c r="AE50" s="1679"/>
      <c r="AF50" s="168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1" t="s">
        <v>1181</v>
      </c>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40454141</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4045414.1</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2">
        <f>(IF((Y41&lt;AB55),Y41,AB55))</f>
        <v>3216303</v>
      </c>
      <c r="AC56" s="1683"/>
      <c r="AD56" s="1683"/>
      <c r="AE56" s="1683"/>
      <c r="AF56" s="168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28943832</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2">
        <f>AB49-AB57</f>
        <v>7461254</v>
      </c>
      <c r="AC59" s="1672"/>
      <c r="AD59" s="1672"/>
      <c r="AE59" s="1672"/>
      <c r="AF59" s="167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0" t="str">
        <f>IF(Application!AF204="yes","Farmworker State Credit", "$500M State Credit" )</f>
        <v>$500M State Credit</v>
      </c>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c r="AI61" s="1620"/>
      <c r="AJ61" s="1620"/>
      <c r="AK61" s="1620"/>
      <c r="AL61" s="1620"/>
      <c r="AM61" s="1620"/>
      <c r="AN61" s="1620"/>
      <c r="AO61" s="1620"/>
      <c r="AP61" s="1620"/>
      <c r="AQ61" s="1620"/>
      <c r="AR61" s="1620"/>
      <c r="AS61" s="1620"/>
      <c r="AT61" s="1620"/>
      <c r="AU61" s="1620"/>
      <c r="AV61" s="1620"/>
      <c r="AW61" s="1620"/>
      <c r="AX61" s="1620"/>
      <c r="AY61" s="1620"/>
      <c r="AZ61" s="1620"/>
      <c r="BA61" s="1620"/>
      <c r="BB61" s="1620"/>
      <c r="BC61" s="1620"/>
      <c r="BD61" s="1620"/>
      <c r="BE61" s="1620"/>
      <c r="BF61" s="1620"/>
      <c r="BG61" s="1620"/>
      <c r="BH61" s="1620"/>
      <c r="BI61" s="1620"/>
      <c r="BJ61" s="1620"/>
      <c r="BK61" s="1620"/>
      <c r="BL61" s="1620"/>
      <c r="BM61" s="1620"/>
      <c r="BN61" s="1620"/>
      <c r="BO61" s="1620"/>
      <c r="BP61" s="1620"/>
      <c r="BQ61" s="1620"/>
      <c r="BR61" s="1620"/>
      <c r="BS61" s="1620"/>
      <c r="BT61" s="1620"/>
      <c r="BU61" s="1620"/>
      <c r="BV61" s="1620"/>
      <c r="BW61" s="1620"/>
      <c r="BX61" s="162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3" t="s">
        <v>1100</v>
      </c>
      <c r="Z63" s="1673"/>
      <c r="AA63" s="1673"/>
      <c r="AB63" s="1673"/>
      <c r="AC63" s="1673"/>
      <c r="AD63" s="1673" t="s">
        <v>393</v>
      </c>
      <c r="AE63" s="1673"/>
      <c r="AF63" s="1673"/>
      <c r="AG63" s="1673"/>
      <c r="AH63" s="167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4">
        <f>IF(OR(Application!M350="yes",Application!AF204="yes"),(T23*T27)+Y28,0)</f>
        <v>76360477</v>
      </c>
      <c r="Z64" s="1675"/>
      <c r="AA64" s="1675"/>
      <c r="AB64" s="1675"/>
      <c r="AC64" s="1676"/>
      <c r="AD64" s="1674">
        <f>IF(AND(Application!AF204="yes",Application!M353="yes"),AD28+AI28,0)</f>
        <v>0</v>
      </c>
      <c r="AE64" s="1675"/>
      <c r="AF64" s="1675"/>
      <c r="AG64" s="1675"/>
      <c r="AH64" s="167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7" t="s">
        <v>1535</v>
      </c>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2">
        <f>IF(Application!AF204="yes",0.75,0.3)</f>
        <v>0.3</v>
      </c>
      <c r="Z67" s="1692"/>
      <c r="AA67" s="1692"/>
      <c r="AB67" s="1692"/>
      <c r="AC67" s="1692"/>
      <c r="AD67" s="1692">
        <f>IF(Application!AF204="yes",0.75,0.3)</f>
        <v>0.3</v>
      </c>
      <c r="AE67" s="1692"/>
      <c r="AF67" s="1692"/>
      <c r="AG67" s="1692"/>
      <c r="AH67" s="169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3">
        <f>ROUND(Y64*Y67,0)</f>
        <v>22908143</v>
      </c>
      <c r="Z68" s="1694"/>
      <c r="AA68" s="1694"/>
      <c r="AB68" s="1694"/>
      <c r="AC68" s="1694"/>
      <c r="AD68" s="1693" t="str">
        <f>IF(Application!D210="At-Risk",AD64*AD67,"$0")</f>
        <v>$0</v>
      </c>
      <c r="AE68" s="1694"/>
      <c r="AF68" s="1694"/>
      <c r="AG68" s="1694"/>
      <c r="AH68" s="169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8">
        <f>0.9999*0.81999999</f>
        <v>0.81991799000100007</v>
      </c>
      <c r="AC71" s="1679"/>
      <c r="AD71" s="1679"/>
      <c r="AE71" s="1679"/>
      <c r="AF71" s="168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5" t="s">
        <v>1538</v>
      </c>
      <c r="F72" s="1695"/>
      <c r="G72" s="1695"/>
      <c r="H72" s="1695"/>
      <c r="I72" s="1695"/>
      <c r="J72" s="1695"/>
      <c r="K72" s="1695"/>
      <c r="L72" s="1695"/>
      <c r="M72" s="1695"/>
      <c r="N72" s="1695"/>
      <c r="O72" s="1695"/>
      <c r="P72" s="1695"/>
      <c r="Q72" s="1695"/>
      <c r="R72" s="1695"/>
      <c r="S72" s="1695"/>
      <c r="T72" s="1695"/>
      <c r="U72" s="1695"/>
      <c r="V72" s="1695"/>
      <c r="W72" s="1695"/>
      <c r="X72" s="1695"/>
      <c r="Y72" s="1695"/>
      <c r="Z72" s="1695"/>
      <c r="AA72" s="169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5"/>
      <c r="F73" s="1695"/>
      <c r="G73" s="1695"/>
      <c r="H73" s="1695"/>
      <c r="I73" s="1695"/>
      <c r="J73" s="1695"/>
      <c r="K73" s="1695"/>
      <c r="L73" s="1695"/>
      <c r="M73" s="1695"/>
      <c r="N73" s="1695"/>
      <c r="O73" s="1695"/>
      <c r="P73" s="1695"/>
      <c r="Q73" s="1695"/>
      <c r="R73" s="1695"/>
      <c r="S73" s="1695"/>
      <c r="T73" s="1695"/>
      <c r="U73" s="1695"/>
      <c r="V73" s="1695"/>
      <c r="W73" s="1695"/>
      <c r="X73" s="1695"/>
      <c r="Y73" s="1695"/>
      <c r="Z73" s="1695"/>
      <c r="AA73" s="169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5"/>
      <c r="F74" s="1695"/>
      <c r="G74" s="1695"/>
      <c r="H74" s="1695"/>
      <c r="I74" s="1695"/>
      <c r="J74" s="1695"/>
      <c r="K74" s="1695"/>
      <c r="L74" s="1695"/>
      <c r="M74" s="1695"/>
      <c r="N74" s="1695"/>
      <c r="O74" s="1695"/>
      <c r="P74" s="1695"/>
      <c r="Q74" s="1695"/>
      <c r="R74" s="1695"/>
      <c r="S74" s="1695"/>
      <c r="T74" s="1695"/>
      <c r="U74" s="1695"/>
      <c r="V74" s="1695"/>
      <c r="W74" s="1695"/>
      <c r="X74" s="1695"/>
      <c r="Y74" s="1695"/>
      <c r="Z74" s="1695"/>
      <c r="AA74" s="169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7">
        <f>ROUND(IF(ISERROR((AB59/AB71)),0,(AB59/AB71)),0)</f>
        <v>9100000</v>
      </c>
      <c r="AC76" s="1687"/>
      <c r="AD76" s="1687"/>
      <c r="AE76" s="1687"/>
      <c r="AF76" s="168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8">
        <f>IF((Y68+AD68&lt;AB76),Y68+AD68,AB76)</f>
        <v>9100000</v>
      </c>
      <c r="AC77" s="1689"/>
      <c r="AD77" s="1689"/>
      <c r="AE77" s="1689"/>
      <c r="AF77" s="169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1">
        <f>AB77*AB71</f>
        <v>7461253.7090091007</v>
      </c>
      <c r="AC78" s="1691"/>
      <c r="AD78" s="1691"/>
      <c r="AE78" s="1691"/>
      <c r="AF78" s="169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2">
        <f>AB49-(AB57+AB78)</f>
        <v>0.29099089652299881</v>
      </c>
      <c r="AC80" s="1672"/>
      <c r="AD80" s="1672"/>
      <c r="AE80" s="1672"/>
      <c r="AF80" s="167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0" t="s">
        <v>1586</v>
      </c>
      <c r="B83" s="1620"/>
      <c r="C83" s="1620"/>
      <c r="D83" s="1620"/>
      <c r="E83" s="1620"/>
      <c r="F83" s="1620"/>
      <c r="G83" s="1620"/>
      <c r="H83" s="1620"/>
      <c r="I83" s="1620"/>
      <c r="J83" s="1620"/>
      <c r="K83" s="1620"/>
      <c r="L83" s="1620"/>
      <c r="M83" s="1620"/>
      <c r="N83" s="1620"/>
      <c r="O83" s="1620"/>
      <c r="P83" s="1620"/>
      <c r="Q83" s="1620"/>
      <c r="R83" s="1620"/>
      <c r="S83" s="1620"/>
      <c r="T83" s="1620"/>
      <c r="U83" s="1620"/>
      <c r="V83" s="1620"/>
      <c r="W83" s="1620"/>
      <c r="X83" s="1620"/>
      <c r="Y83" s="1620"/>
      <c r="Z83" s="1620"/>
      <c r="AA83" s="1620"/>
      <c r="AB83" s="1620"/>
      <c r="AC83" s="1620"/>
      <c r="AD83" s="1620"/>
      <c r="AE83" s="1620"/>
      <c r="AF83" s="1620"/>
      <c r="AG83" s="1620"/>
      <c r="AH83" s="1620"/>
      <c r="AI83" s="1620"/>
      <c r="AJ83" s="1620"/>
      <c r="AK83" s="1620"/>
      <c r="AL83" s="1620"/>
      <c r="AM83" s="1620"/>
      <c r="AN83" s="1620"/>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1620"/>
      <c r="BR83" s="1620"/>
      <c r="BS83" s="1620"/>
      <c r="BT83" s="1620"/>
      <c r="BU83" s="1620"/>
      <c r="BV83" s="1620"/>
      <c r="BW83" s="1620"/>
      <c r="BX83" s="1620"/>
    </row>
    <row r="84" spans="1:98" ht="13.5" thickTop="1"/>
    <row r="85" spans="1:98" ht="12.75">
      <c r="A85" s="819" t="s">
        <v>642</v>
      </c>
      <c r="C85" s="344" t="s">
        <v>1584</v>
      </c>
    </row>
    <row r="86" spans="1:98" ht="12.75">
      <c r="D86" s="344" t="s">
        <v>1640</v>
      </c>
      <c r="AB86" s="1621">
        <f>IF(A61="$500M State Credit",AB77/(Application!AG424-Application!AG425),"N/A")</f>
        <v>69465.648854961837</v>
      </c>
      <c r="AC86" s="1621"/>
      <c r="AD86" s="1621"/>
      <c r="AE86" s="1621"/>
      <c r="AF86" s="1621"/>
    </row>
    <row r="87" spans="1:98" ht="13.5" thickBot="1">
      <c r="D87" s="344" t="s">
        <v>1641</v>
      </c>
      <c r="AB87" s="1619">
        <f>IF(A61="$500M State Credit",(Application!AG424-Application!AG425)/AB77,"N/A")</f>
        <v>1.4395604395604396E-5</v>
      </c>
      <c r="AC87" s="1619"/>
      <c r="AD87" s="1619"/>
      <c r="AE87" s="1619"/>
      <c r="AF87" s="161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C22" sqref="AC2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2526072</v>
      </c>
      <c r="G4" s="366">
        <f>E4*$C$4</f>
        <v>2589223.7999999998</v>
      </c>
      <c r="I4" s="366">
        <f>G4*$C$4</f>
        <v>2653954.3949999996</v>
      </c>
      <c r="K4" s="366">
        <f>I4*$C$4</f>
        <v>2720303.2548749992</v>
      </c>
      <c r="M4" s="366">
        <f>K4*$C$4</f>
        <v>2788310.8362468737</v>
      </c>
      <c r="O4" s="366">
        <f>M4*$C$4</f>
        <v>2858018.6071530455</v>
      </c>
      <c r="Q4" s="366">
        <f>O4*$C$4</f>
        <v>2929469.0723318714</v>
      </c>
      <c r="S4" s="366">
        <f>Q4*$C$4</f>
        <v>3002705.7991401679</v>
      </c>
      <c r="U4" s="366">
        <f>S4*$C$4</f>
        <v>3077773.4441186721</v>
      </c>
      <c r="W4" s="366">
        <f>U4*$C$4</f>
        <v>3154717.7802216387</v>
      </c>
      <c r="Y4" s="366">
        <f>W4*$C$4</f>
        <v>3233585.7247271794</v>
      </c>
      <c r="AA4" s="366">
        <f>Y4*$C$4</f>
        <v>3314425.3678453588</v>
      </c>
      <c r="AC4" s="366">
        <f>AA4*$C$4</f>
        <v>3397286.0020414926</v>
      </c>
      <c r="AE4" s="366">
        <f>AC4*$C$4</f>
        <v>3482218.1520925295</v>
      </c>
      <c r="AG4" s="366">
        <f>AE4*$C$4</f>
        <v>3569273.6058948422</v>
      </c>
    </row>
    <row r="5" spans="1:34" s="350" customFormat="1" ht="14.25">
      <c r="B5" s="350" t="s">
        <v>924</v>
      </c>
      <c r="C5" s="391">
        <f>IF(Application!$D$210="Special Needs",0.1,0.05)</f>
        <v>0.05</v>
      </c>
      <c r="E5" s="368">
        <f>-E4*$C$5</f>
        <v>-126303.6</v>
      </c>
      <c r="F5" s="368"/>
      <c r="G5" s="368">
        <f>-G4*$C$5</f>
        <v>-129461.19</v>
      </c>
      <c r="H5" s="368"/>
      <c r="I5" s="368">
        <f>-I4*$C$5</f>
        <v>-132697.71974999999</v>
      </c>
      <c r="J5" s="368"/>
      <c r="K5" s="368">
        <f>-K4*$C$5</f>
        <v>-136015.16274374997</v>
      </c>
      <c r="L5" s="368"/>
      <c r="M5" s="368">
        <f>-M4*$C$5</f>
        <v>-139415.5418123437</v>
      </c>
      <c r="N5" s="368"/>
      <c r="O5" s="368">
        <f>-O4*$C$5</f>
        <v>-142900.93035765228</v>
      </c>
      <c r="P5" s="368"/>
      <c r="Q5" s="368">
        <f>-Q4*$C$5</f>
        <v>-146473.45361659359</v>
      </c>
      <c r="R5" s="368"/>
      <c r="S5" s="368">
        <f>-S4*$C$5</f>
        <v>-150135.28995700841</v>
      </c>
      <c r="T5" s="368"/>
      <c r="U5" s="368">
        <f>-U4*$C$5</f>
        <v>-153888.6722059336</v>
      </c>
      <c r="V5" s="368"/>
      <c r="W5" s="368">
        <f>-W4*$C$5</f>
        <v>-157735.88901108195</v>
      </c>
      <c r="X5" s="368"/>
      <c r="Y5" s="368">
        <f>-Y4*$C$5</f>
        <v>-161679.28623635898</v>
      </c>
      <c r="Z5" s="368"/>
      <c r="AA5" s="368">
        <f>-AA4*$C$5</f>
        <v>-165721.26839226796</v>
      </c>
      <c r="AB5" s="368"/>
      <c r="AC5" s="368">
        <f>-AC4*$C$5</f>
        <v>-169864.30010207463</v>
      </c>
      <c r="AD5" s="368"/>
      <c r="AE5" s="368">
        <f>-AE4*$C$5</f>
        <v>-174110.9076046265</v>
      </c>
      <c r="AF5" s="368"/>
      <c r="AG5" s="368">
        <f>-AG4*$C$5</f>
        <v>-178463.68029474211</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19650</v>
      </c>
      <c r="F8" s="369"/>
      <c r="G8" s="369">
        <f>E8*$C$8</f>
        <v>20141.25</v>
      </c>
      <c r="H8" s="369"/>
      <c r="I8" s="369">
        <f>G8*$C$8</f>
        <v>20644.78125</v>
      </c>
      <c r="J8" s="369"/>
      <c r="K8" s="369">
        <f>I8*$C$8</f>
        <v>21160.900781249999</v>
      </c>
      <c r="L8" s="369"/>
      <c r="M8" s="369">
        <f>K8*$C$8</f>
        <v>21689.923300781247</v>
      </c>
      <c r="N8" s="369"/>
      <c r="O8" s="369">
        <f>M8*$C$8</f>
        <v>22232.171383300778</v>
      </c>
      <c r="P8" s="369"/>
      <c r="Q8" s="369">
        <f>O8*$C$8</f>
        <v>22787.975667883296</v>
      </c>
      <c r="R8" s="369"/>
      <c r="S8" s="369">
        <f>Q8*$C$8</f>
        <v>23357.675059580375</v>
      </c>
      <c r="T8" s="369"/>
      <c r="U8" s="369">
        <f>S8*$C$8</f>
        <v>23941.616936069884</v>
      </c>
      <c r="V8" s="369"/>
      <c r="W8" s="369">
        <f>U8*$C$8</f>
        <v>24540.157359471628</v>
      </c>
      <c r="X8" s="369"/>
      <c r="Y8" s="369">
        <f>W8*$C$8</f>
        <v>25153.661293458415</v>
      </c>
      <c r="Z8" s="369"/>
      <c r="AA8" s="369">
        <f>Y8*$C$8</f>
        <v>25782.502825794872</v>
      </c>
      <c r="AB8" s="369"/>
      <c r="AC8" s="369">
        <f>AA8*$C$8</f>
        <v>26427.065396439742</v>
      </c>
      <c r="AD8" s="369"/>
      <c r="AE8" s="369">
        <f>AC8*$C$8</f>
        <v>27087.742031350735</v>
      </c>
      <c r="AF8" s="369"/>
      <c r="AG8" s="369">
        <f>AE8*$C$8</f>
        <v>27764.935582134502</v>
      </c>
    </row>
    <row r="9" spans="1:34" s="350" customFormat="1" ht="14.25">
      <c r="B9" s="350" t="s">
        <v>924</v>
      </c>
      <c r="C9" s="391">
        <f>IF(Application!$D$210="Special Needs",0.1,0.05)</f>
        <v>0.05</v>
      </c>
      <c r="E9" s="388">
        <f>-E8*$C$9</f>
        <v>-982.5</v>
      </c>
      <c r="F9" s="368"/>
      <c r="G9" s="388">
        <f>-G8*$C$9</f>
        <v>-1007.0625</v>
      </c>
      <c r="H9" s="368"/>
      <c r="I9" s="388">
        <f>-I8*$C$9</f>
        <v>-1032.2390625</v>
      </c>
      <c r="J9" s="368"/>
      <c r="K9" s="388">
        <f>-K8*$C$9</f>
        <v>-1058.0450390624999</v>
      </c>
      <c r="L9" s="368"/>
      <c r="M9" s="388">
        <f>-M8*$C$9</f>
        <v>-1084.4961650390624</v>
      </c>
      <c r="N9" s="368"/>
      <c r="O9" s="388">
        <f>-O8*$C$9</f>
        <v>-1111.6085691650389</v>
      </c>
      <c r="P9" s="368"/>
      <c r="Q9" s="388">
        <f>-Q8*$C$9</f>
        <v>-1139.3987833941649</v>
      </c>
      <c r="R9" s="368"/>
      <c r="S9" s="388">
        <f>-S8*$C$9</f>
        <v>-1167.8837529790187</v>
      </c>
      <c r="T9" s="368"/>
      <c r="U9" s="388">
        <f>-U8*$C$9</f>
        <v>-1197.0808468034943</v>
      </c>
      <c r="V9" s="368"/>
      <c r="W9" s="388">
        <f>-W8*$C$9</f>
        <v>-1227.0078679735814</v>
      </c>
      <c r="X9" s="368"/>
      <c r="Y9" s="388">
        <f>-Y8*$C$9</f>
        <v>-1257.6830646729209</v>
      </c>
      <c r="Z9" s="368"/>
      <c r="AA9" s="388">
        <f>-AA8*$C$9</f>
        <v>-1289.1251412897436</v>
      </c>
      <c r="AB9" s="368"/>
      <c r="AC9" s="388">
        <f>-AC8*$C$9</f>
        <v>-1321.3532698219872</v>
      </c>
      <c r="AD9" s="368"/>
      <c r="AE9" s="388">
        <f>-AE8*$C$9</f>
        <v>-1354.3871015675368</v>
      </c>
      <c r="AF9" s="368"/>
      <c r="AG9" s="388">
        <f>-AG8*$C$9</f>
        <v>-1388.2467791067252</v>
      </c>
    </row>
    <row r="10" spans="1:34" s="370" customFormat="1" ht="15">
      <c r="A10" s="370" t="s">
        <v>946</v>
      </c>
      <c r="C10" s="361"/>
      <c r="E10" s="370">
        <f>SUM(E4:E9)</f>
        <v>2418435.9</v>
      </c>
      <c r="G10" s="370">
        <f>SUM(G4:G9)</f>
        <v>2478896.7974999999</v>
      </c>
      <c r="I10" s="370">
        <f>SUM(I4:I9)</f>
        <v>2540869.2174374992</v>
      </c>
      <c r="K10" s="370">
        <f>SUM(K4:K9)</f>
        <v>2604390.9478734368</v>
      </c>
      <c r="M10" s="370">
        <f>SUM(M4:M9)</f>
        <v>2669500.7215702725</v>
      </c>
      <c r="O10" s="370">
        <f>SUM(O4:O9)</f>
        <v>2736238.2396095288</v>
      </c>
      <c r="Q10" s="370">
        <f>SUM(Q4:Q9)</f>
        <v>2804644.1955997669</v>
      </c>
      <c r="S10" s="370">
        <f>SUM(S4:S9)</f>
        <v>2874760.3004897609</v>
      </c>
      <c r="U10" s="370">
        <f>SUM(U4:U9)</f>
        <v>2946629.3080020053</v>
      </c>
      <c r="W10" s="370">
        <f>SUM(W4:W9)</f>
        <v>3020295.0407020547</v>
      </c>
      <c r="Y10" s="370">
        <f>SUM(Y4:Y9)</f>
        <v>3095802.4167196057</v>
      </c>
      <c r="AA10" s="370">
        <f>SUM(AA4:AA9)</f>
        <v>3173197.4771375959</v>
      </c>
      <c r="AC10" s="370">
        <f>SUM(AC4:AC9)</f>
        <v>3252527.4140660358</v>
      </c>
      <c r="AE10" s="370">
        <f>SUM(AE4:AE9)</f>
        <v>3333840.5994176865</v>
      </c>
      <c r="AG10" s="370">
        <f>SUM(AG4:AG9)</f>
        <v>3417186.6144031282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36910</v>
      </c>
      <c r="G14" s="366">
        <f>E14*$C$13</f>
        <v>38201.85</v>
      </c>
      <c r="I14" s="366">
        <f>G14*$C$13</f>
        <v>39538.914749999996</v>
      </c>
      <c r="K14" s="366">
        <f>I14*$C$13</f>
        <v>40922.77676624999</v>
      </c>
      <c r="M14" s="366">
        <f>K14*$C$13</f>
        <v>42355.073953068735</v>
      </c>
      <c r="O14" s="366">
        <f>M14*$C$13</f>
        <v>43837.501541426136</v>
      </c>
      <c r="Q14" s="366">
        <f>O14*$C$13</f>
        <v>45371.814095376045</v>
      </c>
      <c r="S14" s="366">
        <f>Q14*$C$13</f>
        <v>46959.827588714201</v>
      </c>
      <c r="U14" s="366">
        <f>S14*$C$13</f>
        <v>48603.421554319197</v>
      </c>
      <c r="W14" s="366">
        <f>U14*$C$13</f>
        <v>50304.541308720363</v>
      </c>
      <c r="Y14" s="366">
        <f>W14*$C$13</f>
        <v>52065.200254525575</v>
      </c>
      <c r="AA14" s="366">
        <f>Y14*$C$13</f>
        <v>53887.482263433965</v>
      </c>
      <c r="AC14" s="366">
        <f>AA14*$C$13</f>
        <v>55773.544142654151</v>
      </c>
      <c r="AE14" s="366">
        <f>AC14*$C$13</f>
        <v>57725.618187647044</v>
      </c>
      <c r="AG14" s="366">
        <f>AE14*$C$13</f>
        <v>59746.014824214682</v>
      </c>
    </row>
    <row r="15" spans="1:34" s="350" customFormat="1" ht="14.25">
      <c r="A15" s="350" t="s">
        <v>367</v>
      </c>
      <c r="C15" s="380"/>
      <c r="E15" s="369">
        <f>Application!W829</f>
        <v>96000</v>
      </c>
      <c r="F15" s="369"/>
      <c r="G15" s="369">
        <f t="shared" ref="G15:AG20" si="0">E15*$C$13</f>
        <v>99359.999999999985</v>
      </c>
      <c r="H15" s="369"/>
      <c r="I15" s="369">
        <f t="shared" si="0"/>
        <v>102837.59999999998</v>
      </c>
      <c r="J15" s="369"/>
      <c r="K15" s="369">
        <f t="shared" si="0"/>
        <v>106436.91599999997</v>
      </c>
      <c r="L15" s="369"/>
      <c r="M15" s="369">
        <f t="shared" si="0"/>
        <v>110162.20805999996</v>
      </c>
      <c r="N15" s="369"/>
      <c r="O15" s="369">
        <f t="shared" si="0"/>
        <v>114017.88534209995</v>
      </c>
      <c r="P15" s="369"/>
      <c r="Q15" s="369">
        <f t="shared" si="0"/>
        <v>118008.51132907344</v>
      </c>
      <c r="R15" s="369"/>
      <c r="S15" s="369">
        <f t="shared" si="0"/>
        <v>122138.809225591</v>
      </c>
      <c r="T15" s="369"/>
      <c r="U15" s="369">
        <f t="shared" si="0"/>
        <v>126413.66754848667</v>
      </c>
      <c r="V15" s="369"/>
      <c r="W15" s="369">
        <f t="shared" si="0"/>
        <v>130838.1459126837</v>
      </c>
      <c r="X15" s="369"/>
      <c r="Y15" s="369">
        <f t="shared" si="0"/>
        <v>135417.48101962762</v>
      </c>
      <c r="Z15" s="369"/>
      <c r="AA15" s="369">
        <f t="shared" si="0"/>
        <v>140157.09285531458</v>
      </c>
      <c r="AB15" s="369"/>
      <c r="AC15" s="369">
        <f t="shared" si="0"/>
        <v>145062.59110525058</v>
      </c>
      <c r="AD15" s="369"/>
      <c r="AE15" s="369">
        <f t="shared" si="0"/>
        <v>150139.78179393435</v>
      </c>
      <c r="AF15" s="369"/>
      <c r="AG15" s="369">
        <f t="shared" si="0"/>
        <v>155394.67415672203</v>
      </c>
    </row>
    <row r="16" spans="1:34" s="350" customFormat="1" ht="14.25">
      <c r="A16" s="350" t="s">
        <v>609</v>
      </c>
      <c r="C16" s="380"/>
      <c r="E16" s="369">
        <f>Application!W835</f>
        <v>135600</v>
      </c>
      <c r="F16" s="369"/>
      <c r="G16" s="369">
        <f t="shared" si="0"/>
        <v>140346</v>
      </c>
      <c r="H16" s="369"/>
      <c r="I16" s="369">
        <f t="shared" si="0"/>
        <v>145258.10999999999</v>
      </c>
      <c r="J16" s="369"/>
      <c r="K16" s="369">
        <f t="shared" si="0"/>
        <v>150342.14384999996</v>
      </c>
      <c r="L16" s="369"/>
      <c r="M16" s="369">
        <f t="shared" si="0"/>
        <v>155604.11888474994</v>
      </c>
      <c r="N16" s="369"/>
      <c r="O16" s="369">
        <f t="shared" si="0"/>
        <v>161050.26304571619</v>
      </c>
      <c r="P16" s="369"/>
      <c r="Q16" s="369">
        <f t="shared" si="0"/>
        <v>166687.02225231624</v>
      </c>
      <c r="R16" s="369"/>
      <c r="S16" s="369">
        <f t="shared" si="0"/>
        <v>172521.0680311473</v>
      </c>
      <c r="T16" s="369"/>
      <c r="U16" s="369">
        <f t="shared" si="0"/>
        <v>178559.30541223745</v>
      </c>
      <c r="V16" s="369"/>
      <c r="W16" s="369">
        <f t="shared" si="0"/>
        <v>184808.88110166573</v>
      </c>
      <c r="X16" s="369"/>
      <c r="Y16" s="369">
        <f t="shared" si="0"/>
        <v>191277.191940224</v>
      </c>
      <c r="Z16" s="369"/>
      <c r="AA16" s="369">
        <f t="shared" si="0"/>
        <v>197971.89365813183</v>
      </c>
      <c r="AB16" s="369"/>
      <c r="AC16" s="369">
        <f t="shared" si="0"/>
        <v>204900.90993616643</v>
      </c>
      <c r="AD16" s="369"/>
      <c r="AE16" s="369">
        <f t="shared" si="0"/>
        <v>212072.44178393224</v>
      </c>
      <c r="AF16" s="369"/>
      <c r="AG16" s="369">
        <f t="shared" si="0"/>
        <v>219494.97724636985</v>
      </c>
    </row>
    <row r="17" spans="1:33" s="350" customFormat="1" ht="14.25">
      <c r="A17" s="350" t="s">
        <v>928</v>
      </c>
      <c r="C17" s="380"/>
      <c r="E17" s="369">
        <f>Application!W840</f>
        <v>175980</v>
      </c>
      <c r="F17" s="369"/>
      <c r="G17" s="369">
        <f t="shared" si="0"/>
        <v>182139.3</v>
      </c>
      <c r="H17" s="369"/>
      <c r="I17" s="369">
        <f t="shared" si="0"/>
        <v>188514.17549999998</v>
      </c>
      <c r="J17" s="369"/>
      <c r="K17" s="369">
        <f t="shared" si="0"/>
        <v>195112.17164249998</v>
      </c>
      <c r="L17" s="369"/>
      <c r="M17" s="369">
        <f t="shared" si="0"/>
        <v>201941.09764998747</v>
      </c>
      <c r="N17" s="369"/>
      <c r="O17" s="369">
        <f t="shared" si="0"/>
        <v>209009.036067737</v>
      </c>
      <c r="P17" s="369"/>
      <c r="Q17" s="369">
        <f t="shared" si="0"/>
        <v>216324.35233010779</v>
      </c>
      <c r="R17" s="369"/>
      <c r="S17" s="369">
        <f t="shared" si="0"/>
        <v>223895.70466166156</v>
      </c>
      <c r="T17" s="369"/>
      <c r="U17" s="369">
        <f t="shared" si="0"/>
        <v>231732.05432481971</v>
      </c>
      <c r="V17" s="369"/>
      <c r="W17" s="369">
        <f t="shared" si="0"/>
        <v>239842.67622618837</v>
      </c>
      <c r="X17" s="369"/>
      <c r="Y17" s="369">
        <f t="shared" si="0"/>
        <v>248237.16989410494</v>
      </c>
      <c r="Z17" s="369"/>
      <c r="AA17" s="369">
        <f t="shared" si="0"/>
        <v>256925.4708403986</v>
      </c>
      <c r="AB17" s="369"/>
      <c r="AC17" s="369">
        <f t="shared" si="0"/>
        <v>265917.86231981253</v>
      </c>
      <c r="AD17" s="369"/>
      <c r="AE17" s="369">
        <f t="shared" si="0"/>
        <v>275224.98750100593</v>
      </c>
      <c r="AF17" s="369"/>
      <c r="AG17" s="369">
        <f t="shared" si="0"/>
        <v>284857.86206354114</v>
      </c>
    </row>
    <row r="18" spans="1:33" s="350" customFormat="1" ht="14.25">
      <c r="A18" s="350" t="s">
        <v>162</v>
      </c>
      <c r="C18" s="380"/>
      <c r="E18" s="369">
        <f>Application!W841</f>
        <v>40610</v>
      </c>
      <c r="F18" s="369"/>
      <c r="G18" s="369">
        <f t="shared" si="0"/>
        <v>42031.35</v>
      </c>
      <c r="H18" s="369"/>
      <c r="I18" s="369">
        <f t="shared" si="0"/>
        <v>43502.447249999997</v>
      </c>
      <c r="J18" s="369"/>
      <c r="K18" s="369">
        <f t="shared" si="0"/>
        <v>45025.032903749991</v>
      </c>
      <c r="L18" s="369"/>
      <c r="M18" s="369">
        <f t="shared" si="0"/>
        <v>46600.909055381235</v>
      </c>
      <c r="N18" s="369"/>
      <c r="O18" s="369">
        <f t="shared" si="0"/>
        <v>48231.940872319574</v>
      </c>
      <c r="P18" s="369"/>
      <c r="Q18" s="369">
        <f t="shared" si="0"/>
        <v>49920.058802850755</v>
      </c>
      <c r="R18" s="369"/>
      <c r="S18" s="369">
        <f t="shared" si="0"/>
        <v>51667.260860950526</v>
      </c>
      <c r="T18" s="369"/>
      <c r="U18" s="369">
        <f t="shared" si="0"/>
        <v>53475.614991083792</v>
      </c>
      <c r="V18" s="369"/>
      <c r="W18" s="369">
        <f t="shared" si="0"/>
        <v>55347.261515771723</v>
      </c>
      <c r="X18" s="369"/>
      <c r="Y18" s="369">
        <f t="shared" si="0"/>
        <v>57284.415668823727</v>
      </c>
      <c r="Z18" s="369"/>
      <c r="AA18" s="369">
        <f t="shared" si="0"/>
        <v>59289.37021723255</v>
      </c>
      <c r="AB18" s="369"/>
      <c r="AC18" s="369">
        <f t="shared" si="0"/>
        <v>61364.498174835688</v>
      </c>
      <c r="AD18" s="369"/>
      <c r="AE18" s="369">
        <f t="shared" si="0"/>
        <v>63512.255610954933</v>
      </c>
      <c r="AF18" s="369"/>
      <c r="AG18" s="369">
        <f t="shared" si="0"/>
        <v>65735.184557338347</v>
      </c>
    </row>
    <row r="19" spans="1:33" s="350" customFormat="1" ht="14.25">
      <c r="A19" s="350" t="s">
        <v>422</v>
      </c>
      <c r="C19" s="380"/>
      <c r="E19" s="369">
        <f>Application!W850</f>
        <v>237600</v>
      </c>
      <c r="F19" s="369"/>
      <c r="G19" s="369">
        <f t="shared" si="0"/>
        <v>245915.99999999997</v>
      </c>
      <c r="H19" s="369"/>
      <c r="I19" s="369">
        <f t="shared" si="0"/>
        <v>254523.05999999994</v>
      </c>
      <c r="J19" s="369"/>
      <c r="K19" s="369">
        <f t="shared" si="0"/>
        <v>263431.36709999992</v>
      </c>
      <c r="L19" s="369"/>
      <c r="M19" s="369">
        <f t="shared" si="0"/>
        <v>272651.46494849987</v>
      </c>
      <c r="N19" s="369"/>
      <c r="O19" s="369">
        <f t="shared" si="0"/>
        <v>282194.26622169733</v>
      </c>
      <c r="P19" s="369"/>
      <c r="Q19" s="369">
        <f t="shared" si="0"/>
        <v>292071.06553945673</v>
      </c>
      <c r="R19" s="369"/>
      <c r="S19" s="369">
        <f t="shared" si="0"/>
        <v>302293.55283333769</v>
      </c>
      <c r="T19" s="369"/>
      <c r="U19" s="369">
        <f t="shared" si="0"/>
        <v>312873.82718250446</v>
      </c>
      <c r="V19" s="369"/>
      <c r="W19" s="369">
        <f t="shared" si="0"/>
        <v>323824.41113389208</v>
      </c>
      <c r="X19" s="369"/>
      <c r="Y19" s="369">
        <f t="shared" si="0"/>
        <v>335158.26552357827</v>
      </c>
      <c r="Z19" s="369"/>
      <c r="AA19" s="369">
        <f t="shared" si="0"/>
        <v>346888.80481690349</v>
      </c>
      <c r="AB19" s="369"/>
      <c r="AC19" s="369">
        <f t="shared" si="0"/>
        <v>359029.91298549506</v>
      </c>
      <c r="AD19" s="369"/>
      <c r="AE19" s="369">
        <f t="shared" si="0"/>
        <v>371595.95993998734</v>
      </c>
      <c r="AF19" s="369"/>
      <c r="AG19" s="369">
        <f t="shared" si="0"/>
        <v>384601.81853788689</v>
      </c>
    </row>
    <row r="20" spans="1:33" s="350" customFormat="1" ht="14.25">
      <c r="A20" s="373" t="s">
        <v>1797</v>
      </c>
      <c r="B20" s="373"/>
      <c r="C20" s="380"/>
      <c r="E20" s="379">
        <f>Application!W857</f>
        <v>1150</v>
      </c>
      <c r="F20" s="369"/>
      <c r="G20" s="379">
        <f t="shared" si="0"/>
        <v>1190.25</v>
      </c>
      <c r="H20" s="369"/>
      <c r="I20" s="379">
        <f t="shared" si="0"/>
        <v>1231.9087499999998</v>
      </c>
      <c r="J20" s="369"/>
      <c r="K20" s="379">
        <f t="shared" si="0"/>
        <v>1275.0255562499997</v>
      </c>
      <c r="L20" s="369"/>
      <c r="M20" s="379">
        <f t="shared" si="0"/>
        <v>1319.6514507187496</v>
      </c>
      <c r="N20" s="369"/>
      <c r="O20" s="379">
        <f t="shared" si="0"/>
        <v>1365.8392514939057</v>
      </c>
      <c r="P20" s="369"/>
      <c r="Q20" s="379">
        <f t="shared" si="0"/>
        <v>1413.6436252961923</v>
      </c>
      <c r="R20" s="369"/>
      <c r="S20" s="379">
        <f t="shared" si="0"/>
        <v>1463.121152181559</v>
      </c>
      <c r="T20" s="369"/>
      <c r="U20" s="379">
        <f t="shared" si="0"/>
        <v>1514.3303925079133</v>
      </c>
      <c r="V20" s="369"/>
      <c r="W20" s="379">
        <f t="shared" si="0"/>
        <v>1567.3319562456902</v>
      </c>
      <c r="X20" s="369"/>
      <c r="Y20" s="379">
        <f t="shared" si="0"/>
        <v>1622.1885747142892</v>
      </c>
      <c r="Z20" s="369"/>
      <c r="AA20" s="379">
        <f t="shared" si="0"/>
        <v>1678.9651748292893</v>
      </c>
      <c r="AB20" s="369"/>
      <c r="AC20" s="379">
        <f t="shared" si="0"/>
        <v>1737.7289559483143</v>
      </c>
      <c r="AD20" s="369"/>
      <c r="AE20" s="379">
        <f t="shared" si="0"/>
        <v>1798.5494694065051</v>
      </c>
      <c r="AF20" s="369"/>
      <c r="AG20" s="379">
        <f t="shared" si="0"/>
        <v>1861.4987008357325</v>
      </c>
    </row>
    <row r="21" spans="1:33" s="370" customFormat="1" ht="15">
      <c r="A21" s="370" t="s">
        <v>929</v>
      </c>
      <c r="C21" s="380"/>
      <c r="E21" s="370">
        <f>SUM(E14:E20)</f>
        <v>723850</v>
      </c>
      <c r="G21" s="370">
        <f>SUM(G14:G20)</f>
        <v>749184.74999999988</v>
      </c>
      <c r="I21" s="370">
        <f>SUM(I14:I20)</f>
        <v>775406.21624999982</v>
      </c>
      <c r="K21" s="370">
        <f>SUM(K14:K20)</f>
        <v>802545.43381874985</v>
      </c>
      <c r="M21" s="370">
        <f>SUM(M14:M20)</f>
        <v>830634.52400240581</v>
      </c>
      <c r="O21" s="370">
        <f>SUM(O14:O20)</f>
        <v>859706.73234249011</v>
      </c>
      <c r="Q21" s="370">
        <f>SUM(Q14:Q20)</f>
        <v>889796.46797447721</v>
      </c>
      <c r="S21" s="370">
        <f>SUM(S14:S20)</f>
        <v>920939.34435358387</v>
      </c>
      <c r="U21" s="370">
        <f>SUM(U14:U20)</f>
        <v>953172.22140595922</v>
      </c>
      <c r="W21" s="370">
        <f>SUM(W14:W20)</f>
        <v>986533.24915516772</v>
      </c>
      <c r="Y21" s="370">
        <f>SUM(Y14:Y20)</f>
        <v>1021061.9128755984</v>
      </c>
      <c r="AA21" s="370">
        <f>SUM(AA14:AA20)</f>
        <v>1056799.0798262444</v>
      </c>
      <c r="AC21" s="370">
        <f>SUM(AC14:AC20)</f>
        <v>1093787.0476201628</v>
      </c>
      <c r="AE21" s="370">
        <f>SUM(AE14:AE20)</f>
        <v>1132069.5942868683</v>
      </c>
      <c r="AG21" s="370">
        <f>SUM(AG14:AG20)</f>
        <v>1171692.0300869087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32750</v>
      </c>
      <c r="F25" s="369"/>
      <c r="G25" s="369">
        <f>$E$25</f>
        <v>32750</v>
      </c>
      <c r="H25" s="369"/>
      <c r="I25" s="369">
        <f>$E$25</f>
        <v>32750</v>
      </c>
      <c r="J25" s="369"/>
      <c r="K25" s="369">
        <f>$E$25</f>
        <v>32750</v>
      </c>
      <c r="L25" s="369"/>
      <c r="M25" s="369">
        <f>$E$25</f>
        <v>32750</v>
      </c>
      <c r="N25" s="369"/>
      <c r="O25" s="369">
        <f>$E$25</f>
        <v>32750</v>
      </c>
      <c r="P25" s="369"/>
      <c r="Q25" s="369">
        <f>$E$25</f>
        <v>32750</v>
      </c>
      <c r="R25" s="369"/>
      <c r="S25" s="369">
        <f>$E$25</f>
        <v>32750</v>
      </c>
      <c r="T25" s="369"/>
      <c r="U25" s="369">
        <f>$E$25</f>
        <v>32750</v>
      </c>
      <c r="V25" s="369"/>
      <c r="W25" s="369">
        <f>$E$25</f>
        <v>32750</v>
      </c>
      <c r="X25" s="369"/>
      <c r="Y25" s="369">
        <f>$E$25</f>
        <v>32750</v>
      </c>
      <c r="Z25" s="369"/>
      <c r="AA25" s="369">
        <f>$E$25</f>
        <v>32750</v>
      </c>
      <c r="AB25" s="369"/>
      <c r="AC25" s="369">
        <f>$E$25</f>
        <v>32750</v>
      </c>
      <c r="AD25" s="369"/>
      <c r="AE25" s="369">
        <f>$E$25</f>
        <v>32750</v>
      </c>
      <c r="AF25" s="369"/>
      <c r="AG25" s="369">
        <f>$E$25</f>
        <v>32750</v>
      </c>
    </row>
    <row r="26" spans="1:33" s="350" customFormat="1" ht="14.25">
      <c r="A26" s="350" t="s">
        <v>930</v>
      </c>
      <c r="C26" s="390">
        <v>1.02</v>
      </c>
      <c r="E26" s="369">
        <f>Application!AC868</f>
        <v>18900</v>
      </c>
      <c r="F26" s="369"/>
      <c r="G26" s="369">
        <f>E26*$C$26</f>
        <v>19278</v>
      </c>
      <c r="H26" s="369"/>
      <c r="I26" s="369">
        <f>G26*$C$26</f>
        <v>19663.560000000001</v>
      </c>
      <c r="J26" s="369"/>
      <c r="K26" s="369">
        <f>I26*$C$26</f>
        <v>20056.831200000001</v>
      </c>
      <c r="L26" s="369"/>
      <c r="M26" s="369">
        <f>K26*$C$26</f>
        <v>20457.967823999999</v>
      </c>
      <c r="N26" s="369"/>
      <c r="O26" s="369">
        <f>M26*$C$26</f>
        <v>20867.127180479998</v>
      </c>
      <c r="P26" s="369"/>
      <c r="Q26" s="369">
        <f>O26*$C$26</f>
        <v>21284.469724089598</v>
      </c>
      <c r="R26" s="369"/>
      <c r="S26" s="369">
        <f>Q26*$C$26</f>
        <v>21710.159118571391</v>
      </c>
      <c r="T26" s="369"/>
      <c r="U26" s="369">
        <f>S26*$C$26</f>
        <v>22144.362300942819</v>
      </c>
      <c r="V26" s="369"/>
      <c r="W26" s="369">
        <f>U26*$C$26</f>
        <v>22587.249546961677</v>
      </c>
      <c r="X26" s="369"/>
      <c r="Y26" s="369">
        <f>W26*$C$26</f>
        <v>23038.994537900911</v>
      </c>
      <c r="Z26" s="369"/>
      <c r="AA26" s="369">
        <f>Y26*$C$26</f>
        <v>23499.77442865893</v>
      </c>
      <c r="AB26" s="369"/>
      <c r="AC26" s="369">
        <f>AA26*$C$26</f>
        <v>23969.769917232108</v>
      </c>
      <c r="AD26" s="369"/>
      <c r="AE26" s="369">
        <f>AC26*$C$26</f>
        <v>24449.165315576749</v>
      </c>
      <c r="AF26" s="369"/>
      <c r="AG26" s="369">
        <f>AE26*$C$26</f>
        <v>24938.148621888286</v>
      </c>
    </row>
    <row r="27" spans="1:33" s="350" customFormat="1" ht="14.25">
      <c r="A27" s="373" t="str">
        <f>Application!E869</f>
        <v>Annual Issuer / Trustee Fees</v>
      </c>
      <c r="B27" s="373"/>
      <c r="C27" s="509">
        <v>1.0349999999999999</v>
      </c>
      <c r="E27" s="369">
        <f>Application!AC869</f>
        <v>10500</v>
      </c>
      <c r="F27" s="369"/>
      <c r="G27" s="369">
        <f>E27*$C$27</f>
        <v>10867.5</v>
      </c>
      <c r="H27" s="369"/>
      <c r="I27" s="369">
        <f>G27*$C$27</f>
        <v>11247.862499999999</v>
      </c>
      <c r="J27" s="369"/>
      <c r="K27" s="369">
        <f>I27*$C$27</f>
        <v>11641.537687499998</v>
      </c>
      <c r="L27" s="369"/>
      <c r="M27" s="369">
        <f>K27*$C$27</f>
        <v>12048.991506562497</v>
      </c>
      <c r="N27" s="369"/>
      <c r="O27" s="369">
        <f>M27*$C$27</f>
        <v>12470.706209292184</v>
      </c>
      <c r="P27" s="369"/>
      <c r="Q27" s="369">
        <f>O27*$C$27</f>
        <v>12907.18092661741</v>
      </c>
      <c r="R27" s="369"/>
      <c r="S27" s="369">
        <f>Q27*$C$27</f>
        <v>13358.932259049017</v>
      </c>
      <c r="T27" s="369"/>
      <c r="U27" s="369">
        <f>S27*$C$27</f>
        <v>13826.494888115732</v>
      </c>
      <c r="V27" s="369"/>
      <c r="W27" s="369">
        <f>U27*$C$27</f>
        <v>14310.422209199782</v>
      </c>
      <c r="X27" s="369"/>
      <c r="Y27" s="369">
        <f>W27*$C$27</f>
        <v>14811.286986521773</v>
      </c>
      <c r="Z27" s="369"/>
      <c r="AA27" s="369">
        <f>Y27*$C$27</f>
        <v>15329.682031050033</v>
      </c>
      <c r="AB27" s="369"/>
      <c r="AC27" s="369">
        <f>AA27*$C$27</f>
        <v>15866.220902136783</v>
      </c>
      <c r="AD27" s="369"/>
      <c r="AE27" s="369">
        <f>AC27*$C$27</f>
        <v>16421.538633711571</v>
      </c>
      <c r="AF27" s="369"/>
      <c r="AG27" s="369">
        <f>AE27*$C$27</f>
        <v>16996.292485891474</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786000</v>
      </c>
      <c r="G30" s="370">
        <f>SUM(G21:G28)</f>
        <v>812080.24999999988</v>
      </c>
      <c r="I30" s="370">
        <f>SUM(I21:I28)</f>
        <v>839067.63874999993</v>
      </c>
      <c r="K30" s="370">
        <f>SUM(K21:K28)</f>
        <v>866993.80270624987</v>
      </c>
      <c r="M30" s="370">
        <f>SUM(M21:M28)</f>
        <v>895891.48333296832</v>
      </c>
      <c r="O30" s="370">
        <f>SUM(O21:O28)</f>
        <v>925794.56573226233</v>
      </c>
      <c r="Q30" s="370">
        <f>SUM(Q21:Q28)</f>
        <v>956738.11862518429</v>
      </c>
      <c r="S30" s="370">
        <f>SUM(S21:S28)</f>
        <v>988758.43573120434</v>
      </c>
      <c r="U30" s="370">
        <f>SUM(U21:U28)</f>
        <v>1021893.0785950178</v>
      </c>
      <c r="W30" s="370">
        <f>SUM(W21:W28)</f>
        <v>1056180.9209113291</v>
      </c>
      <c r="Y30" s="370">
        <f>SUM(Y21:Y28)</f>
        <v>1091662.1944000209</v>
      </c>
      <c r="AA30" s="370">
        <f>SUM(AA21:AA28)</f>
        <v>1128378.5362859534</v>
      </c>
      <c r="AC30" s="370">
        <f>SUM(AC21:AC28)</f>
        <v>1166373.0384395318</v>
      </c>
      <c r="AE30" s="370">
        <f>SUM(AE21:AE28)</f>
        <v>1205690.2982361568</v>
      </c>
      <c r="AG30" s="370">
        <f>SUM(AG21:AG28)</f>
        <v>1246376.4711946885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1632435.9</v>
      </c>
      <c r="G32" s="370">
        <f>G10-G30</f>
        <v>1666816.5474999999</v>
      </c>
      <c r="I32" s="370">
        <f>I10-I30</f>
        <v>1701801.5786874993</v>
      </c>
      <c r="K32" s="370">
        <f>K10-K30</f>
        <v>1737397.1451671869</v>
      </c>
      <c r="M32" s="370">
        <f>M10-M30</f>
        <v>1773609.2382373041</v>
      </c>
      <c r="O32" s="370">
        <f>O10-O30</f>
        <v>1810443.6738772665</v>
      </c>
      <c r="Q32" s="370">
        <f>Q10-Q30</f>
        <v>1847906.0769745826</v>
      </c>
      <c r="S32" s="370">
        <f>S10-S30</f>
        <v>1886001.8647585567</v>
      </c>
      <c r="U32" s="370">
        <f>U10-U30</f>
        <v>1924736.2294069875</v>
      </c>
      <c r="W32" s="370">
        <f>W10-W30</f>
        <v>1964114.1197907256</v>
      </c>
      <c r="Y32" s="370">
        <f>Y10-Y30</f>
        <v>2004140.2223195848</v>
      </c>
      <c r="AA32" s="370">
        <f>AA10-AA30</f>
        <v>2044818.9408516425</v>
      </c>
      <c r="AC32" s="370">
        <f>AC10-AC30</f>
        <v>2086154.375626504</v>
      </c>
      <c r="AE32" s="370">
        <f>AE10-AE30</f>
        <v>2128150.3011815296</v>
      </c>
      <c r="AG32" s="370">
        <f>AG10-AG30</f>
        <v>2170810.1432084395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T.E. Bonds (Series A)</v>
      </c>
      <c r="B35" s="373"/>
      <c r="C35" s="367"/>
      <c r="E35" s="369">
        <f>Application!AB618</f>
        <v>1388580</v>
      </c>
      <c r="F35" s="369"/>
      <c r="G35" s="369">
        <f>$E$35</f>
        <v>1388580</v>
      </c>
      <c r="H35" s="369"/>
      <c r="I35" s="369">
        <f>$E$35</f>
        <v>1388580</v>
      </c>
      <c r="J35" s="369"/>
      <c r="K35" s="369">
        <f>$E$35</f>
        <v>1388580</v>
      </c>
      <c r="L35" s="369"/>
      <c r="M35" s="369">
        <f>$E$35</f>
        <v>1388580</v>
      </c>
      <c r="N35" s="369"/>
      <c r="O35" s="369">
        <f>$E$35</f>
        <v>1388580</v>
      </c>
      <c r="P35" s="369"/>
      <c r="Q35" s="369">
        <f>$E$35</f>
        <v>1388580</v>
      </c>
      <c r="R35" s="369"/>
      <c r="S35" s="369">
        <f>$E$35</f>
        <v>1388580</v>
      </c>
      <c r="T35" s="369"/>
      <c r="U35" s="369">
        <f>$E$35</f>
        <v>1388580</v>
      </c>
      <c r="V35" s="369"/>
      <c r="W35" s="369">
        <f>$E$35</f>
        <v>1388580</v>
      </c>
      <c r="X35" s="369"/>
      <c r="Y35" s="369">
        <f>$E$35</f>
        <v>1388580</v>
      </c>
      <c r="Z35" s="369"/>
      <c r="AA35" s="369">
        <f>$E$35</f>
        <v>1388580</v>
      </c>
      <c r="AB35" s="369"/>
      <c r="AC35" s="369">
        <f>$E$35</f>
        <v>1388580</v>
      </c>
      <c r="AD35" s="369"/>
      <c r="AE35" s="369">
        <f>$E$35</f>
        <v>1388580</v>
      </c>
      <c r="AF35" s="369"/>
      <c r="AG35" s="369">
        <f>$E$35</f>
        <v>1388580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1388580</v>
      </c>
      <c r="G38" s="370">
        <f>SUM(G35:G37)</f>
        <v>1388580</v>
      </c>
      <c r="I38" s="370">
        <f>SUM(I35:I37)</f>
        <v>1388580</v>
      </c>
      <c r="K38" s="370">
        <f>SUM(K35:K37)</f>
        <v>1388580</v>
      </c>
      <c r="M38" s="370">
        <f>SUM(M35:M37)</f>
        <v>1388580</v>
      </c>
      <c r="O38" s="370">
        <f>SUM(O35:O37)</f>
        <v>1388580</v>
      </c>
      <c r="Q38" s="370">
        <f>SUM(Q35:Q37)</f>
        <v>1388580</v>
      </c>
      <c r="S38" s="370">
        <f>SUM(S35:S37)</f>
        <v>1388580</v>
      </c>
      <c r="U38" s="370">
        <f>SUM(U35:U37)</f>
        <v>1388580</v>
      </c>
      <c r="W38" s="370">
        <f>SUM(W35:W37)</f>
        <v>1388580</v>
      </c>
      <c r="Y38" s="370">
        <f>SUM(Y35:Y37)</f>
        <v>1388580</v>
      </c>
      <c r="AA38" s="370">
        <f>SUM(AA35:AA37)</f>
        <v>1388580</v>
      </c>
      <c r="AC38" s="370">
        <f>SUM(AC35:AC37)</f>
        <v>1388580</v>
      </c>
      <c r="AE38" s="370">
        <f>SUM(AE35:AE37)</f>
        <v>1388580</v>
      </c>
      <c r="AG38" s="370">
        <f>SUM(AG35:AG37)</f>
        <v>1388580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243855.89999999991</v>
      </c>
      <c r="G40" s="370">
        <f>G32-G38</f>
        <v>278236.54749999987</v>
      </c>
      <c r="I40" s="370">
        <f>I32-I38</f>
        <v>313221.57868749928</v>
      </c>
      <c r="K40" s="370">
        <f>K32-K38</f>
        <v>348817.14516718686</v>
      </c>
      <c r="M40" s="370">
        <f>M32-M38</f>
        <v>385029.23823730415</v>
      </c>
      <c r="O40" s="370">
        <f>O32-O38</f>
        <v>421863.67387726647</v>
      </c>
      <c r="Q40" s="370">
        <f>Q32-Q38</f>
        <v>459326.07697458263</v>
      </c>
      <c r="S40" s="370">
        <f>S32-S38</f>
        <v>497421.86475855671</v>
      </c>
      <c r="U40" s="370">
        <f>U32-U38</f>
        <v>536156.22940698755</v>
      </c>
      <c r="W40" s="370">
        <f>W32-W38</f>
        <v>575534.11979072564</v>
      </c>
      <c r="Y40" s="370">
        <f>Y32-Y38</f>
        <v>615560.22231958481</v>
      </c>
      <c r="AA40" s="370">
        <f>AA32-AA38</f>
        <v>656238.94085164252</v>
      </c>
      <c r="AC40" s="370">
        <f>AC32-AC38</f>
        <v>697574.37562650396</v>
      </c>
      <c r="AE40" s="370">
        <f>AE32-AE38</f>
        <v>739570.30118152965</v>
      </c>
      <c r="AG40" s="370">
        <f>AG32-AG38</f>
        <v>782230.14320843946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9.5790467301614196E-2</v>
      </c>
      <c r="G42" s="374">
        <f>G40/(G4+G6+G8)</f>
        <v>0.10662998168845708</v>
      </c>
      <c r="I42" s="374">
        <f>I40/(I4+I6+I8)</f>
        <v>0.11710972674666745</v>
      </c>
      <c r="K42" s="374">
        <f>K40/(K4+K6+K8)</f>
        <v>0.12723753635352103</v>
      </c>
      <c r="M42" s="374">
        <f>M40/(M4+M6+M8)</f>
        <v>0.13702104418622468</v>
      </c>
      <c r="O42" s="374">
        <f>O40/(O4+O6+O8)</f>
        <v>0.14646768851552727</v>
      </c>
      <c r="Q42" s="374">
        <f>Q40/(Q4+Q6+Q8)</f>
        <v>0.15558471688154332</v>
      </c>
      <c r="S42" s="374">
        <f>S40/(S4+S6+S8)</f>
        <v>0.16437919065465123</v>
      </c>
      <c r="U42" s="374">
        <f>U40/(U4+U6+U8)</f>
        <v>0.1728579894842652</v>
      </c>
      <c r="W42" s="374">
        <f>W40/(W4+W6+W8)</f>
        <v>0.18102781563820267</v>
      </c>
      <c r="Y42" s="374">
        <f>Y40/(Y4+Y6+Y8)</f>
        <v>0.18889519823531126</v>
      </c>
      <c r="AA42" s="374">
        <f>AA40/(AA4+AA6+AA8)</f>
        <v>0.19646649737394437</v>
      </c>
      <c r="AC42" s="374">
        <f>AC40/(AC4+AC6+AC8)</f>
        <v>0.20374790815882241</v>
      </c>
      <c r="AE42" s="374">
        <f>AE40/(AE4+AE6+AE8)</f>
        <v>0.21074546462874474</v>
      </c>
      <c r="AG42" s="374">
        <f>AG40/(AG4+AG6+AG8)</f>
        <v>0.2174650435875643</v>
      </c>
    </row>
    <row r="43" spans="1:35" s="374" customFormat="1" ht="14.25">
      <c r="A43" s="374" t="s">
        <v>938</v>
      </c>
      <c r="C43" s="367"/>
      <c r="E43" s="374">
        <f>E40/E38</f>
        <v>0.1756153048437972</v>
      </c>
      <c r="G43" s="374">
        <f>G40/G38</f>
        <v>0.20037487757277209</v>
      </c>
      <c r="I43" s="374">
        <f>I40/I38</f>
        <v>0.22556970335702609</v>
      </c>
      <c r="K43" s="374">
        <f>K40/K38</f>
        <v>0.25120421233719831</v>
      </c>
      <c r="M43" s="374">
        <f>M40/M38</f>
        <v>0.27728271920761077</v>
      </c>
      <c r="O43" s="374">
        <f>O40/O38</f>
        <v>0.30380941240495074</v>
      </c>
      <c r="Q43" s="374">
        <f>Q40/Q38</f>
        <v>0.33078834274912688</v>
      </c>
      <c r="S43" s="374">
        <f>S40/S38</f>
        <v>0.35822341151288128</v>
      </c>
      <c r="U43" s="374">
        <f>U40/U38</f>
        <v>0.38611835789582705</v>
      </c>
      <c r="W43" s="374">
        <f>W40/W38</f>
        <v>0.41447674587760563</v>
      </c>
      <c r="Y43" s="374">
        <f>Y40/Y38</f>
        <v>0.44330195042387532</v>
      </c>
      <c r="AA43" s="374">
        <f>AA40/AA38</f>
        <v>0.47259714301778977</v>
      </c>
      <c r="AC43" s="374">
        <f>AC40/AC38</f>
        <v>0.50236527648857388</v>
      </c>
      <c r="AE43" s="374">
        <f>AE40/AE38</f>
        <v>0.53260906910767092</v>
      </c>
      <c r="AG43" s="374">
        <f>AG40/AG38</f>
        <v>0.56333098792179026</v>
      </c>
    </row>
    <row r="44" spans="1:35" s="375" customFormat="1" ht="14.25">
      <c r="A44" s="375" t="s">
        <v>936</v>
      </c>
      <c r="C44" s="376"/>
      <c r="E44" s="375">
        <f>E32/E38</f>
        <v>1.1756153048437972</v>
      </c>
      <c r="G44" s="375">
        <f>G32/G38</f>
        <v>1.2003748775727721</v>
      </c>
      <c r="I44" s="375">
        <f>I32/I38</f>
        <v>1.2255697033570261</v>
      </c>
      <c r="K44" s="375">
        <f>K32/K38</f>
        <v>1.2512042123371983</v>
      </c>
      <c r="M44" s="375">
        <f>M32/M38</f>
        <v>1.2772827192076108</v>
      </c>
      <c r="O44" s="375">
        <f>O32/O38</f>
        <v>1.3038094124049506</v>
      </c>
      <c r="Q44" s="375">
        <f>Q32/Q38</f>
        <v>1.3307883427491269</v>
      </c>
      <c r="S44" s="375">
        <f>S32/S38</f>
        <v>1.3582234115128813</v>
      </c>
      <c r="U44" s="375">
        <f>U32/U38</f>
        <v>1.3861183578958272</v>
      </c>
      <c r="W44" s="375">
        <f>W32/W38</f>
        <v>1.4144767458776057</v>
      </c>
      <c r="Y44" s="375">
        <f>Y32/Y38</f>
        <v>1.4433019504238753</v>
      </c>
      <c r="AA44" s="375">
        <f>AA32/AA38</f>
        <v>1.4725971430177898</v>
      </c>
      <c r="AC44" s="375">
        <f>AC32/AC38</f>
        <v>1.502365276488574</v>
      </c>
      <c r="AE44" s="375">
        <f>AE32/AE38</f>
        <v>1.5326090691076708</v>
      </c>
      <c r="AG44" s="375">
        <f>AG32/AG38</f>
        <v>1.5633309879217903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13100</v>
      </c>
      <c r="G47" s="255">
        <v>13100</v>
      </c>
      <c r="I47" s="255">
        <v>13100</v>
      </c>
      <c r="K47" s="255">
        <v>13100</v>
      </c>
      <c r="M47" s="255">
        <v>13100</v>
      </c>
      <c r="O47" s="255">
        <v>13100</v>
      </c>
      <c r="Q47" s="255">
        <v>13100</v>
      </c>
      <c r="S47" s="255">
        <v>13100</v>
      </c>
      <c r="U47" s="255">
        <v>13100</v>
      </c>
      <c r="W47" s="255">
        <v>13100</v>
      </c>
      <c r="Y47" s="255">
        <v>13100</v>
      </c>
      <c r="AA47" s="255">
        <v>13100</v>
      </c>
      <c r="AC47" s="255">
        <v>13100</v>
      </c>
      <c r="AE47" s="255">
        <v>13100</v>
      </c>
      <c r="AG47" s="255">
        <v>13100</v>
      </c>
    </row>
    <row r="48" spans="1:35" s="152" customFormat="1">
      <c r="A48" s="152" t="s">
        <v>941</v>
      </c>
      <c r="C48" s="394"/>
      <c r="E48" s="384">
        <v>5000</v>
      </c>
      <c r="F48" s="363"/>
      <c r="G48" s="956">
        <v>5000</v>
      </c>
      <c r="H48" s="363"/>
      <c r="I48" s="956">
        <v>5000</v>
      </c>
      <c r="J48" s="363"/>
      <c r="K48" s="956">
        <v>5000</v>
      </c>
      <c r="L48" s="363"/>
      <c r="M48" s="956">
        <v>5000</v>
      </c>
      <c r="N48" s="363"/>
      <c r="O48" s="956">
        <v>5000</v>
      </c>
      <c r="P48" s="363"/>
      <c r="Q48" s="956">
        <v>5000</v>
      </c>
      <c r="R48" s="363"/>
      <c r="S48" s="956">
        <v>5000</v>
      </c>
      <c r="T48" s="363"/>
      <c r="U48" s="956">
        <v>5000</v>
      </c>
      <c r="V48" s="363"/>
      <c r="W48" s="956">
        <v>5000</v>
      </c>
      <c r="X48" s="363"/>
      <c r="Y48" s="956">
        <v>5000</v>
      </c>
      <c r="Z48" s="363"/>
      <c r="AA48" s="956">
        <v>5000</v>
      </c>
      <c r="AB48" s="363"/>
      <c r="AC48" s="956">
        <v>5000</v>
      </c>
      <c r="AD48" s="363"/>
      <c r="AE48" s="956">
        <v>5000</v>
      </c>
      <c r="AF48" s="363"/>
      <c r="AG48" s="956">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18100</v>
      </c>
      <c r="F52" s="363"/>
      <c r="G52" s="363">
        <f>SUM(G47:G51)</f>
        <v>18100</v>
      </c>
      <c r="H52" s="363"/>
      <c r="I52" s="363">
        <f>SUM(I47:I51)</f>
        <v>18100</v>
      </c>
      <c r="J52" s="363"/>
      <c r="K52" s="363">
        <f>SUM(K47:K51)</f>
        <v>18100</v>
      </c>
      <c r="L52" s="363"/>
      <c r="M52" s="363">
        <f>SUM(M47:M51)</f>
        <v>18100</v>
      </c>
      <c r="N52" s="363"/>
      <c r="O52" s="363">
        <f>SUM(O47:O51)</f>
        <v>18100</v>
      </c>
      <c r="P52" s="363"/>
      <c r="Q52" s="363">
        <f>SUM(Q47:Q51)</f>
        <v>18100</v>
      </c>
      <c r="R52" s="363"/>
      <c r="S52" s="363">
        <f>SUM(S47:S51)</f>
        <v>18100</v>
      </c>
      <c r="T52" s="363"/>
      <c r="U52" s="363">
        <f>SUM(U47:U51)</f>
        <v>18100</v>
      </c>
      <c r="V52" s="363"/>
      <c r="W52" s="363">
        <f>SUM(W47:W51)</f>
        <v>18100</v>
      </c>
      <c r="X52" s="363"/>
      <c r="Y52" s="363">
        <f>SUM(Y47:Y51)</f>
        <v>18100</v>
      </c>
      <c r="Z52" s="363"/>
      <c r="AA52" s="363">
        <f>SUM(AA47:AA51)</f>
        <v>18100</v>
      </c>
      <c r="AB52" s="363"/>
      <c r="AC52" s="363">
        <f>SUM(AC47:AC51)</f>
        <v>18100</v>
      </c>
      <c r="AD52" s="363"/>
      <c r="AE52" s="363">
        <f>SUM(AE47:AE51)</f>
        <v>18100</v>
      </c>
      <c r="AF52" s="363"/>
      <c r="AG52" s="363">
        <f>SUM(AG47:AG51)</f>
        <v>18100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225755.89999999991</v>
      </c>
      <c r="G54" s="255">
        <f>G40-G52</f>
        <v>260136.54749999987</v>
      </c>
      <c r="I54" s="255">
        <f>I40-I52</f>
        <v>295121.57868749928</v>
      </c>
      <c r="K54" s="255">
        <f>K40-K52</f>
        <v>330717.14516718686</v>
      </c>
      <c r="M54" s="255">
        <f>M40-M52</f>
        <v>366929.23823730415</v>
      </c>
      <c r="O54" s="255">
        <f>O40-O52</f>
        <v>403763.67387726647</v>
      </c>
      <c r="Q54" s="255">
        <f>Q40-Q52</f>
        <v>441226.07697458263</v>
      </c>
      <c r="S54" s="255">
        <f>S40-S52</f>
        <v>479321.86475855671</v>
      </c>
      <c r="U54" s="255">
        <f>U40-U52</f>
        <v>518056.22940698755</v>
      </c>
      <c r="W54" s="255">
        <f>W40-W52</f>
        <v>557434.11979072564</v>
      </c>
      <c r="Y54" s="255">
        <f>Y40-Y52</f>
        <v>597460.22231958481</v>
      </c>
      <c r="AA54" s="255">
        <f>AA40-AA52</f>
        <v>638138.94085164252</v>
      </c>
      <c r="AC54" s="255">
        <f>AC40-AC52</f>
        <v>679474.37562650396</v>
      </c>
      <c r="AE54" s="255">
        <f>AE40-AE52</f>
        <v>721470.30118152965</v>
      </c>
      <c r="AG54" s="255">
        <f>AG40-AG52</f>
        <v>764130.14320843946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E54*0.25</f>
        <v>56438.974999999977</v>
      </c>
      <c r="G56" s="383">
        <f>G54*0.25</f>
        <v>65034.136874999967</v>
      </c>
      <c r="I56" s="383">
        <f>I54*0.25</f>
        <v>73780.394671874819</v>
      </c>
      <c r="K56" s="383">
        <f>K54*0.25</f>
        <v>82679.286291796714</v>
      </c>
      <c r="M56" s="383">
        <f>M54*0.25</f>
        <v>91732.309559326037</v>
      </c>
      <c r="O56" s="383">
        <f>O54*0.25</f>
        <v>100940.91846931662</v>
      </c>
      <c r="Q56" s="383">
        <f>Q54*0.25</f>
        <v>110306.51924364566</v>
      </c>
      <c r="S56" s="383">
        <f>S54*0.25</f>
        <v>119830.46618963918</v>
      </c>
      <c r="U56" s="383">
        <f>U54*0.25</f>
        <v>129514.05735174689</v>
      </c>
      <c r="W56" s="383">
        <f>W54*0.25</f>
        <v>139358.52994768141</v>
      </c>
      <c r="Y56" s="255">
        <f>Y54*0.25</f>
        <v>149365.0555798962</v>
      </c>
      <c r="AA56" s="255">
        <f>AA54*0.25</f>
        <v>159534.73521291063</v>
      </c>
      <c r="AC56" s="255">
        <f>AC54*0.25</f>
        <v>169868.59390662599</v>
      </c>
      <c r="AE56" s="255">
        <f>AE54*0.25</f>
        <v>180367.57529538241</v>
      </c>
      <c r="AG56" s="255">
        <f>AG54*0.25</f>
        <v>191032.53580210987</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1762</v>
      </c>
      <c r="B59" s="383"/>
      <c r="C59" s="381"/>
      <c r="E59" s="383">
        <f>E54*0.75</f>
        <v>169316.92499999993</v>
      </c>
      <c r="G59" s="383">
        <f>G54*0.75</f>
        <v>195102.4106249999</v>
      </c>
      <c r="I59" s="383">
        <f>I54*0.75</f>
        <v>221341.18401562446</v>
      </c>
      <c r="K59" s="383">
        <f>K54*0.75</f>
        <v>248037.85887539014</v>
      </c>
      <c r="M59" s="383">
        <f>M54*0.75</f>
        <v>275196.92867797811</v>
      </c>
      <c r="O59" s="383">
        <f>O54*0.75</f>
        <v>302822.75540794985</v>
      </c>
      <c r="Q59" s="383">
        <f>Q54*0.75</f>
        <v>330919.55773093697</v>
      </c>
      <c r="S59" s="383">
        <f>S54*0.75</f>
        <v>359491.39856891753</v>
      </c>
      <c r="U59" s="383">
        <f>U54*0.75</f>
        <v>388542.17205524066</v>
      </c>
      <c r="W59" s="383">
        <f>W54*0.75</f>
        <v>418075.58984304423</v>
      </c>
      <c r="Y59" s="383">
        <f>Y54*0.75</f>
        <v>448095.1667396886</v>
      </c>
      <c r="AA59" s="383">
        <f>AA54*0.75</f>
        <v>478604.20563873189</v>
      </c>
      <c r="AC59" s="383">
        <f>AC54*0.75</f>
        <v>509605.78171987797</v>
      </c>
      <c r="AE59" s="383">
        <f>AE54*0.75</f>
        <v>541102.72588614724</v>
      </c>
      <c r="AG59" s="383">
        <f>AG54*0.75</f>
        <v>573097.6074063296</v>
      </c>
    </row>
    <row r="60" spans="1:35" s="363" customFormat="1">
      <c r="A60" s="958" t="s">
        <v>1758</v>
      </c>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6" t="s">
        <v>950</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2020-01-10T16:51:43Z</cp:lastPrinted>
  <dcterms:created xsi:type="dcterms:W3CDTF">2007-12-27T18:26:28Z</dcterms:created>
  <dcterms:modified xsi:type="dcterms:W3CDTF">2020-01-23T17:57:51Z</dcterms:modified>
</cp:coreProperties>
</file>