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19440" windowHeight="1500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300" iterateDelta="1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0" i="7" l="1"/>
  <c r="E5" i="8"/>
  <c r="G48" i="7"/>
  <c r="I48" i="7"/>
  <c r="K48" i="7"/>
  <c r="M48" i="7"/>
  <c r="O48" i="7"/>
  <c r="Q48" i="7"/>
  <c r="S48" i="7"/>
  <c r="U48" i="7"/>
  <c r="W48" i="7"/>
  <c r="Y48" i="7"/>
  <c r="AA48" i="7"/>
  <c r="AC48" i="7"/>
  <c r="AE48" i="7"/>
  <c r="AG48" i="7"/>
  <c r="G47" i="7"/>
  <c r="I47" i="7"/>
  <c r="K47" i="7"/>
  <c r="M47" i="7"/>
  <c r="O47" i="7"/>
  <c r="Q47" i="7"/>
  <c r="S47" i="7"/>
  <c r="U47" i="7"/>
  <c r="W47" i="7"/>
  <c r="Y47" i="7"/>
  <c r="AA47" i="7"/>
  <c r="AC47" i="7"/>
  <c r="AE47" i="7"/>
  <c r="AG47" i="7"/>
  <c r="S98" i="4"/>
  <c r="S92" i="4"/>
  <c r="S91" i="4"/>
  <c r="S89" i="4"/>
  <c r="S86" i="4"/>
  <c r="S82" i="4"/>
  <c r="S83" i="4"/>
  <c r="S81" i="4"/>
  <c r="S77" i="4"/>
  <c r="S76" i="4"/>
  <c r="S66" i="4"/>
  <c r="S50" i="4"/>
  <c r="S48" i="4"/>
  <c r="S41" i="4"/>
  <c r="S38" i="4"/>
  <c r="S13" i="4"/>
  <c r="S35" i="4"/>
  <c r="S34" i="4"/>
  <c r="S33" i="4"/>
  <c r="S30" i="4"/>
  <c r="S28" i="4"/>
  <c r="S29" i="4"/>
  <c r="G7" i="4"/>
  <c r="F7" i="4"/>
  <c r="D31" i="4"/>
  <c r="D32" i="4"/>
  <c r="C31" i="4"/>
  <c r="C32" i="4"/>
  <c r="S32" i="4"/>
  <c r="W839" i="3"/>
  <c r="AG620" i="3"/>
  <c r="C620" i="3"/>
  <c r="P619" i="3"/>
  <c r="P618" i="3"/>
  <c r="S31" i="4"/>
  <c r="AG429" i="3"/>
  <c r="AG433" i="3"/>
  <c r="T477" i="3"/>
  <c r="AG430" i="3"/>
  <c r="A3" i="15"/>
  <c r="AN929" i="3"/>
  <c r="AD64" i="15"/>
  <c r="A61" i="15"/>
  <c r="AD67" i="15"/>
  <c r="Y67" i="15"/>
  <c r="T11" i="4"/>
  <c r="T25" i="15"/>
  <c r="AI7" i="15"/>
  <c r="AG428" i="3"/>
  <c r="AG431" i="3"/>
  <c r="B58" i="4"/>
  <c r="C77" i="11"/>
  <c r="C78" i="11"/>
  <c r="C79" i="11"/>
  <c r="B77" i="11"/>
  <c r="D77" i="11"/>
  <c r="B78" i="11"/>
  <c r="D78" i="11"/>
  <c r="I95" i="13"/>
  <c r="J95" i="13"/>
  <c r="J78" i="13"/>
  <c r="I78" i="13"/>
  <c r="G78" i="13"/>
  <c r="F78" i="13"/>
  <c r="D78" i="13"/>
  <c r="C78" i="13"/>
  <c r="H77" i="13"/>
  <c r="E77" i="13"/>
  <c r="B77" i="13"/>
  <c r="S67" i="4"/>
  <c r="E67" i="13"/>
  <c r="D78" i="4"/>
  <c r="F78" i="4"/>
  <c r="G78" i="4"/>
  <c r="H78" i="4"/>
  <c r="I78" i="4"/>
  <c r="J78" i="4"/>
  <c r="K78" i="4"/>
  <c r="L78" i="4"/>
  <c r="M78" i="4"/>
  <c r="N78" i="4"/>
  <c r="O78" i="4"/>
  <c r="P78" i="4"/>
  <c r="Q78" i="4"/>
  <c r="S78" i="4"/>
  <c r="T78" i="4"/>
  <c r="H78" i="13"/>
  <c r="C78" i="4"/>
  <c r="B77" i="4"/>
  <c r="E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c r="J96" i="13"/>
  <c r="J105" i="13"/>
  <c r="J107" i="13"/>
  <c r="I40" i="13"/>
  <c r="G40" i="13"/>
  <c r="F40" i="13"/>
  <c r="F25" i="13"/>
  <c r="F63" i="13"/>
  <c r="F96" i="13"/>
  <c r="F105" i="13"/>
  <c r="F107" i="13"/>
  <c r="F36" i="13"/>
  <c r="D40" i="13"/>
  <c r="C40" i="13"/>
  <c r="J36" i="13"/>
  <c r="I36" i="13"/>
  <c r="G36" i="13"/>
  <c r="D36" i="13"/>
  <c r="C36" i="13"/>
  <c r="J25" i="13"/>
  <c r="I25" i="13"/>
  <c r="I11" i="13"/>
  <c r="I63" i="13"/>
  <c r="I96" i="13"/>
  <c r="I105" i="13"/>
  <c r="I107" i="13"/>
  <c r="G25" i="13"/>
  <c r="G63" i="13"/>
  <c r="G96" i="13"/>
  <c r="D25" i="13"/>
  <c r="C25" i="13"/>
  <c r="J11" i="13"/>
  <c r="D11" i="13"/>
  <c r="C11" i="13"/>
  <c r="C63" i="13"/>
  <c r="C96" i="13"/>
  <c r="C105" i="13"/>
  <c r="C8" i="13"/>
  <c r="D8" i="13"/>
  <c r="T104" i="4"/>
  <c r="H104" i="13"/>
  <c r="R103" i="4"/>
  <c r="R102" i="4"/>
  <c r="R101" i="4"/>
  <c r="R100" i="4"/>
  <c r="R99" i="4"/>
  <c r="R69" i="4"/>
  <c r="R70" i="4"/>
  <c r="R71" i="4"/>
  <c r="R61" i="4"/>
  <c r="R60" i="4"/>
  <c r="R59" i="4"/>
  <c r="R58" i="4"/>
  <c r="R56" i="4"/>
  <c r="R55" i="4"/>
  <c r="R26" i="4"/>
  <c r="R24" i="4"/>
  <c r="R23" i="4"/>
  <c r="R22" i="4"/>
  <c r="R21" i="4"/>
  <c r="R20" i="4"/>
  <c r="R19" i="4"/>
  <c r="R18" i="4"/>
  <c r="R17" i="4"/>
  <c r="R15" i="4"/>
  <c r="R14" i="4"/>
  <c r="R9" i="4"/>
  <c r="R6" i="4"/>
  <c r="R4" i="4"/>
  <c r="AD991" i="3"/>
  <c r="B5" i="11"/>
  <c r="C5" i="11"/>
  <c r="B6" i="11"/>
  <c r="C6" i="11"/>
  <c r="B7" i="11"/>
  <c r="C7" i="11"/>
  <c r="C8" i="11"/>
  <c r="C9" i="11"/>
  <c r="B8" i="11"/>
  <c r="D8" i="11"/>
  <c r="B10" i="11"/>
  <c r="B11" i="11"/>
  <c r="C10" i="11"/>
  <c r="C11" i="11"/>
  <c r="B14" i="11"/>
  <c r="C14" i="11"/>
  <c r="B15" i="11"/>
  <c r="C15" i="11"/>
  <c r="D15" i="11"/>
  <c r="B16" i="11"/>
  <c r="C16" i="11"/>
  <c r="B18" i="11"/>
  <c r="C18" i="11"/>
  <c r="B19" i="11"/>
  <c r="C19" i="11"/>
  <c r="B20" i="11"/>
  <c r="C20" i="11"/>
  <c r="B21" i="11"/>
  <c r="C21" i="11"/>
  <c r="B22" i="11"/>
  <c r="C22" i="11"/>
  <c r="B23" i="11"/>
  <c r="D23" i="11"/>
  <c r="C23" i="11"/>
  <c r="B24" i="11"/>
  <c r="C24" i="11"/>
  <c r="D24" i="11"/>
  <c r="B25" i="11"/>
  <c r="C25" i="11"/>
  <c r="D25" i="11"/>
  <c r="B27" i="11"/>
  <c r="C27" i="11"/>
  <c r="B29" i="11"/>
  <c r="B30" i="11"/>
  <c r="B31" i="11"/>
  <c r="B32" i="11"/>
  <c r="B33" i="11"/>
  <c r="B34" i="11"/>
  <c r="B35" i="11"/>
  <c r="B36" i="11"/>
  <c r="C29" i="11"/>
  <c r="D29" i="11"/>
  <c r="C30" i="11"/>
  <c r="D30" i="11"/>
  <c r="C31" i="11"/>
  <c r="D31" i="11"/>
  <c r="C32" i="11"/>
  <c r="C33" i="11"/>
  <c r="D33" i="11"/>
  <c r="C34" i="11"/>
  <c r="D34" i="11"/>
  <c r="C35" i="11"/>
  <c r="D35" i="11"/>
  <c r="C36" i="11"/>
  <c r="D36" i="11"/>
  <c r="B39" i="11"/>
  <c r="B41" i="11"/>
  <c r="C39" i="11"/>
  <c r="C40" i="11"/>
  <c r="D40" i="11"/>
  <c r="B40" i="11"/>
  <c r="B42" i="11"/>
  <c r="C42" i="11"/>
  <c r="B44" i="11"/>
  <c r="C44" i="11"/>
  <c r="B45" i="11"/>
  <c r="C45" i="11"/>
  <c r="D45" i="11"/>
  <c r="B46" i="11"/>
  <c r="B47" i="11"/>
  <c r="B48" i="11"/>
  <c r="B49" i="11"/>
  <c r="B50" i="11"/>
  <c r="B51" i="11"/>
  <c r="B52" i="11"/>
  <c r="B53" i="11"/>
  <c r="C46" i="11"/>
  <c r="C47" i="11"/>
  <c r="C48" i="11"/>
  <c r="C49" i="11"/>
  <c r="C50" i="11"/>
  <c r="D50" i="11"/>
  <c r="C51" i="11"/>
  <c r="D51" i="11"/>
  <c r="C52" i="11"/>
  <c r="D52" i="11"/>
  <c r="C53" i="11"/>
  <c r="B56" i="11"/>
  <c r="D56" i="11"/>
  <c r="C56" i="11"/>
  <c r="B57" i="11"/>
  <c r="C57" i="11"/>
  <c r="B58" i="11"/>
  <c r="C58" i="11"/>
  <c r="B59" i="11"/>
  <c r="C59" i="11"/>
  <c r="D59" i="11"/>
  <c r="B60" i="11"/>
  <c r="C60" i="11"/>
  <c r="B61" i="11"/>
  <c r="C61" i="11"/>
  <c r="D61" i="11"/>
  <c r="B62" i="11"/>
  <c r="C62" i="11"/>
  <c r="B66" i="11"/>
  <c r="B67" i="11"/>
  <c r="C66" i="11"/>
  <c r="D66" i="11"/>
  <c r="C67" i="11"/>
  <c r="B70" i="11"/>
  <c r="C70" i="11"/>
  <c r="B71" i="11"/>
  <c r="C71" i="11"/>
  <c r="B72" i="11"/>
  <c r="C72" i="11"/>
  <c r="B73" i="11"/>
  <c r="C73" i="11"/>
  <c r="B74" i="11"/>
  <c r="C74" i="11"/>
  <c r="D74" i="11"/>
  <c r="B81" i="11"/>
  <c r="C81" i="11"/>
  <c r="B82" i="11"/>
  <c r="C82" i="11"/>
  <c r="C83" i="11"/>
  <c r="C84" i="11"/>
  <c r="C85" i="11"/>
  <c r="C86" i="11"/>
  <c r="C87" i="11"/>
  <c r="D87" i="11"/>
  <c r="C88" i="11"/>
  <c r="C89" i="11"/>
  <c r="C90" i="11"/>
  <c r="C91" i="11"/>
  <c r="C92" i="11"/>
  <c r="C93" i="11"/>
  <c r="C94" i="11"/>
  <c r="C95" i="11"/>
  <c r="B83" i="11"/>
  <c r="B84" i="11"/>
  <c r="D84" i="11"/>
  <c r="B85" i="11"/>
  <c r="B86" i="11"/>
  <c r="D86" i="11"/>
  <c r="B87" i="11"/>
  <c r="B88" i="11"/>
  <c r="D88" i="11"/>
  <c r="B89" i="11"/>
  <c r="B90" i="11"/>
  <c r="B91" i="11"/>
  <c r="D91" i="11"/>
  <c r="B92" i="11"/>
  <c r="B93" i="11"/>
  <c r="B94" i="11"/>
  <c r="D94" i="11"/>
  <c r="B95" i="11"/>
  <c r="B99" i="11"/>
  <c r="D99" i="11"/>
  <c r="C99" i="11"/>
  <c r="B100" i="11"/>
  <c r="B101" i="11"/>
  <c r="B102" i="11"/>
  <c r="B103" i="11"/>
  <c r="D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5" i="3"/>
  <c r="AQ879"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B62" i="13"/>
  <c r="C74" i="4"/>
  <c r="B74" i="4"/>
  <c r="C95" i="4"/>
  <c r="B95" i="13"/>
  <c r="C104" i="4"/>
  <c r="B104" i="13"/>
  <c r="D8" i="4"/>
  <c r="D12" i="4"/>
  <c r="D11" i="4"/>
  <c r="D25" i="4"/>
  <c r="D36" i="4"/>
  <c r="D40" i="4"/>
  <c r="B40" i="4"/>
  <c r="D53" i="4"/>
  <c r="D62"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E5" i="4"/>
  <c r="R5" i="4"/>
  <c r="B6" i="4"/>
  <c r="B7" i="4"/>
  <c r="E7" i="4"/>
  <c r="R7" i="4"/>
  <c r="E8" i="4"/>
  <c r="F8" i="4"/>
  <c r="G8" i="4"/>
  <c r="G11" i="4"/>
  <c r="H8" i="4"/>
  <c r="H12" i="4"/>
  <c r="H11" i="4"/>
  <c r="I8" i="4"/>
  <c r="I11" i="4"/>
  <c r="I12" i="4"/>
  <c r="J8" i="4"/>
  <c r="J63" i="4"/>
  <c r="J96" i="4"/>
  <c r="J105" i="4"/>
  <c r="J11" i="4"/>
  <c r="J25" i="4"/>
  <c r="J36" i="4"/>
  <c r="J40" i="4"/>
  <c r="J53" i="4"/>
  <c r="J62" i="4"/>
  <c r="J67" i="4"/>
  <c r="J74" i="4"/>
  <c r="J95" i="4"/>
  <c r="J104" i="4"/>
  <c r="K8" i="4"/>
  <c r="K12" i="4"/>
  <c r="K11" i="4"/>
  <c r="L8" i="4"/>
  <c r="L11" i="4"/>
  <c r="L12" i="4"/>
  <c r="M8" i="4"/>
  <c r="M12" i="4"/>
  <c r="M11" i="4"/>
  <c r="N8" i="4"/>
  <c r="O8" i="4"/>
  <c r="O12" i="4"/>
  <c r="Q8" i="4"/>
  <c r="Q11" i="4"/>
  <c r="B9" i="4"/>
  <c r="B10" i="4"/>
  <c r="E10" i="4"/>
  <c r="R10" i="4"/>
  <c r="R11" i="4"/>
  <c r="E11" i="4"/>
  <c r="F11" i="4"/>
  <c r="F25" i="4"/>
  <c r="F40" i="4"/>
  <c r="F53" i="4"/>
  <c r="F62" i="4"/>
  <c r="N11" i="4"/>
  <c r="N12" i="4"/>
  <c r="O11" i="4"/>
  <c r="B13" i="4"/>
  <c r="E13" i="4"/>
  <c r="R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c r="N96" i="4"/>
  <c r="N105" i="4"/>
  <c r="N36" i="4"/>
  <c r="N40" i="4"/>
  <c r="N53" i="4"/>
  <c r="N62" i="4"/>
  <c r="N67" i="4"/>
  <c r="N74" i="4"/>
  <c r="N95" i="4"/>
  <c r="N104" i="4"/>
  <c r="O25" i="4"/>
  <c r="P25" i="4"/>
  <c r="Q25" i="4"/>
  <c r="B26" i="4"/>
  <c r="B28" i="4"/>
  <c r="H28" i="4"/>
  <c r="E28" i="4"/>
  <c r="R28" i="4"/>
  <c r="B29" i="4"/>
  <c r="B30" i="4"/>
  <c r="H30" i="4"/>
  <c r="E30" i="4"/>
  <c r="R30" i="4"/>
  <c r="B31" i="4"/>
  <c r="H31" i="4"/>
  <c r="E31" i="4"/>
  <c r="R31" i="4"/>
  <c r="B32" i="4"/>
  <c r="H32" i="4"/>
  <c r="E32" i="4"/>
  <c r="R32" i="4"/>
  <c r="B33" i="4"/>
  <c r="E33" i="4"/>
  <c r="R33" i="4"/>
  <c r="B34" i="4"/>
  <c r="H34" i="4"/>
  <c r="E34" i="4"/>
  <c r="R34" i="4"/>
  <c r="B35" i="4"/>
  <c r="K36" i="4"/>
  <c r="L36" i="4"/>
  <c r="O36" i="4"/>
  <c r="P36" i="4"/>
  <c r="P40" i="4"/>
  <c r="P53" i="4"/>
  <c r="P62" i="4"/>
  <c r="P67" i="4"/>
  <c r="P74" i="4"/>
  <c r="P95" i="4"/>
  <c r="P104" i="4"/>
  <c r="Q36" i="4"/>
  <c r="B38" i="4"/>
  <c r="E38" i="4"/>
  <c r="R38" i="4"/>
  <c r="B39" i="4"/>
  <c r="E39" i="4"/>
  <c r="E40" i="4"/>
  <c r="G40" i="4"/>
  <c r="H40" i="4"/>
  <c r="K40" i="4"/>
  <c r="L40" i="4"/>
  <c r="O40" i="4"/>
  <c r="Q40" i="4"/>
  <c r="B41" i="4"/>
  <c r="E41" i="4"/>
  <c r="R41" i="4"/>
  <c r="B43" i="4"/>
  <c r="E43" i="4"/>
  <c r="R43" i="4"/>
  <c r="B44" i="4"/>
  <c r="E44" i="4"/>
  <c r="R44" i="4"/>
  <c r="B45" i="4"/>
  <c r="E45" i="4"/>
  <c r="R45" i="4"/>
  <c r="B46" i="4"/>
  <c r="E46" i="4"/>
  <c r="R46" i="4"/>
  <c r="B47" i="4"/>
  <c r="E47" i="4"/>
  <c r="R47" i="4"/>
  <c r="B48" i="4"/>
  <c r="E48" i="4"/>
  <c r="R48" i="4"/>
  <c r="B49" i="4"/>
  <c r="E49" i="4"/>
  <c r="R49" i="4"/>
  <c r="B50" i="4"/>
  <c r="E50" i="4"/>
  <c r="R50" i="4"/>
  <c r="B51" i="4"/>
  <c r="E51" i="4"/>
  <c r="R51" i="4"/>
  <c r="B52" i="4"/>
  <c r="E52" i="4"/>
  <c r="R52" i="4"/>
  <c r="G53" i="4"/>
  <c r="H53" i="4"/>
  <c r="K53" i="4"/>
  <c r="L53" i="4"/>
  <c r="O53" i="4"/>
  <c r="Q53" i="4"/>
  <c r="B55" i="4"/>
  <c r="B56" i="4"/>
  <c r="B57" i="4"/>
  <c r="E57" i="4"/>
  <c r="R57" i="4"/>
  <c r="B59" i="4"/>
  <c r="B60" i="4"/>
  <c r="B61" i="4"/>
  <c r="G62" i="4"/>
  <c r="H62" i="4"/>
  <c r="K62" i="4"/>
  <c r="L62" i="4"/>
  <c r="O62" i="4"/>
  <c r="O67" i="4"/>
  <c r="O74" i="4"/>
  <c r="O95" i="4"/>
  <c r="O104" i="4"/>
  <c r="Q62" i="4"/>
  <c r="B65" i="4"/>
  <c r="E65" i="4"/>
  <c r="R65" i="4"/>
  <c r="B66" i="4"/>
  <c r="E66" i="4"/>
  <c r="R66" i="4"/>
  <c r="F67" i="4"/>
  <c r="G67" i="4"/>
  <c r="H67" i="4"/>
  <c r="I67" i="4"/>
  <c r="K67" i="4"/>
  <c r="L67" i="4"/>
  <c r="Q67" i="4"/>
  <c r="B69" i="4"/>
  <c r="B70" i="4"/>
  <c r="B71" i="4"/>
  <c r="B72" i="4"/>
  <c r="B73" i="4"/>
  <c r="E73" i="4"/>
  <c r="R73" i="4"/>
  <c r="F74" i="4"/>
  <c r="G74" i="4"/>
  <c r="H74" i="4"/>
  <c r="I74" i="4"/>
  <c r="K74" i="4"/>
  <c r="L74" i="4"/>
  <c r="Q74" i="4"/>
  <c r="B76" i="4"/>
  <c r="E76" i="4"/>
  <c r="R76" i="4"/>
  <c r="B80" i="4"/>
  <c r="E80" i="4"/>
  <c r="R80" i="4"/>
  <c r="B81" i="4"/>
  <c r="E81" i="4"/>
  <c r="R81" i="4"/>
  <c r="B82" i="4"/>
  <c r="E82" i="4"/>
  <c r="R82" i="4"/>
  <c r="B83" i="4"/>
  <c r="E83" i="4"/>
  <c r="R83" i="4"/>
  <c r="B84" i="4"/>
  <c r="E84" i="4"/>
  <c r="R84" i="4"/>
  <c r="B85" i="4"/>
  <c r="E85" i="4"/>
  <c r="R85" i="4"/>
  <c r="B86" i="4"/>
  <c r="E86" i="4"/>
  <c r="R86" i="4"/>
  <c r="B87" i="4"/>
  <c r="E87" i="4"/>
  <c r="R87" i="4"/>
  <c r="B88" i="4"/>
  <c r="E88" i="4"/>
  <c r="R88" i="4"/>
  <c r="B89" i="4"/>
  <c r="E89" i="4"/>
  <c r="R89" i="4"/>
  <c r="B90" i="4"/>
  <c r="E90" i="4"/>
  <c r="R90" i="4"/>
  <c r="B91" i="4"/>
  <c r="E91" i="4"/>
  <c r="R91" i="4"/>
  <c r="B92" i="4"/>
  <c r="E92" i="4"/>
  <c r="R92" i="4"/>
  <c r="B93" i="4"/>
  <c r="E93" i="4"/>
  <c r="R93" i="4"/>
  <c r="B94" i="4"/>
  <c r="E94" i="4"/>
  <c r="R94" i="4"/>
  <c r="F95" i="4"/>
  <c r="G95" i="4"/>
  <c r="H95" i="4"/>
  <c r="I95" i="4"/>
  <c r="K95" i="4"/>
  <c r="L95" i="4"/>
  <c r="Q95" i="4"/>
  <c r="B98" i="4"/>
  <c r="E98" i="4"/>
  <c r="R98" i="4"/>
  <c r="B99" i="4"/>
  <c r="B100" i="4"/>
  <c r="B101" i="4"/>
  <c r="B102" i="4"/>
  <c r="B103" i="4"/>
  <c r="F104" i="4"/>
  <c r="G104" i="4"/>
  <c r="H104" i="4"/>
  <c r="I104" i="4"/>
  <c r="K104" i="4"/>
  <c r="L104" i="4"/>
  <c r="Q104" i="4"/>
  <c r="E108" i="4"/>
  <c r="F108" i="4"/>
  <c r="F29" i="4"/>
  <c r="F36" i="4"/>
  <c r="G108" i="4"/>
  <c r="G29" i="4"/>
  <c r="G36"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 i="11"/>
  <c r="D32" i="11"/>
  <c r="D71" i="11"/>
  <c r="D102" i="11"/>
  <c r="D60" i="11"/>
  <c r="D10" i="11"/>
  <c r="D101" i="11"/>
  <c r="D90" i="11"/>
  <c r="B75" i="11"/>
  <c r="D57" i="11"/>
  <c r="AG432" i="3"/>
  <c r="AI27" i="15"/>
  <c r="B63" i="11"/>
  <c r="D100" i="11"/>
  <c r="D7" i="11"/>
  <c r="D46" i="11"/>
  <c r="D20" i="11"/>
  <c r="D5" i="11"/>
  <c r="D14" i="11"/>
  <c r="B11" i="4"/>
  <c r="B11" i="13"/>
  <c r="Q12" i="4"/>
  <c r="B36" i="4"/>
  <c r="D85" i="11"/>
  <c r="D70" i="11"/>
  <c r="D19" i="11"/>
  <c r="H35" i="4"/>
  <c r="E35" i="4"/>
  <c r="R35" i="4"/>
  <c r="D73" i="11"/>
  <c r="R39" i="4"/>
  <c r="D63" i="13"/>
  <c r="D96" i="13"/>
  <c r="D105" i="13"/>
  <c r="G105" i="13"/>
  <c r="G107" i="13"/>
  <c r="D83" i="11"/>
  <c r="D27" i="11"/>
  <c r="C12" i="11"/>
  <c r="C12" i="13"/>
  <c r="H29" i="4"/>
  <c r="P63" i="4"/>
  <c r="P96" i="4"/>
  <c r="P105" i="4"/>
  <c r="G12" i="4"/>
  <c r="D47" i="11"/>
  <c r="E62" i="4"/>
  <c r="O63" i="4"/>
  <c r="O96" i="4"/>
  <c r="O105" i="4"/>
  <c r="D89" i="11"/>
  <c r="D72" i="11"/>
  <c r="D16" i="11"/>
  <c r="B12" i="11"/>
  <c r="D81" i="11"/>
  <c r="D62" i="11"/>
  <c r="B9" i="11"/>
  <c r="J12" i="4"/>
  <c r="M63" i="4"/>
  <c r="M96" i="4"/>
  <c r="M105" i="4"/>
  <c r="E78" i="4"/>
  <c r="C105" i="11"/>
  <c r="C41" i="11"/>
  <c r="D41" i="11"/>
  <c r="B36" i="13"/>
  <c r="D67" i="11"/>
  <c r="D63" i="4"/>
  <c r="D96" i="4"/>
  <c r="D105" i="4"/>
  <c r="C75" i="11"/>
  <c r="D75" i="11"/>
  <c r="E53" i="4"/>
  <c r="E72" i="4"/>
  <c r="R72" i="4"/>
  <c r="R74" i="4"/>
  <c r="AC864" i="3"/>
  <c r="B74" i="13"/>
  <c r="E95" i="4"/>
  <c r="E104" i="4"/>
  <c r="F63" i="4"/>
  <c r="F96" i="4"/>
  <c r="F105" i="4"/>
  <c r="E29" i="4"/>
  <c r="R29" i="4"/>
  <c r="R36" i="4"/>
  <c r="H36" i="4"/>
  <c r="H63" i="4"/>
  <c r="H96" i="4"/>
  <c r="H105" i="4"/>
  <c r="AB48" i="15"/>
  <c r="B67" i="4"/>
  <c r="B78" i="4"/>
  <c r="R77" i="4"/>
  <c r="R78" i="4"/>
  <c r="R67" i="4"/>
  <c r="E67" i="4"/>
  <c r="F12" i="4"/>
  <c r="R8" i="4"/>
  <c r="R12" i="4"/>
  <c r="R53" i="4"/>
  <c r="G63" i="4"/>
  <c r="G96" i="4"/>
  <c r="G105" i="4"/>
  <c r="R40" i="4"/>
  <c r="R62" i="4"/>
  <c r="D49" i="11"/>
  <c r="C68" i="11"/>
  <c r="D58" i="11"/>
  <c r="C54" i="11"/>
  <c r="D53" i="11"/>
  <c r="B62" i="4"/>
  <c r="B68" i="11"/>
  <c r="B54" i="11"/>
  <c r="D48" i="11"/>
  <c r="D42" i="11"/>
  <c r="D93" i="11"/>
  <c r="D82" i="11"/>
  <c r="B37" i="11"/>
  <c r="D21" i="11"/>
  <c r="D18" i="11"/>
  <c r="D9" i="11"/>
  <c r="R104" i="4"/>
  <c r="B53" i="4"/>
  <c r="B25" i="4"/>
  <c r="B63" i="4"/>
  <c r="K63" i="4"/>
  <c r="K96" i="4"/>
  <c r="K105" i="4"/>
  <c r="D44" i="11"/>
  <c r="C96" i="11"/>
  <c r="D22" i="11"/>
  <c r="R25" i="4"/>
  <c r="B78" i="13"/>
  <c r="C13" i="11"/>
  <c r="B12" i="4"/>
  <c r="B26" i="11"/>
  <c r="R95" i="4"/>
  <c r="B79" i="11"/>
  <c r="D79" i="11"/>
  <c r="C37" i="11"/>
  <c r="C63" i="11"/>
  <c r="D63" i="11"/>
  <c r="Q63" i="4"/>
  <c r="Q96" i="4"/>
  <c r="Q105" i="4"/>
  <c r="D12" i="13"/>
  <c r="L63" i="4"/>
  <c r="L96" i="4"/>
  <c r="L105" i="4"/>
  <c r="B104" i="4"/>
  <c r="I63" i="4"/>
  <c r="I96" i="4"/>
  <c r="I105" i="4"/>
  <c r="S63" i="4"/>
  <c r="E63" i="13"/>
  <c r="M38" i="7"/>
  <c r="B105" i="11"/>
  <c r="D95" i="11"/>
  <c r="U35" i="7"/>
  <c r="U38" i="7"/>
  <c r="S35" i="7"/>
  <c r="S38" i="7"/>
  <c r="E38" i="7"/>
  <c r="I35" i="7"/>
  <c r="I38" i="7"/>
  <c r="K35" i="7"/>
  <c r="K38" i="7"/>
  <c r="W35" i="7"/>
  <c r="W38" i="7"/>
  <c r="Y35" i="7"/>
  <c r="Y38" i="7"/>
  <c r="AD7" i="15"/>
  <c r="C63" i="4"/>
  <c r="C96" i="4"/>
  <c r="C26" i="11"/>
  <c r="D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D105" i="11"/>
  <c r="E12" i="4"/>
  <c r="B96" i="11"/>
  <c r="B95" i="4"/>
  <c r="T63" i="4"/>
  <c r="T96" i="4"/>
  <c r="D11" i="11"/>
  <c r="B13" i="11"/>
  <c r="D12" i="11"/>
  <c r="C12" i="4"/>
  <c r="B12" i="13"/>
  <c r="B64" i="11"/>
  <c r="B97" i="11"/>
  <c r="B106" i="11"/>
  <c r="D37" i="11"/>
  <c r="R63" i="4"/>
  <c r="R96" i="4"/>
  <c r="R105" i="4"/>
  <c r="E74" i="4"/>
  <c r="E36" i="4"/>
  <c r="E63" i="4"/>
  <c r="Z789" i="3"/>
  <c r="E6" i="7"/>
  <c r="M922" i="3"/>
  <c r="M923" i="3"/>
  <c r="S96" i="4"/>
  <c r="E96" i="13"/>
  <c r="D54" i="11"/>
  <c r="D68" i="11"/>
  <c r="D96" i="11"/>
  <c r="D13" i="11"/>
  <c r="BK635" i="3"/>
  <c r="V949" i="3"/>
  <c r="AD949" i="3"/>
  <c r="Y780" i="3"/>
  <c r="B63" i="13"/>
  <c r="C64" i="11"/>
  <c r="D64" i="11"/>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H63" i="13"/>
  <c r="T105" i="4"/>
  <c r="H96" i="13"/>
  <c r="B96" i="13"/>
  <c r="C105" i="4"/>
  <c r="B96" i="4"/>
  <c r="E96" i="4"/>
  <c r="E105" i="4"/>
  <c r="S105" i="4"/>
  <c r="S107" i="4"/>
  <c r="E107" i="13"/>
  <c r="Y11" i="15"/>
  <c r="Y23" i="15"/>
  <c r="Y26" i="15"/>
  <c r="Y28" i="15"/>
  <c r="AU675" i="3"/>
  <c r="C97" i="11"/>
  <c r="D97" i="11"/>
  <c r="Z798" i="3"/>
  <c r="V951" i="3"/>
  <c r="AD951" i="3"/>
  <c r="AD953" i="3"/>
  <c r="AD988" i="3"/>
  <c r="E10" i="7"/>
  <c r="E32" i="7"/>
  <c r="E40" i="7"/>
  <c r="G4" i="7"/>
  <c r="G5" i="7"/>
  <c r="AV650" i="3"/>
  <c r="AV675" i="3"/>
  <c r="AD734" i="3"/>
  <c r="M21" i="7"/>
  <c r="M30" i="7"/>
  <c r="O14" i="7"/>
  <c r="M8" i="7"/>
  <c r="K9" i="7"/>
  <c r="G7" i="7"/>
  <c r="I6" i="7"/>
  <c r="T107" i="4"/>
  <c r="H107" i="13"/>
  <c r="H105" i="13"/>
  <c r="AC442" i="3"/>
  <c r="B105" i="13"/>
  <c r="B105" i="4"/>
  <c r="AM826" i="3"/>
  <c r="AQ885" i="3"/>
  <c r="AM829" i="3"/>
  <c r="AM834" i="3"/>
  <c r="AD11" i="15"/>
  <c r="AD23" i="15"/>
  <c r="AD26" i="15"/>
  <c r="AD28" i="15"/>
  <c r="AI11" i="15"/>
  <c r="AI23" i="15"/>
  <c r="AI26" i="15"/>
  <c r="AI28" i="15"/>
  <c r="E105" i="13"/>
  <c r="AD955" i="3"/>
  <c r="AQ877" i="3"/>
  <c r="AQ888" i="3"/>
  <c r="B1012" i="3"/>
  <c r="AD996" i="3"/>
  <c r="C106" i="11"/>
  <c r="D106" i="11"/>
  <c r="B1014" i="3"/>
  <c r="V952" i="3"/>
  <c r="G10" i="7"/>
  <c r="G32" i="7"/>
  <c r="G44" i="7"/>
  <c r="E44" i="7"/>
  <c r="I4" i="7"/>
  <c r="I5" i="7"/>
  <c r="I7" i="7"/>
  <c r="K6" i="7"/>
  <c r="M9" i="7"/>
  <c r="O8" i="7"/>
  <c r="O21" i="7"/>
  <c r="O30" i="7"/>
  <c r="Q14" i="7"/>
  <c r="E54" i="7"/>
  <c r="E59" i="7"/>
  <c r="E60" i="7"/>
  <c r="E43" i="7"/>
  <c r="E42" i="7"/>
  <c r="AC443" i="3"/>
  <c r="T11" i="15"/>
  <c r="T23" i="15"/>
  <c r="Y64" i="15"/>
  <c r="AC441" i="3"/>
  <c r="AB47" i="15"/>
  <c r="AB49" i="15"/>
  <c r="AQ886" i="3"/>
  <c r="AD1004" i="3"/>
  <c r="T24" i="15"/>
  <c r="AD38" i="15"/>
  <c r="AD40" i="15"/>
  <c r="G40" i="7"/>
  <c r="G54" i="7"/>
  <c r="G59" i="7"/>
  <c r="G60" i="7"/>
  <c r="K4" i="7"/>
  <c r="M4" i="7"/>
  <c r="M5" i="7"/>
  <c r="I10" i="7"/>
  <c r="I32" i="7"/>
  <c r="I44" i="7"/>
  <c r="Q21" i="7"/>
  <c r="Q30" i="7"/>
  <c r="S14" i="7"/>
  <c r="M6" i="7"/>
  <c r="K7" i="7"/>
  <c r="O9" i="7"/>
  <c r="Q8" i="7"/>
  <c r="Y68" i="15"/>
  <c r="T26" i="15"/>
  <c r="T28" i="15"/>
  <c r="T29" i="15"/>
  <c r="G42" i="7"/>
  <c r="G43" i="7"/>
  <c r="O4" i="7"/>
  <c r="O5" i="7"/>
  <c r="K5" i="7"/>
  <c r="K10" i="7"/>
  <c r="K32" i="7"/>
  <c r="K40" i="7"/>
  <c r="I40" i="7"/>
  <c r="I42" i="7"/>
  <c r="Y38" i="15"/>
  <c r="Y40" i="15"/>
  <c r="Y41" i="15"/>
  <c r="U14" i="7"/>
  <c r="S21" i="7"/>
  <c r="S30" i="7"/>
  <c r="Q9" i="7"/>
  <c r="S8" i="7"/>
  <c r="O6" i="7"/>
  <c r="M7" i="7"/>
  <c r="M10" i="7"/>
  <c r="M32" i="7"/>
  <c r="AB50" i="15"/>
  <c r="AB54" i="15"/>
  <c r="AB55" i="15"/>
  <c r="AB56" i="15"/>
  <c r="AB57" i="15"/>
  <c r="AB59" i="15"/>
  <c r="AB76" i="15"/>
  <c r="AB77" i="15"/>
  <c r="AB87" i="15"/>
  <c r="I54" i="7"/>
  <c r="I59" i="7"/>
  <c r="I60" i="7"/>
  <c r="I43" i="7"/>
  <c r="Q4" i="7"/>
  <c r="S4" i="7"/>
  <c r="K44" i="7"/>
  <c r="M40" i="7"/>
  <c r="M44" i="7"/>
  <c r="S9" i="7"/>
  <c r="U8" i="7"/>
  <c r="U21" i="7"/>
  <c r="U30" i="7"/>
  <c r="W14" i="7"/>
  <c r="K43" i="7"/>
  <c r="K42" i="7"/>
  <c r="K54" i="7"/>
  <c r="K59" i="7"/>
  <c r="K60" i="7"/>
  <c r="O7" i="7"/>
  <c r="O10" i="7"/>
  <c r="O32" i="7"/>
  <c r="Q6" i="7"/>
  <c r="M26" i="3"/>
  <c r="M27" i="3"/>
  <c r="P204" i="3"/>
  <c r="AB86" i="15"/>
  <c r="AB78" i="15"/>
  <c r="AB80" i="15"/>
  <c r="J81" i="15"/>
  <c r="Q5" i="7"/>
  <c r="O40" i="7"/>
  <c r="O44" i="7"/>
  <c r="W21" i="7"/>
  <c r="W30" i="7"/>
  <c r="Y14" i="7"/>
  <c r="W8" i="7"/>
  <c r="U9" i="7"/>
  <c r="M43" i="7"/>
  <c r="M42" i="7"/>
  <c r="M54" i="7"/>
  <c r="M59" i="7"/>
  <c r="M60" i="7"/>
  <c r="U4" i="7"/>
  <c r="S5" i="7"/>
  <c r="Q7" i="7"/>
  <c r="S6" i="7"/>
  <c r="P203" i="3"/>
  <c r="Q10" i="7"/>
  <c r="Q32" i="7"/>
  <c r="Q44" i="7"/>
  <c r="W4" i="7"/>
  <c r="U5" i="7"/>
  <c r="Y8" i="7"/>
  <c r="W9" i="7"/>
  <c r="Y21" i="7"/>
  <c r="Y30" i="7"/>
  <c r="AA14" i="7"/>
  <c r="S7" i="7"/>
  <c r="S10" i="7"/>
  <c r="S32" i="7"/>
  <c r="U6" i="7"/>
  <c r="O54" i="7"/>
  <c r="O59" i="7"/>
  <c r="O60" i="7"/>
  <c r="O42" i="7"/>
  <c r="O43" i="7"/>
  <c r="Q40" i="7"/>
  <c r="Q42" i="7"/>
  <c r="S40" i="7"/>
  <c r="S44" i="7"/>
  <c r="W6" i="7"/>
  <c r="U7" i="7"/>
  <c r="U10" i="7"/>
  <c r="U32" i="7"/>
  <c r="Y4" i="7"/>
  <c r="W5" i="7"/>
  <c r="AA21" i="7"/>
  <c r="AA30" i="7"/>
  <c r="AC14" i="7"/>
  <c r="Y9" i="7"/>
  <c r="AA8" i="7"/>
  <c r="Q54" i="7"/>
  <c r="Q59" i="7"/>
  <c r="Q60" i="7"/>
  <c r="Q43" i="7"/>
  <c r="U40" i="7"/>
  <c r="U44" i="7"/>
  <c r="AE14" i="7"/>
  <c r="AC21" i="7"/>
  <c r="AC30" i="7"/>
  <c r="W7" i="7"/>
  <c r="W10" i="7"/>
  <c r="W32" i="7"/>
  <c r="Y6" i="7"/>
  <c r="AA4" i="7"/>
  <c r="Y5" i="7"/>
  <c r="AA9" i="7"/>
  <c r="AC8" i="7"/>
  <c r="S54" i="7"/>
  <c r="S59" i="7"/>
  <c r="S60" i="7"/>
  <c r="S43" i="7"/>
  <c r="S42" i="7"/>
  <c r="AA6" i="7"/>
  <c r="Y7" i="7"/>
  <c r="Y10" i="7"/>
  <c r="Y32" i="7"/>
  <c r="AE8" i="7"/>
  <c r="AC9" i="7"/>
  <c r="AC4" i="7"/>
  <c r="AA5" i="7"/>
  <c r="W44" i="7"/>
  <c r="W40" i="7"/>
  <c r="AG14" i="7"/>
  <c r="AG21" i="7"/>
  <c r="AG30" i="7"/>
  <c r="AE21" i="7"/>
  <c r="AE30" i="7"/>
  <c r="U43" i="7"/>
  <c r="U42" i="7"/>
  <c r="U54" i="7"/>
  <c r="U59" i="7"/>
  <c r="U60" i="7"/>
  <c r="W42" i="7"/>
  <c r="W54" i="7"/>
  <c r="W59" i="7"/>
  <c r="W60" i="7"/>
  <c r="W43" i="7"/>
  <c r="Y40" i="7"/>
  <c r="Y44" i="7"/>
  <c r="AE4" i="7"/>
  <c r="AC5" i="7"/>
  <c r="AE9" i="7"/>
  <c r="AG8" i="7"/>
  <c r="AG9" i="7"/>
  <c r="AA7" i="7"/>
  <c r="AA10" i="7"/>
  <c r="AA32" i="7"/>
  <c r="AC6" i="7"/>
  <c r="AA44" i="7"/>
  <c r="AA40" i="7"/>
  <c r="AE5" i="7"/>
  <c r="AG4" i="7"/>
  <c r="Y43" i="7"/>
  <c r="Y42" i="7"/>
  <c r="Y54" i="7"/>
  <c r="Y59" i="7"/>
  <c r="Y60" i="7"/>
  <c r="AC7" i="7"/>
  <c r="AC10" i="7"/>
  <c r="AC32" i="7"/>
  <c r="AE6" i="7"/>
  <c r="AE7" i="7"/>
  <c r="AE10" i="7"/>
  <c r="AE32" i="7"/>
  <c r="AG6" i="7"/>
  <c r="AG7" i="7"/>
  <c r="AC40" i="7"/>
  <c r="AC44" i="7"/>
  <c r="AG5" i="7"/>
  <c r="AA42" i="7"/>
  <c r="AA43" i="7"/>
  <c r="AA54" i="7"/>
  <c r="AA59" i="7"/>
  <c r="AA60" i="7"/>
  <c r="AG10" i="7"/>
  <c r="AG32" i="7"/>
  <c r="AG44" i="7"/>
  <c r="AE44" i="7"/>
  <c r="AE40" i="7"/>
  <c r="AC42" i="7"/>
  <c r="AC54" i="7"/>
  <c r="AC59" i="7"/>
  <c r="AC60" i="7"/>
  <c r="AC43" i="7"/>
  <c r="AG40" i="7"/>
  <c r="AG42" i="7"/>
  <c r="AE54" i="7"/>
  <c r="AE59" i="7"/>
  <c r="AE60" i="7"/>
  <c r="AE42" i="7"/>
  <c r="AE43" i="7"/>
  <c r="AG54" i="7"/>
  <c r="AG59" i="7"/>
  <c r="AG60"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<sst xmlns="http://schemas.openxmlformats.org/spreadsheetml/2006/main" count="3623" uniqueCount="1788">
  <si>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</si>
  <si>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</si>
  <si>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</si>
  <si>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</si>
  <si>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</si>
  <si>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</si>
  <si>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</si>
  <si>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</si>
  <si>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</si>
  <si>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</si>
  <si>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</si>
  <si>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</si>
  <si>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</si>
  <si>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</si>
  <si>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</si>
  <si>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</si>
  <si>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</si>
  <si>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</si>
  <si>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</si>
  <si>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</si>
  <si>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</si>
  <si>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</si>
  <si>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</si>
  <si>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</si>
  <si>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</si>
  <si>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</si>
  <si>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</si>
  <si>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</si>
  <si>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</si>
  <si>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</si>
  <si>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</si>
  <si>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</si>
  <si>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</si>
  <si>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</si>
  <si>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</si>
  <si>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</si>
  <si>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</si>
  <si>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</si>
  <si>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</si>
  <si>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</si>
  <si>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</si>
  <si>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</si>
  <si>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</si>
  <si>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</si>
  <si>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</si>
  <si>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</si>
  <si>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</si>
  <si>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</si>
  <si>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</si>
  <si>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</si>
  <si>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</si>
  <si>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</si>
  <si>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</si>
  <si>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</si>
  <si>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</si>
  <si>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</si>
  <si>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</si>
  <si>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</si>
  <si>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</si>
  <si>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</si>
  <si>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</si>
  <si>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</si>
  <si>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</si>
  <si>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</si>
  <si>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</si>
  <si>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</si>
  <si>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</si>
  <si>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</si>
  <si>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</si>
  <si>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</si>
  <si>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</si>
  <si>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</si>
  <si>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</si>
  <si>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</si>
  <si>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</si>
  <si>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</si>
  <si>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</si>
  <si>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</si>
  <si>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</si>
  <si>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</si>
  <si>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</si>
  <si>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</si>
  <si>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</si>
  <si>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</si>
  <si>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</si>
  <si>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</si>
  <si>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</si>
  <si>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</si>
  <si>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</si>
  <si>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</si>
  <si>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</si>
  <si>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</si>
  <si>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</si>
  <si>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</si>
  <si>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</si>
  <si>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</si>
  <si>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</si>
  <si>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</si>
  <si>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</si>
  <si>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</si>
  <si>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</si>
  <si>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</si>
  <si>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</si>
  <si>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</si>
  <si>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</si>
  <si>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</si>
  <si>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</si>
  <si>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</si>
  <si>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</si>
  <si>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</si>
  <si>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</si>
  <si>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</si>
  <si>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</si>
  <si>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</si>
  <si>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</si>
  <si>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</si>
  <si>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</si>
  <si>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</si>
  <si>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</si>
  <si>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</si>
  <si>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</si>
  <si>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</si>
  <si>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</si>
  <si>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</si>
  <si>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</si>
  <si>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</si>
  <si>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</si>
  <si>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</si>
  <si>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</si>
  <si>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</si>
  <si>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</si>
  <si>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</si>
  <si>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</si>
  <si>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</si>
  <si>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</si>
  <si>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</si>
  <si>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</si>
  <si>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</si>
  <si>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</si>
  <si>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</si>
  <si>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</si>
  <si>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</si>
  <si>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</si>
  <si>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</si>
  <si>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</si>
  <si>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</si>
  <si>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</si>
  <si>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</si>
  <si>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</si>
  <si>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</si>
  <si>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</si>
  <si>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</si>
  <si>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</si>
  <si>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</si>
  <si>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</si>
  <si>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</si>
  <si>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</si>
  <si>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</si>
  <si>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</si>
  <si>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</si>
  <si>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</si>
  <si>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</si>
  <si>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</si>
  <si>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</si>
  <si>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</si>
  <si>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</si>
  <si>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</si>
  <si>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</si>
  <si>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</si>
  <si>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</si>
  <si>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</si>
  <si>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</si>
  <si>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</si>
  <si>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</si>
  <si>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</si>
  <si>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</si>
  <si>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</si>
  <si>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</si>
  <si>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</si>
  <si>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</si>
  <si>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</si>
  <si>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</si>
  <si>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</si>
  <si>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</si>
  <si>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</si>
  <si>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</si>
  <si>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</si>
  <si>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</si>
  <si>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</si>
  <si>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</si>
  <si>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</si>
  <si>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</si>
  <si>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</si>
  <si>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</si>
  <si>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</si>
  <si>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</si>
  <si>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</si>
  <si>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</si>
  <si>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</si>
  <si>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</si>
  <si>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</si>
  <si>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</si>
  <si>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</si>
  <si>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</si>
  <si>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</si>
  <si>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</si>
  <si>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</si>
  <si>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</si>
  <si>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</si>
  <si>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</si>
  <si>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</si>
  <si>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</si>
  <si>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</si>
  <si>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</si>
  <si>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</si>
  <si>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</si>
  <si>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</si>
  <si>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</si>
  <si>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</si>
  <si>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</si>
  <si>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</si>
  <si>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</si>
  <si>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</si>
  <si>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</si>
  <si>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</si>
  <si>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</si>
  <si>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</si>
  <si>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</si>
  <si>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</si>
  <si>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</si>
  <si>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</si>
  <si>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</si>
  <si>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</si>
  <si>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</si>
  <si>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</si>
  <si>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</si>
  <si>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</si>
  <si>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</si>
  <si>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</si>
  <si>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</si>
  <si>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</si>
  <si>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</si>
  <si>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</si>
  <si>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</si>
  <si>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</si>
  <si>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</si>
  <si>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</si>
  <si>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</si>
  <si>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</si>
  <si>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</si>
  <si>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</si>
  <si>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</si>
  <si>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</si>
  <si>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</si>
  <si>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</si>
  <si>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</si>
  <si>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</si>
  <si>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</si>
  <si>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</si>
  <si>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</si>
  <si>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</si>
  <si>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</si>
  <si>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</si>
  <si>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</si>
  <si>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</si>
  <si>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</si>
  <si>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</si>
  <si>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</si>
  <si>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</si>
  <si>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</si>
  <si>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</si>
  <si>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</si>
  <si>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</si>
  <si>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</si>
  <si>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</si>
  <si>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</si>
  <si>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</si>
  <si>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</si>
  <si>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</si>
  <si>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</si>
  <si>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</si>
  <si>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</si>
  <si>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</si>
  <si>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</si>
  <si>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</si>
  <si>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</si>
  <si>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</si>
  <si>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</si>
  <si>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</si>
  <si>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</si>
  <si>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</si>
  <si>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</si>
  <si>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</si>
  <si>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</si>
  <si>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</si>
  <si>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</si>
  <si>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</si>
  <si>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</si>
  <si>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</si>
  <si>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</si>
  <si>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</si>
  <si>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</si>
  <si>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</si>
  <si>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</si>
  <si>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</si>
  <si>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</si>
  <si>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</si>
  <si>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</si>
  <si>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</si>
  <si>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</si>
  <si>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</si>
  <si>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</si>
  <si>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</si>
  <si>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</si>
  <si>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</si>
  <si>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</si>
  <si>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</si>
  <si>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</si>
  <si>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</si>
  <si>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</si>
  <si>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</si>
  <si>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</si>
  <si>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</si>
  <si>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</si>
  <si>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</si>
  <si>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</si>
  <si>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</si>
  <si>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</si>
  <si>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</si>
  <si>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</si>
  <si>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</si>
  <si>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</si>
  <si>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</si>
  <si>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</si>
  <si>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</si>
  <si>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</si>
  <si>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</si>
  <si>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</si>
  <si>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</si>
  <si>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</si>
  <si>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</si>
  <si>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</si>
  <si>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</si>
  <si>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</si>
  <si>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</si>
  <si>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</si>
  <si>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</si>
  <si>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</si>
  <si>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</si>
  <si>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</si>
  <si>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</si>
  <si>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</si>
  <si>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</si>
  <si>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</si>
  <si>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</si>
  <si>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</si>
  <si>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</si>
  <si>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</si>
  <si>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</si>
  <si>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</si>
  <si>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</si>
  <si>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</si>
  <si>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</si>
  <si>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</si>
  <si>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</si>
  <si>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</si>
  <si>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</si>
  <si>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</si>
  <si>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</si>
  <si>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</si>
  <si>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</si>
  <si>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</si>
  <si>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</si>
  <si>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</si>
  <si>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</si>
  <si>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</si>
  <si>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</si>
  <si>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</si>
  <si>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</si>
  <si>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</si>
  <si>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</si>
  <si>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</si>
  <si>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</si>
  <si>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</si>
  <si>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</si>
  <si>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</si>
  <si>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</si>
  <si>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</si>
  <si>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</si>
  <si>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</si>
  <si>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</si>
  <si>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</si>
  <si>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</si>
  <si>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</si>
  <si>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</si>
  <si>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</si>
  <si>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</si>
  <si>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</si>
  <si>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</si>
  <si>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</si>
  <si>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</si>
  <si>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</si>
  <si>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</si>
  <si>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</si>
  <si>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</si>
  <si>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</si>
  <si>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</si>
  <si>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</si>
  <si>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</si>
  <si>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</si>
  <si>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</si>
  <si>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</si>
  <si>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</si>
  <si>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</si>
  <si>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</si>
  <si>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</si>
  <si>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</si>
  <si>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</si>
  <si>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</si>
  <si>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</si>
  <si>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</si>
  <si>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</si>
  <si>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</si>
  <si>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</si>
  <si>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</si>
  <si>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</si>
  <si>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</si>
  <si>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</si>
  <si>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</si>
  <si>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</si>
  <si>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</si>
  <si>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</si>
  <si>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</si>
  <si>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</si>
  <si>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</si>
  <si>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</si>
  <si>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</si>
  <si>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</si>
  <si>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</si>
  <si>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</si>
  <si>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</si>
  <si>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</si>
  <si>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</si>
  <si>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</si>
  <si>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</si>
  <si>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</si>
  <si>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</si>
  <si>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</si>
  <si>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</si>
  <si>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</si>
  <si>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</si>
  <si>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</si>
  <si>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</si>
  <si>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</si>
  <si>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</si>
  <si>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</si>
  <si>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</si>
  <si>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</si>
  <si>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</si>
  <si>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</si>
  <si>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</si>
  <si>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</si>
  <si>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</si>
  <si>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</si>
  <si>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</si>
  <si>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</si>
  <si>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</si>
  <si>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</si>
  <si>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</si>
  <si>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</si>
  <si>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</si>
  <si>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</si>
  <si>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</si>
  <si>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</si>
  <si>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</si>
  <si>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</si>
  <si>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</si>
  <si>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</si>
  <si>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</si>
  <si>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</si>
  <si>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</si>
  <si>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</si>
  <si>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</si>
  <si>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</si>
  <si>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</si>
  <si>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</si>
  <si>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</si>
  <si>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</si>
  <si>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</si>
  <si>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</si>
  <si>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</si>
  <si>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</si>
  <si>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</si>
  <si>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</si>
  <si>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</si>
  <si>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</si>
  <si>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</si>
  <si>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</si>
  <si>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</si>
  <si>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</si>
  <si>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</si>
  <si>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</si>
  <si>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</si>
  <si>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</si>
  <si>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</si>
  <si>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</si>
  <si>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</si>
  <si>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</si>
  <si>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</si>
  <si>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</si>
  <si>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</si>
  <si>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</si>
  <si>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</si>
  <si>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</si>
  <si>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</si>
  <si>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</si>
  <si>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</si>
  <si>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</si>
  <si>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</si>
  <si>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</si>
  <si>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</si>
  <si>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</si>
  <si>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</si>
  <si>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</si>
  <si>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</si>
  <si>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</si>
  <si>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</si>
  <si>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</si>
  <si>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</si>
  <si>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</si>
  <si>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</si>
  <si>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</si>
  <si>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</si>
  <si>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</si>
  <si>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</si>
  <si>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</si>
  <si>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</si>
  <si>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</si>
  <si>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</si>
  <si>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</si>
  <si>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</si>
  <si>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</si>
  <si>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</si>
  <si>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</si>
  <si>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</si>
  <si>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</si>
  <si>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</si>
  <si>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</si>
  <si>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</si>
  <si>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</si>
  <si>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</si>
  <si>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</si>
  <si>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</si>
  <si>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</si>
  <si>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</si>
  <si>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</si>
  <si>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</si>
  <si>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</si>
  <si>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</si>
  <si>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</si>
  <si>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</si>
  <si>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</si>
  <si>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</si>
  <si>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</si>
  <si>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</si>
  <si>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</si>
  <si>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</si>
  <si>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</si>
  <si>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</si>
  <si>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</si>
  <si>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</si>
  <si>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</si>
  <si>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</si>
  <si>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</si>
  <si>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</si>
  <si>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</si>
  <si>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</si>
  <si>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</si>
  <si>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</si>
  <si>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</si>
  <si>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</si>
  <si>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</si>
  <si>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</si>
  <si>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</si>
  <si>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</si>
  <si>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</si>
  <si>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</si>
  <si>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</si>
  <si>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</si>
  <si>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</si>
  <si>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</si>
  <si>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</si>
  <si>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</si>
  <si>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</si>
  <si>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</si>
  <si>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</si>
  <si>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</si>
  <si>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</si>
  <si>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</si>
  <si>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</si>
  <si>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</si>
  <si>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</si>
  <si>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</si>
  <si>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</si>
  <si>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</si>
  <si>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</si>
  <si>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</si>
  <si>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</si>
  <si>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</si>
  <si>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</si>
  <si>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</si>
  <si>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</si>
  <si>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</si>
  <si>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</si>
  <si>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</si>
  <si>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</si>
  <si>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</si>
  <si>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</si>
  <si>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</si>
  <si>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</si>
  <si>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</si>
  <si>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</si>
  <si>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</si>
  <si>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</si>
  <si>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</si>
  <si>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</si>
  <si>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</si>
  <si>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</si>
  <si>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</si>
  <si>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</si>
  <si>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</si>
  <si>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</si>
  <si>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</si>
  <si>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</si>
  <si>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</si>
  <si>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</si>
  <si>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</si>
  <si>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</si>
  <si>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</si>
  <si>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</si>
  <si>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</si>
  <si>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</si>
  <si>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</si>
  <si>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</si>
  <si>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</si>
  <si>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</si>
  <si>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</si>
  <si>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</si>
  <si>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</si>
  <si>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</si>
  <si>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</si>
  <si>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</si>
  <si>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</si>
  <si>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</si>
  <si>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</si>
  <si>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</si>
  <si>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</si>
  <si>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</si>
  <si>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</si>
  <si>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</si>
  <si>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</si>
  <si>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</si>
  <si>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</si>
  <si>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</si>
  <si>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</si>
  <si>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</si>
  <si>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</si>
  <si>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</si>
  <si>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</si>
  <si>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</si>
  <si>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</si>
  <si>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</si>
  <si>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</si>
  <si>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</si>
  <si>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</si>
  <si>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</si>
  <si>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</si>
  <si>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</si>
  <si>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</si>
  <si>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</si>
  <si>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</si>
  <si>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</si>
  <si>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</si>
  <si>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</si>
  <si>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</si>
  <si>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</si>
  <si>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</si>
  <si>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</si>
  <si>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</si>
  <si>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</si>
  <si>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</si>
  <si>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</si>
  <si>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</si>
  <si>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</si>
  <si>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</si>
  <si>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</si>
  <si>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</si>
  <si>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</si>
  <si>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</si>
  <si>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</si>
  <si>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</si>
  <si>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</si>
  <si>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</si>
  <si>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</si>
  <si>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</si>
  <si>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</si>
  <si>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</si>
  <si>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</si>
  <si>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</si>
  <si>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</si>
  <si>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</si>
  <si>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</si>
  <si>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</si>
  <si>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</si>
  <si>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</si>
  <si>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</si>
  <si>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</si>
  <si>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</si>
  <si>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</si>
  <si>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</si>
  <si>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</si>
  <si>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</si>
  <si>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</si>
  <si>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</si>
  <si>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</si>
  <si>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</si>
  <si>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</si>
  <si>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</si>
  <si>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</si>
  <si>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</si>
  <si>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</si>
  <si>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</si>
  <si>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</si>
  <si>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</si>
  <si>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</si>
  <si>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</si>
  <si>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</si>
  <si>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</si>
  <si>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</si>
  <si>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</si>
  <si>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</si>
  <si>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</si>
  <si>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</si>
  <si>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</si>
  <si>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</si>
  <si>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</si>
  <si>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</si>
  <si>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</si>
  <si>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</si>
  <si>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</si>
  <si>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</si>
  <si>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</si>
  <si>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</si>
  <si>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</si>
  <si>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</si>
  <si>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</si>
  <si>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</si>
  <si>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</si>
  <si>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</si>
  <si>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</si>
  <si>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</si>
  <si>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</si>
  <si>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</si>
  <si>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</si>
  <si>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</si>
  <si>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</si>
  <si>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</si>
  <si>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</si>
  <si>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</si>
  <si>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</si>
  <si>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</si>
  <si>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</si>
  <si>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</si>
  <si>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</si>
  <si>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</si>
  <si>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</si>
  <si>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</si>
  <si>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</si>
  <si>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</si>
  <si>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</si>
  <si>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</si>
  <si>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</si>
  <si>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</si>
  <si>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</si>
  <si>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</si>
  <si>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</si>
  <si>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</si>
  <si>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</si>
  <si>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</si>
  <si>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</si>
  <si>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</si>
  <si>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</si>
  <si>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</si>
  <si>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</si>
  <si>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</si>
  <si>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</si>
  <si>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</si>
  <si>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</si>
  <si>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</si>
  <si>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</si>
  <si>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</si>
  <si>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</si>
  <si>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</si>
  <si>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</si>
  <si>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</si>
  <si>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</si>
  <si>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</si>
  <si>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</si>
  <si>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</si>
  <si>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</si>
  <si>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</si>
  <si>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</si>
  <si>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</si>
  <si>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</si>
  <si>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</si>
  <si>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</si>
  <si>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</si>
  <si>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</si>
  <si>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</si>
  <si>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</si>
  <si>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</si>
  <si>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</si>
  <si>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</si>
  <si>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</si>
  <si>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</si>
  <si>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</si>
  <si>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</si>
  <si>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</si>
  <si>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</si>
  <si>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</si>
  <si>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</si>
  <si>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</si>
  <si>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</si>
  <si>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</si>
  <si>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</si>
  <si>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</si>
  <si>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</si>
  <si>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</si>
  <si>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</si>
  <si>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</si>
  <si>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</si>
  <si>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</si>
  <si>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</si>
  <si>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</si>
  <si>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</si>
  <si>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</si>
  <si>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</si>
  <si>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</si>
  <si>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</si>
  <si>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</si>
  <si>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</si>
  <si>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</si>
  <si>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</si>
  <si>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</si>
  <si>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</si>
  <si>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</si>
  <si>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</si>
  <si>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</si>
  <si>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</si>
  <si>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</si>
  <si>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</si>
  <si>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</si>
  <si>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</si>
  <si>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</si>
  <si>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</si>
  <si>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</si>
  <si>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</si>
  <si>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</si>
  <si>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</si>
  <si>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</si>
  <si>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</si>
  <si>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</si>
  <si>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</si>
  <si>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</si>
  <si>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</si>
  <si>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</si>
  <si>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</si>
  <si>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</si>
  <si>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</si>
  <si>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</si>
  <si>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</si>
  <si>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</si>
  <si>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</si>
  <si>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</si>
  <si>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</si>
  <si>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</si>
  <si>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</si>
  <si>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</si>
  <si>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</si>
  <si>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</si>
  <si>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</si>
  <si>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</si>
  <si>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</si>
  <si>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</si>
  <si>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</si>
  <si>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</si>
  <si>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</si>
  <si>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</si>
  <si>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</si>
  <si>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</si>
  <si>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</si>
  <si>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</si>
  <si>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</si>
  <si>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</si>
  <si>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</si>
  <si>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</si>
  <si>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</si>
  <si>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</si>
  <si>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</si>
  <si>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</si>
  <si>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</si>
  <si>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</si>
  <si>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</si>
  <si>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</si>
  <si>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</si>
  <si>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</si>
  <si>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</si>
  <si>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</si>
  <si>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</si>
  <si>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</si>
  <si>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</si>
  <si>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</si>
  <si>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</si>
  <si>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</si>
  <si>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</si>
  <si>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</si>
  <si>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</si>
  <si>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</si>
  <si>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</si>
  <si>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</si>
  <si>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</si>
  <si>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</si>
  <si>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</si>
  <si>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</si>
  <si>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</si>
  <si>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</si>
  <si>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</si>
  <si>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</si>
  <si>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</si>
  <si>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</si>
  <si>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</si>
  <si>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</si>
  <si>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</si>
  <si>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</si>
  <si>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</si>
  <si>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</si>
  <si>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</si>
  <si>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</si>
  <si>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</si>
  <si>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</si>
  <si>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</si>
  <si>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</si>
  <si>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</si>
  <si>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</si>
  <si>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</si>
  <si>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</si>
  <si>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</si>
  <si>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</si>
  <si>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</si>
  <si>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</si>
  <si>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</si>
  <si>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</si>
  <si>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</si>
  <si>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</si>
  <si>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</si>
  <si>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</si>
  <si>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</si>
  <si>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</si>
  <si>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</si>
  <si>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</si>
  <si>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</si>
  <si>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</si>
  <si>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</si>
  <si>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</si>
  <si>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</si>
  <si>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</si>
  <si>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</si>
  <si>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</si>
  <si>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</si>
  <si>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</si>
  <si>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</si>
  <si>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</si>
  <si>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</si>
  <si>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</si>
  <si>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</si>
  <si>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</si>
  <si>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</si>
  <si>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</si>
  <si>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</si>
  <si>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</si>
  <si>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</si>
  <si>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</si>
  <si>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</si>
  <si>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</si>
  <si>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</si>
  <si>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</si>
  <si>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</si>
  <si>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</si>
  <si>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</si>
  <si>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</si>
  <si>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</si>
  <si>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</si>
  <si>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</si>
  <si>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</si>
  <si>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</si>
  <si>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</si>
  <si>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</si>
  <si>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</si>
  <si>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</si>
  <si>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</si>
  <si>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</si>
  <si>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</si>
  <si>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</si>
  <si>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</si>
  <si>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</si>
  <si>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</si>
  <si>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</si>
  <si>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</si>
  <si>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</si>
  <si>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</si>
  <si>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</si>
  <si>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</si>
  <si>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</si>
  <si>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</si>
  <si>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</si>
  <si>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</si>
  <si>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</si>
  <si>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</si>
  <si>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</si>
  <si>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</si>
  <si>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</si>
  <si>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</si>
  <si>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</si>
  <si>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</si>
  <si>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</si>
  <si>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</si>
  <si>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</si>
  <si>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</si>
  <si>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</si>
  <si>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</si>
  <si>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</si>
  <si>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</si>
  <si>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</si>
  <si>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</si>
  <si>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</si>
  <si>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</si>
  <si>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</si>
  <si>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</si>
  <si>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</si>
  <si>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</si>
  <si>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</si>
  <si>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</si>
  <si>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</si>
  <si>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</si>
  <si>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</si>
  <si>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</si>
  <si>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</si>
  <si>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</si>
  <si>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</si>
  <si>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</si>
  <si>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</si>
  <si>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</si>
  <si>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</si>
  <si>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</si>
  <si>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</si>
  <si>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</si>
  <si>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</si>
  <si>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</si>
  <si>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</si>
  <si>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</si>
  <si>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</si>
  <si>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</si>
  <si>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</si>
  <si>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</si>
  <si>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</si>
  <si>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</si>
  <si>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</si>
  <si>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</si>
  <si>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</si>
  <si>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</si>
  <si>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</si>
  <si>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</si>
  <si>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</si>
  <si>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</si>
  <si>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</si>
  <si>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</si>
  <si>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</si>
  <si>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</si>
  <si>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</si>
  <si>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</si>
  <si>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</si>
  <si>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</si>
  <si>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</si>
  <si>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</si>
  <si>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</si>
  <si>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</si>
  <si>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</si>
  <si>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</si>
  <si>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</si>
  <si>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</si>
  <si>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</si>
  <si>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</si>
  <si>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</si>
  <si>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</si>
  <si>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</si>
  <si>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</si>
  <si>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</si>
  <si>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</si>
  <si>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</si>
  <si>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</si>
  <si>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</si>
  <si>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</si>
  <si>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</si>
  <si>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</si>
  <si>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</si>
  <si>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</si>
  <si>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</si>
  <si>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</si>
  <si>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</si>
  <si>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</si>
  <si>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</si>
  <si>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</si>
  <si>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</si>
  <si>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</si>
  <si>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</si>
  <si>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</si>
  <si>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</si>
  <si>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</si>
  <si>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</si>
  <si>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</si>
  <si>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</si>
  <si>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</si>
  <si>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</si>
  <si>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</si>
  <si>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</si>
  <si>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</si>
  <si>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</si>
  <si>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</si>
  <si>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</si>
  <si>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</si>
  <si>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</si>
  <si>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</si>
  <si>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</si>
  <si>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</si>
  <si>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</si>
  <si>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</si>
  <si>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</si>
  <si>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</si>
  <si>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</si>
  <si>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</si>
  <si>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</si>
  <si>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</si>
  <si>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</si>
  <si>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</si>
  <si>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</si>
  <si>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</si>
  <si>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</si>
  <si>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</si>
  <si>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</si>
  <si>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</si>
  <si>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</si>
  <si>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</si>
  <si>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</si>
  <si>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</si>
  <si>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</si>
  <si>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</si>
  <si>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</si>
  <si>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</si>
  <si>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</si>
  <si>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</si>
  <si>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</si>
  <si>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</si>
  <si>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</si>
  <si>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</si>
  <si>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</si>
  <si>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</si>
  <si>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</si>
  <si>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</si>
  <si>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</si>
  <si>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</si>
  <si>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</si>
  <si>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</si>
  <si>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</si>
  <si>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</si>
  <si>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</si>
  <si>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</si>
  <si>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</si>
  <si>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</si>
  <si>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</si>
  <si>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</si>
  <si>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</si>
  <si>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</si>
  <si>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</si>
  <si>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</si>
  <si>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</si>
  <si>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</si>
  <si>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</si>
  <si>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</si>
  <si>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</si>
  <si>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</si>
  <si>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</si>
  <si>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</si>
  <si>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</si>
  <si>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</si>
  <si>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</si>
  <si>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</si>
  <si>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</si>
  <si>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</si>
  <si>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</si>
  <si>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</si>
  <si>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</si>
  <si>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</si>
  <si>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</si>
  <si>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</si>
  <si>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</si>
  <si>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</si>
  <si>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</si>
  <si>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</si>
  <si>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</si>
  <si>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</si>
  <si>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</si>
  <si>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</si>
  <si>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</si>
  <si>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</si>
  <si>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</si>
  <si>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</si>
  <si>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</si>
  <si>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</si>
  <si>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</si>
  <si>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</si>
  <si>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</si>
  <si>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</si>
  <si>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</si>
  <si>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</si>
  <si>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</si>
  <si>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</si>
  <si>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</si>
  <si>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</si>
  <si>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</si>
  <si>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</si>
  <si>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</si>
  <si>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</si>
  <si>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</si>
  <si>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</si>
  <si>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</si>
  <si>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</si>
  <si>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</si>
  <si>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</si>
  <si>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</si>
  <si>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</si>
  <si>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</si>
  <si>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</si>
  <si>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</si>
  <si>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</si>
  <si>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</si>
  <si>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</si>
  <si>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</si>
  <si>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</si>
  <si>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</si>
  <si>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</si>
  <si>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</si>
  <si>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</si>
  <si>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</si>
  <si>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</si>
  <si>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</si>
  <si>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</si>
  <si>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</si>
  <si>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</si>
  <si>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</si>
  <si>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</si>
  <si>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</si>
  <si>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</si>
  <si>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</si>
  <si>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</si>
  <si>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</si>
  <si>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</si>
  <si>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</si>
  <si>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</si>
  <si>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</si>
  <si>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</si>
  <si>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</si>
  <si>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</si>
  <si>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</si>
  <si>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</si>
  <si>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</si>
  <si>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</si>
  <si>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</si>
  <si>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</si>
  <si>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</si>
  <si>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</si>
  <si>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</si>
  <si>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</si>
  <si>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</si>
  <si>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</si>
  <si>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</si>
  <si>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</si>
  <si>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</si>
  <si>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</si>
  <si>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</si>
  <si>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</si>
  <si>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</si>
  <si>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</si>
  <si>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</si>
  <si>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</si>
  <si>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</si>
  <si>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</si>
  <si>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</si>
  <si>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</si>
  <si>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</si>
  <si>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</si>
  <si>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</si>
  <si>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</si>
  <si>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</si>
  <si>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</si>
  <si>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</si>
  <si>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</si>
  <si>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</si>
  <si>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</si>
  <si>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</si>
  <si>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</si>
  <si>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</si>
  <si>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</si>
  <si>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</si>
  <si>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</si>
  <si>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</si>
  <si>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</si>
  <si>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</si>
  <si>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</si>
  <si>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</si>
  <si>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</si>
  <si>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</si>
  <si>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</si>
  <si>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</si>
  <si>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</si>
  <si>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</si>
  <si>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</si>
  <si>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</si>
  <si>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</si>
  <si>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</si>
  <si>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</si>
  <si>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</si>
  <si>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</si>
  <si>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</si>
  <si>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</si>
  <si>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</si>
  <si>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</si>
  <si>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</si>
  <si>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</si>
  <si>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</si>
  <si>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</si>
  <si>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</si>
  <si>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</si>
  <si>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</si>
  <si>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</si>
  <si>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</si>
  <si>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</si>
  <si>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</si>
  <si>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</si>
  <si>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</si>
  <si>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</si>
  <si>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</si>
  <si>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</si>
  <si>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</si>
  <si>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</si>
  <si>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</si>
  <si>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</si>
  <si>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</si>
  <si>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</si>
  <si>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</si>
  <si>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</si>
  <si>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</si>
  <si>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</si>
  <si>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</si>
  <si>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</si>
  <si>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</si>
  <si>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</si>
  <si>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</si>
  <si>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</si>
  <si>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</si>
  <si>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</si>
  <si>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</si>
  <si>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</si>
  <si>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</si>
  <si>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</si>
  <si>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</si>
  <si>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</si>
  <si>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</si>
  <si>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</si>
  <si>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</si>
  <si>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</si>
  <si>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</si>
  <si>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</si>
  <si>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</si>
  <si>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</si>
  <si>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</si>
  <si>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</si>
  <si>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</si>
  <si>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</si>
  <si>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</si>
  <si>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</si>
  <si>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</si>
  <si>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</si>
  <si>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</si>
  <si>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</si>
  <si>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</si>
  <si>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</si>
  <si>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</si>
  <si>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</si>
  <si>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</si>
  <si>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</si>
  <si>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</si>
  <si>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</si>
  <si>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</si>
  <si>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</si>
  <si>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</si>
  <si>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</si>
  <si>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</si>
  <si>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</si>
  <si>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</si>
  <si>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</si>
  <si>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</si>
  <si>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</si>
  <si>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</si>
  <si>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</si>
  <si>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</si>
  <si>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</si>
  <si>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</si>
  <si>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</si>
  <si>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</si>
  <si>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</si>
  <si>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</si>
  <si>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</si>
  <si>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</si>
  <si>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</si>
  <si>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</si>
  <si>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</si>
  <si>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</si>
  <si>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</si>
  <si>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</si>
  <si>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</si>
  <si>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</si>
  <si>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</si>
  <si>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</si>
  <si>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</si>
  <si>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</si>
  <si>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</si>
  <si>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</si>
  <si>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</si>
  <si>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</si>
  <si>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</si>
  <si>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</si>
  <si>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</si>
  <si>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</si>
  <si>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</si>
  <si>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</si>
  <si>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</si>
  <si>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</si>
  <si>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</si>
  <si>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</si>
  <si>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</si>
  <si>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</si>
  <si>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</si>
  <si>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</si>
  <si>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</si>
  <si>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</si>
  <si>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</si>
  <si>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</si>
  <si>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</si>
  <si>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</si>
  <si>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</si>
  <si>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</si>
  <si>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</si>
  <si>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</si>
  <si>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</si>
  <si>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</si>
  <si>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</si>
  <si>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</si>
  <si>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</si>
  <si>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</si>
  <si>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</si>
  <si>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</si>
  <si>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</si>
  <si>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</si>
  <si>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</si>
  <si>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</si>
  <si>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</si>
  <si>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</si>
  <si>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</si>
  <si>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</si>
  <si>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</si>
  <si>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</si>
  <si>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</si>
  <si>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</si>
  <si>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</si>
  <si>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</si>
  <si>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</si>
  <si>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</si>
  <si>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</si>
  <si>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</si>
  <si>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</si>
  <si>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</si>
  <si>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</si>
  <si>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</si>
  <si>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</si>
  <si>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</si>
  <si>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</si>
  <si>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</si>
  <si>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</si>
  <si>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</si>
  <si>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</si>
  <si>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</si>
  <si>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</si>
  <si>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</si>
  <si>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</si>
  <si>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</si>
  <si>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</si>
  <si>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</si>
  <si>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</si>
  <si>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</si>
  <si>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</si>
  <si>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</si>
  <si>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</si>
  <si>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</si>
  <si>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</si>
  <si>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</si>
  <si>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</si>
  <si>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</si>
  <si>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</si>
  <si>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</si>
  <si>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</si>
  <si>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</si>
  <si>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</si>
  <si>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</si>
  <si>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</si>
  <si>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</si>
  <si>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</si>
  <si>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</si>
  <si>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</si>
  <si>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</si>
  <si>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</si>
  <si>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</si>
  <si>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</si>
  <si>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</si>
  <si>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</si>
  <si>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</si>
  <si>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</si>
  <si>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</si>
  <si>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</si>
  <si>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</si>
  <si>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</si>
  <si>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</si>
  <si>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</si>
  <si>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</si>
  <si>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</si>
  <si>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</si>
  <si>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</si>
  <si>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</si>
  <si>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</si>
  <si>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</si>
  <si>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</si>
  <si>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</si>
  <si>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</si>
  <si>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</si>
  <si>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</si>
  <si>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</si>
  <si>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</si>
  <si>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</si>
  <si>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</si>
  <si>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</si>
  <si>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</si>
  <si>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</si>
  <si>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</si>
  <si>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</si>
  <si>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</si>
  <si>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</si>
  <si>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</si>
  <si>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</si>
  <si>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</si>
  <si>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</si>
  <si>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</si>
  <si>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</si>
  <si>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</si>
  <si>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</si>
  <si>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</si>
  <si>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</si>
  <si>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</si>
  <si>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</si>
  <si>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</si>
  <si>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</si>
  <si>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</si>
  <si>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</si>
  <si>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</si>
  <si>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</si>
  <si>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</si>
  <si>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</si>
  <si>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</si>
  <si>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</si>
  <si>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</si>
  <si>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</si>
  <si>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</si>
  <si>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</si>
  <si>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</si>
  <si>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</si>
  <si>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</si>
  <si>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</si>
  <si>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</si>
  <si>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</si>
  <si>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</si>
  <si>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</si>
  <si>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</si>
  <si>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</si>
  <si>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</si>
  <si>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</si>
  <si>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</si>
  <si>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</si>
  <si>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</si>
  <si>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</si>
  <si>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</si>
  <si>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</si>
  <si>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</si>
  <si>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</si>
  <si>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</si>
  <si>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</si>
  <si>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</si>
  <si>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</si>
  <si>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</si>
  <si>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</si>
  <si>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</si>
  <si>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</si>
  <si>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</si>
  <si>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</si>
  <si>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</si>
  <si>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</si>
  <si>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</si>
  <si>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</si>
  <si>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</si>
  <si>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</si>
  <si>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</si>
  <si>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</si>
  <si>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</si>
  <si>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</si>
  <si>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</si>
  <si>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</si>
  <si>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</si>
  <si>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</si>
  <si>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CDLAC-TCAC Joint Application (submitting concurrently)</t>
  </si>
  <si>
    <t>40%/60%</t>
  </si>
  <si>
    <t xml:space="preserve">Citibank, NA </t>
  </si>
  <si>
    <t xml:space="preserve">There will be 650 SF of retail space.  It is located on the ground floor at the corner of Bryant and Boardman Place.  </t>
  </si>
  <si>
    <t>SALI and max density is based on height and bulk allowabe per the zoning district</t>
  </si>
  <si>
    <t>no change.  Density bonus conferred via SB 35 and State Density Bonus</t>
  </si>
  <si>
    <t>State Density Bonus affordability is requirements are 10% of units at 50% and 90% of units at 51-80%.</t>
  </si>
  <si>
    <t>District is 40X. We're exceeding height due to state density bonus.</t>
  </si>
  <si>
    <t xml:space="preserve">Citibank, N.A. </t>
  </si>
  <si>
    <t>Richard Gerwitz</t>
  </si>
  <si>
    <t>San Francisco Housing Authority</t>
  </si>
  <si>
    <t>State Prevailing Wage required per use of SB 35 for entitlements.</t>
  </si>
  <si>
    <t xml:space="preserve">833 Bryant, L.P. </t>
  </si>
  <si>
    <t xml:space="preserve">833 Bryant Apartments </t>
  </si>
  <si>
    <t xml:space="preserve">City and County of San Francisco </t>
  </si>
  <si>
    <t>Dan Adams</t>
  </si>
  <si>
    <t xml:space="preserve">One South Van Ness Ave 5th Floor </t>
  </si>
  <si>
    <t xml:space="preserve">San Francisco </t>
  </si>
  <si>
    <t>dan.adams@sfgov.org</t>
  </si>
  <si>
    <t>833 Bryant Street</t>
  </si>
  <si>
    <t xml:space="preserve">3779 133 </t>
  </si>
  <si>
    <t xml:space="preserve">CA </t>
  </si>
  <si>
    <t xml:space="preserve">Sharon Christen </t>
  </si>
  <si>
    <t xml:space="preserve">Barbara Gualco </t>
  </si>
  <si>
    <t>415.355.7116</t>
  </si>
  <si>
    <t>415.355.7101</t>
  </si>
  <si>
    <t>bgualco@mercyhousing.org</t>
  </si>
  <si>
    <t xml:space="preserve">Mercy Housing California </t>
  </si>
  <si>
    <t xml:space="preserve">833 Bryant LLC </t>
  </si>
  <si>
    <t>Managing GP</t>
  </si>
  <si>
    <t>1256 Market Street</t>
  </si>
  <si>
    <t xml:space="preserve">bgualco@mercyhousing.org </t>
  </si>
  <si>
    <t xml:space="preserve">Mercy Housing Calwest </t>
  </si>
  <si>
    <t>415-355-7111</t>
  </si>
  <si>
    <t>schristen@mercyhousing.org</t>
  </si>
  <si>
    <t xml:space="preserve">Project Manager </t>
  </si>
  <si>
    <t>San Francisco CA, 94102</t>
  </si>
  <si>
    <t>Sharon Christen</t>
  </si>
  <si>
    <t>415.355.7111</t>
  </si>
  <si>
    <t xml:space="preserve">Gubb and Barshay LLP </t>
  </si>
  <si>
    <t>505 14th Street, Suite 450</t>
  </si>
  <si>
    <t>Oakland CA, 94612</t>
  </si>
  <si>
    <t>Evan Gross</t>
  </si>
  <si>
    <t>egross@gubbandbarshay.com</t>
  </si>
  <si>
    <t>Gubb and Barshay LLP</t>
  </si>
  <si>
    <t>Cohn Reznick</t>
  </si>
  <si>
    <t>525 North Tryon Str, Suite 100</t>
  </si>
  <si>
    <t>Charlotte, North Carolina, 28202</t>
  </si>
  <si>
    <t>Nic Mathias</t>
  </si>
  <si>
    <t>704.900.2013</t>
  </si>
  <si>
    <t>Nic.Mathias@cohnreznick.com</t>
  </si>
  <si>
    <t>California Housing Partnership</t>
  </si>
  <si>
    <t>369 Pine Street, Suite 300</t>
  </si>
  <si>
    <t>San Francisco, CA 94104</t>
  </si>
  <si>
    <t>Mengxin Zhou</t>
  </si>
  <si>
    <t>415-433-6804</t>
  </si>
  <si>
    <t>mzhou@chpc.net</t>
  </si>
  <si>
    <t xml:space="preserve">California Housing Finance Agency </t>
  </si>
  <si>
    <t>500 Capitol Mall, Suite 900</t>
  </si>
  <si>
    <t xml:space="preserve">Sacramento, CA 95814 </t>
  </si>
  <si>
    <t xml:space="preserve">Kevin Brown </t>
  </si>
  <si>
    <t>916-326-8088</t>
  </si>
  <si>
    <t>kbrown@calhfa.ca.gov</t>
  </si>
  <si>
    <t>David Baker Architects</t>
  </si>
  <si>
    <t xml:space="preserve">San Francisco CA, 94107 </t>
  </si>
  <si>
    <t xml:space="preserve">Daniel Simons </t>
  </si>
  <si>
    <t>danielsimons@dbarchitect.com</t>
  </si>
  <si>
    <t>461 2nd Street #127</t>
  </si>
  <si>
    <t>415.799.4585</t>
  </si>
  <si>
    <t>Cahill Contractors LLC</t>
  </si>
  <si>
    <t>425 California Street, Suite 2200</t>
  </si>
  <si>
    <t xml:space="preserve">San Francisco CA, 94104 </t>
  </si>
  <si>
    <t>Arash Baradaran</t>
  </si>
  <si>
    <t>415-677-0628</t>
  </si>
  <si>
    <t>415-677-4406</t>
  </si>
  <si>
    <t>abaradaran@cahill-sf.com</t>
  </si>
  <si>
    <t xml:space="preserve">Bright Green Strategies </t>
  </si>
  <si>
    <t xml:space="preserve">1717 Seabright Ave. #4 </t>
  </si>
  <si>
    <t>Santa Cruz CA, 95062</t>
  </si>
  <si>
    <t>Patti Heath</t>
  </si>
  <si>
    <t>510-863-1109</t>
  </si>
  <si>
    <t>patti@brightgreenstrategies.com</t>
  </si>
  <si>
    <t xml:space="preserve">300 South Grand Avenue Suite 3110 </t>
  </si>
  <si>
    <t>Los Angeles CA, 90071</t>
  </si>
  <si>
    <t>213-486-7138</t>
  </si>
  <si>
    <t>213-486-7100</t>
  </si>
  <si>
    <t>richard.gerwitz@citi.com</t>
  </si>
  <si>
    <t xml:space="preserve">NewPort Realty Advisors </t>
  </si>
  <si>
    <t>2601 Chestnut Street #1</t>
  </si>
  <si>
    <t>San Francisco CA, 94123</t>
  </si>
  <si>
    <t xml:space="preserve">Charlie Castro </t>
  </si>
  <si>
    <t>415-835-6060</t>
  </si>
  <si>
    <t>charlie@newportrealtyadvisors.com</t>
  </si>
  <si>
    <t>Mercy Housing Management Group</t>
  </si>
  <si>
    <t xml:space="preserve">Jacquie Hoffman </t>
  </si>
  <si>
    <t>415-355-7124</t>
  </si>
  <si>
    <t>415-355-7101</t>
  </si>
  <si>
    <t>jhoffman@mercyhousing.org</t>
  </si>
  <si>
    <t xml:space="preserve">vacant office building </t>
  </si>
  <si>
    <t xml:space="preserve">Ground Lease </t>
  </si>
  <si>
    <t>NA</t>
  </si>
  <si>
    <t xml:space="preserve">zero required auto parking </t>
  </si>
  <si>
    <t>Citibank, N.A.</t>
  </si>
  <si>
    <t>Fixed</t>
  </si>
  <si>
    <t xml:space="preserve">25 Taylor Street </t>
  </si>
  <si>
    <t xml:space="preserve">construction loan </t>
  </si>
  <si>
    <t xml:space="preserve">Los Angeles </t>
  </si>
  <si>
    <t xml:space="preserve">Variable </t>
  </si>
  <si>
    <t>General Partner Capital</t>
  </si>
  <si>
    <t xml:space="preserve">Limited Partner Tax Credit Equity </t>
  </si>
  <si>
    <t xml:space="preserve">Costs Deferred Unit Perm Conversion </t>
  </si>
  <si>
    <t>415-355-7116</t>
  </si>
  <si>
    <t>equity</t>
  </si>
  <si>
    <t xml:space="preserve">Los Angeles, Suite </t>
  </si>
  <si>
    <t xml:space="preserve">300 S. Grand Avenue Suite 3110 </t>
  </si>
  <si>
    <t>Misc. Admin</t>
  </si>
  <si>
    <t>Desk Clerk; Payroll Taxes/Benefits</t>
  </si>
  <si>
    <t>Misc. Maintenance and Unit Turnover</t>
  </si>
  <si>
    <t>Other (Annual Issuer Fee):</t>
  </si>
  <si>
    <t>Other (Annual Trustee Fee):</t>
  </si>
  <si>
    <t>Other: Transfer Tax</t>
  </si>
  <si>
    <t>Other: GC Contingecy</t>
  </si>
  <si>
    <t>Other: Owner's Rep</t>
  </si>
  <si>
    <t>Other: Utility Connection Fees</t>
  </si>
  <si>
    <t>Homes for the Homeless Fund (HHF) Construction Loan</t>
  </si>
  <si>
    <t xml:space="preserve">Homes for the Homeless Fund (HHF) Permanent Loan												</t>
  </si>
  <si>
    <t>Other: Sponsor Legal</t>
  </si>
  <si>
    <t>Other: HHF Construction Loan Origination &amp; Interest</t>
  </si>
  <si>
    <t>Other: Construction Lender Expenses</t>
  </si>
  <si>
    <t>Ground Rent</t>
  </si>
  <si>
    <t>Alexander Zaman</t>
  </si>
  <si>
    <t>Tax Exempt Bonds - Public Sale</t>
  </si>
  <si>
    <t>1 Sansome St, 27th Floor</t>
  </si>
  <si>
    <t>Tax-exempt permanent Loan</t>
  </si>
  <si>
    <t xml:space="preserve">1256 Market Street </t>
  </si>
  <si>
    <t xml:space="preserve">Kate Hartley </t>
  </si>
  <si>
    <t>soft loan</t>
  </si>
  <si>
    <t xml:space="preserve">Private, HHF Funds </t>
  </si>
  <si>
    <t>Private</t>
  </si>
  <si>
    <t>Kate Hartley</t>
  </si>
  <si>
    <t>Other: Capitalized Debt Service Reserve</t>
  </si>
  <si>
    <t>SoMa Hall of Justice Legal Svc; Western Soma</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</si>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</sst>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
      <b/>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3" fontId="6" fillId="0" borderId="0" xfId="0" applyNumberFormat="1" applyFont="1"/>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0" fillId="5" borderId="49"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48"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quotePrefix="1"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48"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49"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6" fillId="5" borderId="48" xfId="0" applyNumberFormat="1" applyFont="1" applyFill="1" applyBorder="1" applyAlignment="1" applyProtection="1">
      <alignment horizontal="left"/>
      <protection locked="0"/>
    </xf>
    <xf numFmtId="0" fontId="0" fillId="5" borderId="48" xfId="0"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quotePrefix="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0" fontId="6" fillId="5" borderId="48" xfId="0"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L:\L:\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L:\L:\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L:\L:\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L:\L:\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L:\L:\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L:\L:\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59" t="s">
        <v>596</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1" t="s">
        <v>1431</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1439</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35" customHeight="1">
      <c r="A14" s="337"/>
      <c r="B14" s="335"/>
      <c r="C14" s="336"/>
      <c r="E14" s="963" t="s">
        <v>1432</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1598</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1440</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4" t="s">
        <v>1441</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1426</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706</v>
      </c>
      <c r="F40" s="963" t="s">
        <v>1399</v>
      </c>
    </row>
    <row r="41" spans="1:38" s="963"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4" t="s">
        <v>1530</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3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5" t="s">
        <v>1442</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625</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3" t="s">
        <v>1532</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555</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555</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1407</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1410</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3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1562</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8" t="s">
        <v>1009</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44</v>
      </c>
      <c r="C4" s="682">
        <f>Application!K709</f>
        <v>250</v>
      </c>
      <c r="D4" s="683"/>
      <c r="E4" s="493">
        <v>2205.393</v>
      </c>
      <c r="F4" s="684">
        <f>E4*B4</f>
        <v>97037.292000000001</v>
      </c>
      <c r="G4" s="685"/>
      <c r="H4" s="682">
        <f>IF(E4=0," ",(E4-C4))</f>
        <v>1955.393</v>
      </c>
      <c r="I4" s="684">
        <f>IF(E4=0," ",(H4*B4))</f>
        <v>86037.292000000001</v>
      </c>
      <c r="J4" s="335"/>
      <c r="K4" s="490"/>
    </row>
    <row r="5" spans="1:11">
      <c r="A5" s="682" t="str">
        <f>Application!B710</f>
        <v>SRO/Studio</v>
      </c>
      <c r="B5" s="691">
        <f>Application!G710</f>
        <v>101</v>
      </c>
      <c r="C5" s="682">
        <f>Application!K710</f>
        <v>250</v>
      </c>
      <c r="D5" s="683"/>
      <c r="E5" s="493">
        <f>E4</f>
        <v>2205.393</v>
      </c>
      <c r="F5" s="684">
        <f t="shared" ref="F5:F28" si="0">E5*B5</f>
        <v>222744.693</v>
      </c>
      <c r="G5" s="685"/>
      <c r="H5" s="682">
        <f t="shared" ref="H5:H28" si="1">IF(E5=0," ",(E5-C5))</f>
        <v>1955.393</v>
      </c>
      <c r="I5" s="684">
        <f t="shared" ref="I5:I28" si="2">IF(E5=0," ",(H5*B5))</f>
        <v>197494.693</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36250</v>
      </c>
      <c r="D30" s="683"/>
      <c r="E30" s="683"/>
      <c r="F30" s="688">
        <f>SUM(F4:F28)*12</f>
        <v>3837383.82</v>
      </c>
      <c r="G30" s="689"/>
      <c r="H30" s="687"/>
      <c r="I30" s="688">
        <f>SUM(I4:I28)*12</f>
        <v>3402383.82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10049</v>
      </c>
      <c r="C6" s="438">
        <f>'Sources and Uses Budget'!$C5</f>
        <v>10049</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6964686</v>
      </c>
      <c r="C8" s="438">
        <f>'Sources and Uses Budget'!$C7</f>
        <v>6964686</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6974735</v>
      </c>
      <c r="C9" s="442">
        <f>SUM(C5:C8)</f>
        <v>6974735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226303</v>
      </c>
      <c r="C11" s="438">
        <f>'Sources and Uses Budget'!$C10</f>
        <v>226303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226303</v>
      </c>
      <c r="C12" s="442">
        <f>SUM(C10:C11)</f>
        <v>226303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7201038</v>
      </c>
      <c r="C13" s="442">
        <f>SUM(C9+C12)</f>
        <v>7201038</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164914</v>
      </c>
      <c r="C14" s="438">
        <f>'Sources and Uses Budget'!$C13</f>
        <v>164914</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200500</v>
      </c>
      <c r="C29" s="438">
        <f>'Sources and Uses Budget'!$C28</f>
        <v>200500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37560105</v>
      </c>
      <c r="C30" s="438">
        <f>'Sources and Uses Budget'!$C29</f>
        <v>37560105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2080280</v>
      </c>
      <c r="C31" s="438">
        <f>'Sources and Uses Budget'!$C30</f>
        <v>2080280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563461.5</v>
      </c>
      <c r="C32" s="438">
        <f>'Sources and Uses Budget'!$C31</f>
        <v>563461.5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563461.5</v>
      </c>
      <c r="C33" s="438">
        <f>'Sources and Uses Budget'!$C32</f>
        <v>563461.5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746476</v>
      </c>
      <c r="C35" s="438">
        <f>'Sources and Uses Budget'!$C34</f>
        <v>746476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721915</v>
      </c>
      <c r="C36" s="438">
        <f>'Sources and Uses Budget'!$C35</f>
        <v>721915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42436199</v>
      </c>
      <c r="C37" s="442">
        <f>SUM(C29:C36)</f>
        <v>42436199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1368511</v>
      </c>
      <c r="C39" s="438">
        <f>'Sources and Uses Budget'!$C38</f>
        <v>1368511</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1368511</v>
      </c>
      <c r="C41" s="442">
        <f>SUM(C39:C40)</f>
        <v>1368511</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684807</v>
      </c>
      <c r="C42" s="438">
        <f>'Sources and Uses Budget'!$C41</f>
        <v>684807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2056721</v>
      </c>
      <c r="C44" s="438">
        <f>'Sources and Uses Budget'!$C43</f>
        <v>2056721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389300</v>
      </c>
      <c r="C45" s="438">
        <f>'Sources and Uses Budget'!$C44</f>
        <v>389300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871736</v>
      </c>
      <c r="C48" s="438">
        <f>'Sources and Uses Budget'!$C47</f>
        <v>871736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29849</v>
      </c>
      <c r="C49" s="438">
        <f>'Sources and Uses Budget'!$C48</f>
        <v>29849</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34823</v>
      </c>
      <c r="C50" s="438">
        <f>'Sources and Uses Budget'!$C49</f>
        <v>34823</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497478</v>
      </c>
      <c r="C51" s="438">
        <f>'Sources and Uses Budget'!$C50</f>
        <v>497478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541099</v>
      </c>
      <c r="C52" s="438">
        <f>'Sources and Uses Budget'!$C51</f>
        <v>541099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50000</v>
      </c>
      <c r="C53" s="438">
        <f>'Sources and Uses Budget'!$C52</f>
        <v>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4471006</v>
      </c>
      <c r="C54" s="445">
        <f>SUM(C44:C53)</f>
        <v>4471006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34823</v>
      </c>
      <c r="C58" s="438">
        <f>'Sources and Uses Budget'!$C57</f>
        <v>34823</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34823</v>
      </c>
      <c r="C63" s="442">
        <f>SUM(C56:C62)</f>
        <v>34823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56361298</v>
      </c>
      <c r="C64" s="442">
        <f>SUM(C9+C12+C14+C15+C17+C26+C27+C37+C41+C42+C54+C63)</f>
        <v>56361298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89545</v>
      </c>
      <c r="C67" s="438">
        <f>'Sources and Uses Budget'!$C66</f>
        <v>89545</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154545</v>
      </c>
      <c r="C68" s="442">
        <f>SUM(C66:C67)</f>
        <v>154545</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823470</v>
      </c>
      <c r="C73" s="438">
        <f>'Sources and Uses Budget'!$C72</f>
        <v>823470</v>
      </c>
      <c r="D73" s="442">
        <f t="shared" si="0"/>
        <v>0</v>
      </c>
      <c r="E73" s="440"/>
      <c r="F73" s="439"/>
      <c r="G73" s="577"/>
    </row>
    <row r="74" spans="1:253" s="571" customFormat="1">
      <c r="A74" s="444" t="s">
        <v>37</v>
      </c>
      <c r="B74" s="438">
        <f>'Sources and Uses Budget'!$C73</f>
        <v>1667298</v>
      </c>
      <c r="C74" s="438">
        <f>'Sources and Uses Budget'!$C73</f>
        <v>1667298</v>
      </c>
      <c r="D74" s="442">
        <f t="shared" si="0"/>
        <v>0</v>
      </c>
      <c r="E74" s="440"/>
      <c r="F74" s="439"/>
      <c r="G74" s="577"/>
    </row>
    <row r="75" spans="1:253" s="571" customFormat="1">
      <c r="A75" s="443" t="s">
        <v>656</v>
      </c>
      <c r="B75" s="442">
        <f>SUM(B70:B74)</f>
        <v>2490768</v>
      </c>
      <c r="C75" s="442">
        <f>SUM(C70:C74)</f>
        <v>2490768</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2133543</v>
      </c>
      <c r="C77" s="438">
        <f>'Sources and Uses Budget'!$C76</f>
        <v>2133543</v>
      </c>
      <c r="D77" s="442">
        <f t="shared" si="1"/>
        <v>0</v>
      </c>
      <c r="E77" s="440"/>
      <c r="F77" s="439"/>
      <c r="G77" s="577"/>
    </row>
    <row r="78" spans="1:253" s="571" customFormat="1">
      <c r="A78" s="893" t="s">
        <v>63</v>
      </c>
      <c r="B78" s="438">
        <f>'Sources and Uses Budget'!$C77</f>
        <v>514249</v>
      </c>
      <c r="C78" s="438">
        <f>'Sources and Uses Budget'!$C77</f>
        <v>514249</v>
      </c>
      <c r="D78" s="442">
        <f t="shared" ref="D78" si="2">C78-B78</f>
        <v>0</v>
      </c>
      <c r="E78" s="440"/>
      <c r="F78" s="439"/>
      <c r="G78" s="577"/>
    </row>
    <row r="79" spans="1:253" s="571" customFormat="1">
      <c r="A79" s="443" t="s">
        <v>1467</v>
      </c>
      <c r="B79" s="442">
        <f>SUM(B77:B78)</f>
        <v>2647792</v>
      </c>
      <c r="C79" s="442">
        <f>SUM(C77:C78)</f>
        <v>2647792</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85067</v>
      </c>
      <c r="C81" s="438">
        <f>'Sources and Uses Budget'!$C80</f>
        <v>85067</v>
      </c>
      <c r="D81" s="442">
        <f t="shared" si="1"/>
        <v>0</v>
      </c>
      <c r="E81" s="440"/>
      <c r="F81" s="439"/>
      <c r="G81" s="577"/>
    </row>
    <row r="82" spans="1:7" s="571" customFormat="1">
      <c r="A82" s="441" t="s">
        <v>845</v>
      </c>
      <c r="B82" s="438">
        <f>'Sources and Uses Budget'!$C81</f>
        <v>51738</v>
      </c>
      <c r="C82" s="438">
        <f>'Sources and Uses Budget'!$C81</f>
        <v>51738</v>
      </c>
      <c r="D82" s="442">
        <f t="shared" si="1"/>
        <v>0</v>
      </c>
      <c r="E82" s="440"/>
      <c r="F82" s="439"/>
      <c r="G82" s="577"/>
    </row>
    <row r="83" spans="1:7" s="571" customFormat="1">
      <c r="A83" s="441" t="s">
        <v>846</v>
      </c>
      <c r="B83" s="438">
        <f>'Sources and Uses Budget'!$C82</f>
        <v>355549</v>
      </c>
      <c r="C83" s="438">
        <f>'Sources and Uses Budget'!$C82</f>
        <v>355549</v>
      </c>
      <c r="D83" s="442">
        <f t="shared" si="1"/>
        <v>0</v>
      </c>
      <c r="E83" s="440"/>
      <c r="F83" s="439"/>
      <c r="G83" s="577"/>
    </row>
    <row r="84" spans="1:7" s="571" customFormat="1">
      <c r="A84" s="441" t="s">
        <v>847</v>
      </c>
      <c r="B84" s="438">
        <f>'Sources and Uses Budget'!$C83</f>
        <v>148298</v>
      </c>
      <c r="C84" s="438">
        <f>'Sources and Uses Budget'!$C83</f>
        <v>148298</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200000</v>
      </c>
      <c r="C86" s="438">
        <f>'Sources and Uses Budget'!$C85</f>
        <v>200000</v>
      </c>
      <c r="D86" s="442">
        <f t="shared" si="1"/>
        <v>0</v>
      </c>
      <c r="E86" s="440"/>
      <c r="F86" s="439"/>
      <c r="G86" s="577"/>
    </row>
    <row r="87" spans="1:7" s="571" customFormat="1">
      <c r="A87" s="441" t="s">
        <v>850</v>
      </c>
      <c r="B87" s="438">
        <f>'Sources and Uses Budget'!$C86</f>
        <v>730682</v>
      </c>
      <c r="C87" s="438">
        <f>'Sources and Uses Budget'!$C86</f>
        <v>730682</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1469</v>
      </c>
      <c r="B90" s="438">
        <f>'Sources and Uses Budget'!$C89</f>
        <v>14924</v>
      </c>
      <c r="C90" s="438">
        <f>'Sources and Uses Budget'!$C89</f>
        <v>14924</v>
      </c>
      <c r="D90" s="442">
        <f t="shared" si="1"/>
        <v>0</v>
      </c>
      <c r="E90" s="440"/>
      <c r="F90" s="439"/>
      <c r="G90" s="577"/>
    </row>
    <row r="91" spans="1:7" s="571" customFormat="1">
      <c r="A91" s="444" t="s">
        <v>37</v>
      </c>
      <c r="B91" s="438">
        <f>'Sources and Uses Budget'!$C90</f>
        <v>156705</v>
      </c>
      <c r="C91" s="438">
        <f>'Sources and Uses Budget'!$C90</f>
        <v>156705</v>
      </c>
      <c r="D91" s="442">
        <f t="shared" si="1"/>
        <v>0</v>
      </c>
      <c r="E91" s="440"/>
      <c r="F91" s="439"/>
      <c r="G91" s="577"/>
    </row>
    <row r="92" spans="1:7" s="571" customFormat="1">
      <c r="A92" s="444" t="s">
        <v>37</v>
      </c>
      <c r="B92" s="438">
        <f>'Sources and Uses Budget'!$C91</f>
        <v>298487</v>
      </c>
      <c r="C92" s="438">
        <f>'Sources and Uses Budget'!$C91</f>
        <v>298487</v>
      </c>
      <c r="D92" s="442">
        <f t="shared" si="1"/>
        <v>0</v>
      </c>
      <c r="E92" s="440"/>
      <c r="F92" s="439"/>
      <c r="G92" s="577"/>
    </row>
    <row r="93" spans="1:7" s="571" customFormat="1">
      <c r="A93" s="444" t="s">
        <v>37</v>
      </c>
      <c r="B93" s="438">
        <f>'Sources and Uses Budget'!$C92</f>
        <v>198991</v>
      </c>
      <c r="C93" s="438">
        <f>'Sources and Uses Budget'!$C92</f>
        <v>198991</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2250441</v>
      </c>
      <c r="C96" s="442">
        <f>SUM(C81:C95)</f>
        <v>2250441</v>
      </c>
      <c r="D96" s="442">
        <f t="shared" si="1"/>
        <v>0</v>
      </c>
      <c r="E96" s="440"/>
      <c r="F96" s="439"/>
      <c r="G96" s="577"/>
    </row>
    <row r="97" spans="1:7" s="571" customFormat="1">
      <c r="A97" s="443" t="s">
        <v>853</v>
      </c>
      <c r="B97" s="442">
        <f>SUM(B64+B68+B75+B79+B96)</f>
        <v>63904844</v>
      </c>
      <c r="C97" s="442">
        <f>SUM(C64+C68+C75+C79+C96)</f>
        <v>63904844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6805463</v>
      </c>
      <c r="C99" s="438">
        <f>'Sources and Uses Budget'!$C98</f>
        <v>6805463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6805463</v>
      </c>
      <c r="C105" s="442">
        <f>SUM(C99:C104)</f>
        <v>6805463</v>
      </c>
      <c r="D105" s="442">
        <f t="shared" si="1"/>
        <v>0</v>
      </c>
      <c r="E105" s="440"/>
      <c r="F105" s="439"/>
      <c r="G105" s="575"/>
    </row>
    <row r="106" spans="1:7" s="570" customFormat="1">
      <c r="A106" s="443" t="s">
        <v>861</v>
      </c>
      <c r="B106" s="445">
        <f>SUM(B97+B105)</f>
        <v>70710307</v>
      </c>
      <c r="C106" s="445">
        <f>SUM(C97+C105)</f>
        <v>70710307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328</v>
      </c>
    </row>
    <row r="4" spans="1:9">
      <c r="I4" s="702" t="s">
        <v>1198</v>
      </c>
    </row>
    <row r="5" spans="1:9" s="39" customFormat="1">
      <c r="A5" s="1017" t="s">
        <v>1125</v>
      </c>
      <c r="B5" s="1017"/>
      <c r="C5" s="1018"/>
      <c r="D5" s="1018"/>
      <c r="E5" s="1018"/>
      <c r="F5" s="1018"/>
      <c r="G5" s="1018"/>
      <c r="I5" s="702" t="s">
        <v>1199</v>
      </c>
    </row>
    <row r="6" spans="1:9" s="39" customFormat="1">
      <c r="A6" s="1017" t="s">
        <v>903</v>
      </c>
      <c r="B6" s="1017"/>
      <c r="C6" s="1018"/>
      <c r="D6" s="1018"/>
      <c r="E6" s="1018"/>
      <c r="F6" s="1018"/>
      <c r="G6" s="1018"/>
      <c r="I6" s="701" t="s">
        <v>641</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35" customHeight="1">
      <c r="C13" s="264"/>
      <c r="D13" s="1037" t="s">
        <v>1296</v>
      </c>
      <c r="E13" s="1037"/>
      <c r="F13" s="1037"/>
    </row>
    <row r="14" spans="1:9">
      <c r="C14" s="264"/>
      <c r="D14" s="1037"/>
      <c r="E14" s="1037"/>
      <c r="F14" s="1037"/>
    </row>
    <row r="15" spans="1:9">
      <c r="A15" s="269"/>
      <c r="B15" s="269"/>
      <c r="C15" s="269"/>
      <c r="D15" s="976" t="s">
        <v>1279</v>
      </c>
      <c r="E15" s="976"/>
      <c r="F15" s="976"/>
    </row>
    <row r="16" spans="1:9">
      <c r="A16" s="269"/>
      <c r="B16" s="269"/>
      <c r="C16" s="269"/>
      <c r="D16" s="337"/>
    </row>
    <row r="17" spans="1:7" ht="14.25">
      <c r="A17" s="270"/>
      <c r="B17" s="703" t="s">
        <v>328</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328</v>
      </c>
      <c r="D21" s="1029" t="s">
        <v>1281</v>
      </c>
      <c r="E21" s="1029"/>
      <c r="F21" s="1029"/>
    </row>
    <row r="22" spans="1:7" ht="14.25">
      <c r="A22" s="270"/>
      <c r="B22" s="270"/>
      <c r="D22" s="138"/>
    </row>
    <row r="23" spans="1:7" ht="14.25">
      <c r="A23" s="270"/>
      <c r="B23" s="703" t="s">
        <v>328</v>
      </c>
      <c r="D23" s="963" t="s">
        <v>1282</v>
      </c>
      <c r="E23" s="963"/>
      <c r="F23" s="963"/>
    </row>
    <row r="24" spans="1:7" ht="14.25">
      <c r="A24" s="270"/>
      <c r="B24" s="270"/>
      <c r="D24" s="963"/>
      <c r="E24" s="963"/>
      <c r="F24" s="963"/>
    </row>
    <row r="25" spans="1:7"/>
    <row r="26" spans="1:7" ht="14.25">
      <c r="A26" s="270"/>
      <c r="B26" s="703" t="s">
        <v>328</v>
      </c>
      <c r="D26" s="998" t="s">
        <v>1283</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328</v>
      </c>
      <c r="C32" s="282"/>
      <c r="D32" s="964" t="s">
        <v>1284</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328</v>
      </c>
      <c r="C35" s="578"/>
      <c r="D35" s="964" t="s">
        <v>1285</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328</v>
      </c>
      <c r="C39" s="723"/>
      <c r="D39" s="964" t="s">
        <v>1286</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328</v>
      </c>
      <c r="C45" s="578"/>
      <c r="D45" s="964" t="s">
        <v>1287</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328</v>
      </c>
      <c r="D50" s="964" t="s">
        <v>1288</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328</v>
      </c>
      <c r="C54" s="581"/>
      <c r="D54" s="964" t="s">
        <v>1289</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328</v>
      </c>
      <c r="D57" s="964" t="s">
        <v>1290</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328</v>
      </c>
      <c r="D61" s="964" t="s">
        <v>1291</v>
      </c>
      <c r="E61" s="964"/>
      <c r="F61" s="964"/>
    </row>
    <row r="62" spans="1:7">
      <c r="D62" s="964"/>
      <c r="E62" s="964"/>
      <c r="F62" s="964"/>
    </row>
    <row r="63" spans="1:7"/>
    <row r="64" spans="1:7" ht="14.25">
      <c r="A64" s="270"/>
      <c r="B64" s="703" t="s">
        <v>328</v>
      </c>
      <c r="D64" s="964" t="s">
        <v>1292</v>
      </c>
      <c r="E64" s="964"/>
      <c r="F64" s="964"/>
    </row>
    <row r="65" spans="1:7">
      <c r="D65" s="964"/>
      <c r="E65" s="964"/>
      <c r="F65" s="964"/>
    </row>
    <row r="66" spans="1:7">
      <c r="A66" s="579"/>
      <c r="C66" s="579"/>
      <c r="D66" s="964"/>
      <c r="E66" s="964"/>
      <c r="F66" s="964"/>
    </row>
    <row r="67" spans="1:7">
      <c r="D67" s="12"/>
    </row>
    <row r="68" spans="1:7" ht="14.25">
      <c r="A68" s="270"/>
      <c r="B68" s="703" t="s">
        <v>328</v>
      </c>
      <c r="D68" s="963" t="s">
        <v>1293</v>
      </c>
      <c r="E68" s="963"/>
      <c r="F68" s="963"/>
    </row>
    <row r="69" spans="1:7">
      <c r="D69" s="963"/>
      <c r="E69" s="963"/>
      <c r="F69" s="963"/>
    </row>
    <row r="70" spans="1:7" ht="14.25">
      <c r="A70" s="270"/>
      <c r="B70" s="270"/>
      <c r="D70" s="138"/>
    </row>
    <row r="71" spans="1:7">
      <c r="A71" s="983" t="s">
        <v>1200</v>
      </c>
      <c r="B71" s="983"/>
      <c r="C71" s="983"/>
      <c r="D71" s="983"/>
      <c r="E71" s="983"/>
      <c r="F71" s="983"/>
      <c r="G71" s="983"/>
    </row>
    <row r="72" spans="1:7"/>
    <row r="73" spans="1:7">
      <c r="C73" s="271"/>
      <c r="D73" s="1012" t="s">
        <v>1298</v>
      </c>
      <c r="E73" s="1012"/>
      <c r="F73" s="1012"/>
    </row>
    <row r="74" spans="1:7">
      <c r="A74" s="138"/>
      <c r="B74" s="138"/>
      <c r="D74" s="963" t="s">
        <v>1325</v>
      </c>
      <c r="E74" s="963"/>
      <c r="F74" s="963"/>
    </row>
    <row r="75" spans="1:7">
      <c r="A75" s="138"/>
      <c r="B75" s="138"/>
    </row>
    <row r="76" spans="1:7" ht="14.25">
      <c r="A76" s="270"/>
      <c r="B76" s="703" t="s">
        <v>328</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328</v>
      </c>
      <c r="C83" s="729"/>
      <c r="D83" s="992" t="s">
        <v>1398</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328</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328</v>
      </c>
      <c r="C106" s="486"/>
      <c r="D106" s="1020" t="s">
        <v>1301</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328</v>
      </c>
      <c r="C114"/>
      <c r="D114" s="1021" t="s">
        <v>1302</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328</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328</v>
      </c>
      <c r="C123" s="10"/>
      <c r="D123" s="964" t="s">
        <v>1304</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328</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5" t="s">
        <v>1305</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328</v>
      </c>
      <c r="C159" s="335"/>
      <c r="D159" s="971" t="s">
        <v>1306</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328</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1011" t="s">
        <v>483</v>
      </c>
      <c r="C170" s="1011"/>
      <c r="D170" s="1011"/>
      <c r="E170" s="1011"/>
      <c r="F170" s="1011"/>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07" t="s">
        <v>1310</v>
      </c>
      <c r="E174" s="1007"/>
      <c r="F174" s="1007"/>
      <c r="G174" s="57"/>
    </row>
    <row r="175" spans="1:7">
      <c r="A175" s="273"/>
      <c r="B175" s="273"/>
      <c r="C175" s="274"/>
      <c r="D175" s="1007"/>
      <c r="E175" s="1007"/>
      <c r="F175" s="1007"/>
      <c r="G175" s="57"/>
    </row>
    <row r="176" spans="1:7" s="743" customFormat="1">
      <c r="A176" s="745"/>
      <c r="B176" s="745"/>
      <c r="C176" s="274"/>
      <c r="D176" s="1008" t="s">
        <v>1311</v>
      </c>
      <c r="E176" s="1008"/>
      <c r="F176" s="1008"/>
      <c r="G176" s="57"/>
    </row>
    <row r="177" spans="1:7" ht="12" customHeight="1">
      <c r="A177" s="273"/>
      <c r="B177" s="273"/>
      <c r="C177" s="274"/>
      <c r="D177" s="57"/>
      <c r="E177" s="49"/>
      <c r="F177" s="57"/>
      <c r="G177" s="57"/>
    </row>
    <row r="178" spans="1:7" ht="14.25">
      <c r="A178" s="270"/>
      <c r="B178" s="703" t="s">
        <v>328</v>
      </c>
      <c r="C178" s="274"/>
      <c r="D178" s="1001" t="s">
        <v>1309</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1218</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328</v>
      </c>
      <c r="C186" s="581"/>
      <c r="D186" s="963" t="s">
        <v>1308</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09" t="s">
        <v>221</v>
      </c>
      <c r="E193" s="1009"/>
      <c r="F193" s="1009"/>
    </row>
    <row r="194" spans="1:6">
      <c r="A194" s="264"/>
      <c r="B194" s="697"/>
      <c r="C194" s="264"/>
      <c r="D194" s="978" t="s">
        <v>1332</v>
      </c>
      <c r="E194" s="988"/>
      <c r="F194" s="988"/>
    </row>
    <row r="195" spans="1:6" ht="12" customHeight="1">
      <c r="A195" s="23"/>
      <c r="B195" s="699"/>
      <c r="C195" s="23"/>
    </row>
    <row r="196" spans="1:6" ht="13.35" customHeight="1">
      <c r="A196" s="23"/>
      <c r="C196" s="23"/>
      <c r="D196" s="986" t="s">
        <v>592</v>
      </c>
      <c r="E196" s="986"/>
      <c r="F196" s="986"/>
    </row>
    <row r="197" spans="1:6" ht="14.25">
      <c r="A197" s="270"/>
      <c r="B197" s="703" t="s">
        <v>328</v>
      </c>
      <c r="D197" s="963" t="s">
        <v>1326</v>
      </c>
      <c r="E197" s="963"/>
      <c r="F197" s="963"/>
    </row>
    <row r="198" spans="1:6" ht="14.25">
      <c r="A198" s="270"/>
      <c r="B198" s="270"/>
      <c r="D198" s="963"/>
      <c r="E198" s="963"/>
      <c r="F198" s="963"/>
    </row>
    <row r="199" spans="1:6"/>
    <row r="200" spans="1:6" ht="14.25">
      <c r="A200" s="270"/>
      <c r="B200" s="703" t="s">
        <v>328</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328</v>
      </c>
      <c r="D210" s="977" t="s">
        <v>1329</v>
      </c>
      <c r="E210" s="977"/>
      <c r="F210" s="977"/>
    </row>
    <row r="211" spans="1:7" ht="14.25">
      <c r="A211" s="270"/>
      <c r="B211" s="270"/>
      <c r="D211" s="977"/>
      <c r="E211" s="977"/>
      <c r="F211" s="977"/>
    </row>
    <row r="212" spans="1:7" ht="14.25">
      <c r="A212" s="270"/>
      <c r="B212" s="270"/>
      <c r="D212" s="1011" t="s">
        <v>992</v>
      </c>
      <c r="E212" s="1011"/>
      <c r="F212" s="1011"/>
    </row>
    <row r="213" spans="1:7" ht="14.25">
      <c r="A213" s="270"/>
      <c r="B213" s="270"/>
      <c r="D213" s="138"/>
      <c r="E213" s="138"/>
      <c r="F213" s="138"/>
    </row>
    <row r="214" spans="1:7" ht="14.45" customHeight="1">
      <c r="A214" s="270"/>
      <c r="B214" s="703" t="s">
        <v>328</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328</v>
      </c>
      <c r="D220" s="963" t="s">
        <v>1330</v>
      </c>
      <c r="E220" s="963"/>
      <c r="F220" s="963"/>
    </row>
    <row r="221" spans="1:7" ht="14.25">
      <c r="A221" s="270"/>
      <c r="B221" s="270"/>
      <c r="D221" s="963"/>
      <c r="E221" s="963"/>
      <c r="F221" s="963"/>
    </row>
    <row r="222" spans="1:7">
      <c r="D222" s="29"/>
    </row>
    <row r="223" spans="1:7">
      <c r="A223" s="983" t="s">
        <v>1204</v>
      </c>
      <c r="B223" s="983"/>
      <c r="C223" s="983"/>
      <c r="D223" s="983"/>
      <c r="E223" s="983"/>
      <c r="F223" s="983"/>
      <c r="G223" s="983"/>
    </row>
    <row r="224" spans="1:7">
      <c r="D224" s="29"/>
    </row>
    <row r="225" spans="1:6">
      <c r="C225" s="271"/>
      <c r="D225" s="986" t="s">
        <v>1333</v>
      </c>
      <c r="E225" s="986"/>
      <c r="F225" s="986"/>
    </row>
    <row r="226" spans="1:6">
      <c r="A226" s="264"/>
      <c r="B226" s="697"/>
      <c r="C226" s="264"/>
      <c r="D226" s="138"/>
      <c r="E226" s="138"/>
      <c r="F226" s="138"/>
    </row>
    <row r="227" spans="1:6">
      <c r="A227" s="269"/>
      <c r="B227" s="269"/>
      <c r="C227" s="269"/>
      <c r="D227" s="986" t="s">
        <v>284</v>
      </c>
      <c r="E227" s="986"/>
      <c r="F227" s="986"/>
    </row>
    <row r="228" spans="1:6" ht="14.25">
      <c r="A228" s="270"/>
      <c r="B228" s="703" t="s">
        <v>328</v>
      </c>
      <c r="D228" s="987" t="s">
        <v>1334</v>
      </c>
      <c r="E228" s="987"/>
      <c r="F228" s="987"/>
    </row>
    <row r="229" spans="1:6" ht="14.25">
      <c r="A229" s="270"/>
      <c r="B229" s="270"/>
      <c r="D229" s="987"/>
      <c r="E229" s="987"/>
      <c r="F229" s="987"/>
    </row>
    <row r="230" spans="1:6">
      <c r="D230" s="138"/>
      <c r="E230" s="138"/>
      <c r="F230" s="138"/>
    </row>
    <row r="231" spans="1:6" ht="14.45" customHeight="1">
      <c r="A231" s="270"/>
      <c r="B231" s="703" t="s">
        <v>328</v>
      </c>
      <c r="D231" s="977" t="s">
        <v>1335</v>
      </c>
      <c r="E231" s="977"/>
      <c r="F231" s="977"/>
    </row>
    <row r="232" spans="1:6">
      <c r="D232" s="977"/>
      <c r="E232" s="977"/>
      <c r="F232" s="977"/>
    </row>
    <row r="233" spans="1:6">
      <c r="D233" s="988" t="s">
        <v>983</v>
      </c>
      <c r="E233" s="988"/>
      <c r="F233" s="988"/>
    </row>
    <row r="234" spans="1:6">
      <c r="D234" s="138"/>
      <c r="E234" s="138"/>
      <c r="F234" s="138"/>
    </row>
    <row r="235" spans="1:6" ht="14.45" customHeight="1">
      <c r="A235" s="270"/>
      <c r="B235" s="703" t="s">
        <v>328</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328</v>
      </c>
      <c r="D241" s="963" t="s">
        <v>1336</v>
      </c>
      <c r="E241" s="963"/>
      <c r="F241" s="963"/>
    </row>
    <row r="242" spans="1:7">
      <c r="D242" s="963"/>
      <c r="E242" s="963"/>
      <c r="F242" s="963"/>
    </row>
    <row r="243" spans="1:7">
      <c r="D243" s="963"/>
      <c r="E243" s="963"/>
      <c r="F243" s="963"/>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1012" t="s">
        <v>1338</v>
      </c>
      <c r="E247" s="1012"/>
      <c r="F247" s="1012"/>
    </row>
    <row r="248" spans="1:7">
      <c r="C248" s="264"/>
      <c r="D248" s="1012"/>
      <c r="E248" s="1012"/>
      <c r="F248" s="1012"/>
    </row>
    <row r="249" spans="1:7">
      <c r="A249" s="269"/>
      <c r="B249" s="269"/>
      <c r="C249" s="269"/>
      <c r="D249" s="5"/>
      <c r="E249" s="6"/>
      <c r="F249" s="6"/>
    </row>
    <row r="250" spans="1:7">
      <c r="C250" s="269"/>
      <c r="D250" s="986" t="s">
        <v>222</v>
      </c>
      <c r="E250" s="986"/>
      <c r="F250" s="986"/>
    </row>
    <row r="251" spans="1:7" ht="15.75" customHeight="1">
      <c r="A251" s="270"/>
      <c r="B251" s="270"/>
      <c r="D251" s="994" t="s">
        <v>1339</v>
      </c>
      <c r="E251" s="994"/>
      <c r="F251" s="994"/>
    </row>
    <row r="252" spans="1:7">
      <c r="E252" s="138"/>
      <c r="F252" s="138"/>
    </row>
    <row r="253" spans="1:7" ht="14.25">
      <c r="A253" s="270"/>
      <c r="B253" s="703" t="s">
        <v>328</v>
      </c>
      <c r="D253" s="963" t="s">
        <v>1340</v>
      </c>
      <c r="E253" s="963"/>
      <c r="F253" s="963"/>
    </row>
    <row r="254" spans="1:7" ht="14.25">
      <c r="A254" s="270"/>
      <c r="B254" s="270"/>
      <c r="D254" s="963"/>
      <c r="E254" s="963"/>
      <c r="F254" s="963"/>
    </row>
    <row r="255" spans="1:7">
      <c r="D255" s="138"/>
      <c r="E255" s="138"/>
      <c r="F255" s="138"/>
    </row>
    <row r="256" spans="1:7" ht="14.25">
      <c r="A256" s="270"/>
      <c r="B256" s="703" t="s">
        <v>328</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328</v>
      </c>
      <c r="D260" s="963" t="s">
        <v>1342</v>
      </c>
      <c r="E260" s="963"/>
      <c r="F260" s="963"/>
    </row>
    <row r="261" spans="1:7" ht="14.25">
      <c r="A261" s="270"/>
      <c r="B261" s="270"/>
      <c r="D261" s="963"/>
      <c r="E261" s="963"/>
      <c r="F261" s="963"/>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6" t="s">
        <v>735</v>
      </c>
      <c r="E265" s="986"/>
      <c r="F265" s="986"/>
    </row>
    <row r="266" spans="1:7">
      <c r="C266" s="23"/>
      <c r="D266" s="976" t="s">
        <v>1343</v>
      </c>
      <c r="E266" s="976"/>
      <c r="F266" s="976"/>
    </row>
    <row r="267" spans="1:7">
      <c r="C267" s="23"/>
      <c r="D267" s="268"/>
    </row>
    <row r="268" spans="1:7">
      <c r="A268" s="282"/>
      <c r="B268" s="703" t="s">
        <v>328</v>
      </c>
      <c r="D268" s="976" t="s">
        <v>1344</v>
      </c>
      <c r="E268" s="976"/>
      <c r="F268" s="976"/>
    </row>
    <row r="269" spans="1:7" s="39" customFormat="1" ht="14.25">
      <c r="A269" s="420"/>
      <c r="B269" s="420"/>
      <c r="C269" s="282"/>
      <c r="D269" s="514"/>
      <c r="E269" s="515"/>
      <c r="F269" s="515"/>
      <c r="G269" s="133"/>
    </row>
    <row r="270" spans="1:7" s="39" customFormat="1" ht="13.35" customHeight="1">
      <c r="A270" s="282"/>
      <c r="B270" s="703" t="s">
        <v>328</v>
      </c>
      <c r="C270" s="282"/>
      <c r="D270" s="989" t="s">
        <v>1345</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35" customHeight="1">
      <c r="A276" s="282"/>
      <c r="B276" s="703" t="s">
        <v>328</v>
      </c>
      <c r="C276" s="282"/>
      <c r="D276" s="989" t="s">
        <v>1346</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328</v>
      </c>
      <c r="D279" s="976" t="s">
        <v>1347</v>
      </c>
      <c r="E279" s="976"/>
      <c r="F279" s="976"/>
    </row>
    <row r="280" spans="1:7">
      <c r="E280" s="138"/>
      <c r="F280" s="138"/>
    </row>
    <row r="281" spans="1:7" ht="14.25">
      <c r="A281" s="270"/>
      <c r="B281" s="703" t="s">
        <v>328</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328</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328</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1092</v>
      </c>
      <c r="E314" s="995"/>
      <c r="F314" s="995"/>
      <c r="G314" s="12"/>
    </row>
    <row r="315" spans="1:7" s="743" customFormat="1" ht="13.5" thickTop="1">
      <c r="A315" s="755"/>
      <c r="B315" s="755"/>
      <c r="C315" s="755"/>
      <c r="D315" s="996" t="s">
        <v>1351</v>
      </c>
      <c r="E315" s="996"/>
      <c r="F315" s="996"/>
    </row>
    <row r="316" spans="1:7">
      <c r="A316" s="335"/>
      <c r="B316" s="335"/>
      <c r="C316" s="335"/>
      <c r="D316" s="484"/>
      <c r="E316" s="484"/>
      <c r="F316" s="138"/>
      <c r="G316" s="12"/>
    </row>
    <row r="317" spans="1:7" ht="14.25">
      <c r="A317" s="270"/>
      <c r="B317" s="703" t="s">
        <v>328</v>
      </c>
      <c r="C317" s="335"/>
      <c r="D317" s="997" t="s">
        <v>1352</v>
      </c>
      <c r="E317" s="997"/>
      <c r="F317" s="997"/>
      <c r="G317" s="12"/>
    </row>
    <row r="318" spans="1:7">
      <c r="A318" s="335"/>
      <c r="B318" s="335"/>
      <c r="C318" s="335"/>
      <c r="D318" s="484"/>
      <c r="E318" s="484"/>
      <c r="F318" s="138"/>
      <c r="G318" s="12"/>
    </row>
    <row r="319" spans="1:7">
      <c r="A319" s="335"/>
      <c r="B319" s="703" t="s">
        <v>328</v>
      </c>
      <c r="C319" s="335"/>
      <c r="D319" s="992" t="s">
        <v>1353</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328</v>
      </c>
      <c r="C331" s="335"/>
      <c r="D331" s="990" t="s">
        <v>1354</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1355</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35" customHeight="1">
      <c r="A345" s="335"/>
      <c r="B345" s="335"/>
      <c r="C345" s="335"/>
      <c r="D345" s="991" t="s">
        <v>1356</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328</v>
      </c>
      <c r="C364" s="335"/>
      <c r="D364" s="991" t="s">
        <v>1357</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328</v>
      </c>
      <c r="C367" s="335"/>
      <c r="D367" s="992" t="s">
        <v>1358</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328</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328</v>
      </c>
      <c r="C405" s="275"/>
      <c r="D405" s="976" t="s">
        <v>1360</v>
      </c>
      <c r="E405" s="976"/>
      <c r="F405" s="976"/>
    </row>
    <row r="406" spans="1:7">
      <c r="D406" s="993" t="s">
        <v>1117</v>
      </c>
      <c r="E406" s="993"/>
      <c r="F406" s="993"/>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328</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328</v>
      </c>
      <c r="C416" s="270"/>
      <c r="D416" s="977" t="s">
        <v>1363</v>
      </c>
      <c r="E416" s="977"/>
      <c r="F416" s="977"/>
      <c r="G416" s="12"/>
    </row>
    <row r="417" spans="1:7">
      <c r="D417" s="977"/>
      <c r="E417" s="977"/>
      <c r="F417" s="977"/>
      <c r="G417" s="12"/>
    </row>
    <row r="418" spans="1:7">
      <c r="D418" s="138"/>
      <c r="E418" s="138"/>
      <c r="F418" s="138"/>
      <c r="G418" s="12"/>
    </row>
    <row r="419" spans="1:7" ht="14.25">
      <c r="B419" s="703" t="s">
        <v>328</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328</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328</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328</v>
      </c>
      <c r="C430" s="12"/>
      <c r="D430" s="977"/>
      <c r="E430" s="977"/>
      <c r="F430" s="977"/>
      <c r="G430" s="12"/>
    </row>
    <row r="431" spans="1:7">
      <c r="A431" s="12"/>
      <c r="B431" s="12"/>
      <c r="C431" s="12"/>
      <c r="D431" s="977"/>
      <c r="E431" s="977"/>
      <c r="F431" s="977"/>
      <c r="G431" s="12"/>
    </row>
    <row r="432" spans="1:7">
      <c r="A432" s="12"/>
      <c r="B432" s="703" t="s">
        <v>328</v>
      </c>
      <c r="C432" s="12"/>
      <c r="D432" s="977"/>
      <c r="E432" s="977"/>
      <c r="F432" s="977"/>
      <c r="G432" s="12"/>
    </row>
    <row r="433" spans="1:7" s="743" customFormat="1">
      <c r="D433" s="753"/>
      <c r="E433" s="753"/>
      <c r="F433" s="753"/>
    </row>
    <row r="434" spans="1:7">
      <c r="A434" s="12"/>
      <c r="B434" s="742" t="s">
        <v>328</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328</v>
      </c>
      <c r="D440" s="978" t="s">
        <v>1366</v>
      </c>
      <c r="E440" s="978"/>
      <c r="F440" s="978"/>
    </row>
    <row r="441" spans="1:7">
      <c r="A441" s="138"/>
      <c r="B441" s="138"/>
    </row>
    <row r="442" spans="1:7">
      <c r="A442" s="983" t="s">
        <v>1207</v>
      </c>
      <c r="B442" s="983"/>
      <c r="C442" s="983"/>
      <c r="D442" s="983"/>
      <c r="E442" s="983"/>
      <c r="F442" s="983"/>
      <c r="G442" s="983"/>
    </row>
    <row r="443" spans="1:7">
      <c r="A443" s="138"/>
      <c r="B443" s="138"/>
    </row>
    <row r="444" spans="1:7">
      <c r="D444" s="979" t="s">
        <v>977</v>
      </c>
      <c r="E444" s="979"/>
      <c r="F444" s="979"/>
    </row>
    <row r="445" spans="1:7" s="39" customFormat="1" ht="14.25">
      <c r="A445" s="420"/>
      <c r="B445" s="420"/>
      <c r="C445" s="282"/>
      <c r="D445" s="980" t="s">
        <v>1367</v>
      </c>
      <c r="E445" s="980"/>
      <c r="F445" s="980"/>
      <c r="G445" s="133"/>
    </row>
    <row r="446" spans="1:7" s="39" customFormat="1" ht="14.25">
      <c r="A446" s="420"/>
      <c r="B446" s="420"/>
      <c r="C446" s="282"/>
      <c r="D446" s="756"/>
      <c r="E446" s="6"/>
      <c r="F446" s="6"/>
      <c r="G446" s="133"/>
    </row>
    <row r="447" spans="1:7" s="39" customFormat="1" ht="14.25">
      <c r="A447" s="270"/>
      <c r="B447" s="703" t="s">
        <v>328</v>
      </c>
      <c r="C447" s="282"/>
      <c r="D447" s="981" t="s">
        <v>1368</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328</v>
      </c>
      <c r="D450" s="982" t="s">
        <v>1369</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328</v>
      </c>
      <c r="D455" s="964" t="s">
        <v>1370</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328</v>
      </c>
      <c r="D459" s="976" t="s">
        <v>1371</v>
      </c>
      <c r="E459" s="976"/>
      <c r="F459" s="976"/>
      <c r="G459" s="12"/>
    </row>
    <row r="460" spans="1:7" ht="14.25">
      <c r="A460" s="270"/>
      <c r="B460" s="270"/>
      <c r="D460" s="754"/>
      <c r="E460" s="6"/>
      <c r="F460" s="6"/>
      <c r="G460" s="12"/>
    </row>
    <row r="461" spans="1:7" ht="14.25">
      <c r="A461" s="270"/>
      <c r="B461" s="703" t="s">
        <v>328</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328</v>
      </c>
      <c r="D464" s="976" t="s">
        <v>1373</v>
      </c>
      <c r="E464" s="976"/>
      <c r="F464" s="976"/>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874</v>
      </c>
      <c r="E468" s="984"/>
      <c r="F468" s="984"/>
      <c r="G468" s="187"/>
    </row>
    <row r="469" spans="1:7" customFormat="1" ht="13.35" customHeight="1">
      <c r="A469" s="269"/>
      <c r="B469" s="269"/>
      <c r="C469" s="323"/>
      <c r="D469" s="985" t="s">
        <v>1251</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328</v>
      </c>
      <c r="C475" s="323"/>
      <c r="D475" s="1025" t="s">
        <v>1242</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328</v>
      </c>
      <c r="C481" s="323"/>
      <c r="D481" s="1025" t="s">
        <v>1245</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5" t="s">
        <v>1243</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328</v>
      </c>
      <c r="C490" s="323"/>
      <c r="D490" s="1025" t="s">
        <v>1244</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35" customHeight="1">
      <c r="A500" s="504"/>
      <c r="B500" s="703" t="s">
        <v>328</v>
      </c>
      <c r="C500" s="503"/>
      <c r="D500" s="975" t="s">
        <v>1388</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328</v>
      </c>
      <c r="C506" s="10"/>
      <c r="D506" s="1025" t="s">
        <v>1246</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1011" t="s">
        <v>483</v>
      </c>
      <c r="C512" s="1011"/>
      <c r="D512" s="1011"/>
      <c r="E512" s="1011"/>
      <c r="F512" s="1011"/>
    </row>
    <row r="513" spans="1:7">
      <c r="A513" s="138"/>
      <c r="B513" s="138"/>
      <c r="C513" s="275"/>
      <c r="D513" s="138"/>
      <c r="F513" s="138"/>
    </row>
    <row r="514" spans="1:7">
      <c r="A514" s="1033" t="s">
        <v>1210</v>
      </c>
      <c r="B514" s="1033"/>
      <c r="C514" s="1033"/>
      <c r="D514" s="1033"/>
      <c r="E514" s="1033"/>
      <c r="F514" s="1033"/>
      <c r="G514" s="1033"/>
    </row>
    <row r="515" spans="1:7">
      <c r="A515" s="138"/>
      <c r="B515" s="138"/>
      <c r="C515" s="275"/>
      <c r="D515" s="138"/>
      <c r="F515" s="138"/>
    </row>
    <row r="516" spans="1:7">
      <c r="C516" s="275"/>
      <c r="D516" s="986" t="s">
        <v>736</v>
      </c>
      <c r="E516" s="986"/>
      <c r="F516" s="986"/>
    </row>
    <row r="517" spans="1:7" s="706" customFormat="1">
      <c r="A517" s="723"/>
      <c r="B517" s="723"/>
      <c r="C517" s="275"/>
      <c r="D517" s="976" t="s">
        <v>1267</v>
      </c>
      <c r="E517" s="976"/>
      <c r="F517" s="976"/>
      <c r="G517" s="7"/>
    </row>
    <row r="518" spans="1:7" s="706" customFormat="1">
      <c r="A518" s="723"/>
      <c r="B518" s="723"/>
      <c r="C518" s="275"/>
      <c r="D518" s="728"/>
      <c r="E518" s="728"/>
      <c r="F518" s="728"/>
      <c r="G518" s="7"/>
    </row>
    <row r="519" spans="1:7" ht="13.35" customHeight="1">
      <c r="A519" s="270"/>
      <c r="B519" s="703" t="s">
        <v>328</v>
      </c>
      <c r="C519" s="275"/>
      <c r="D519" s="976" t="s">
        <v>978</v>
      </c>
      <c r="E519" s="976"/>
      <c r="F519" s="976"/>
      <c r="G519" s="12"/>
    </row>
    <row r="520" spans="1:7" ht="13.35" customHeight="1">
      <c r="A520" s="275"/>
      <c r="B520" s="275"/>
      <c r="C520" s="275"/>
      <c r="D520" s="728"/>
      <c r="E520" s="701"/>
      <c r="F520" s="701"/>
      <c r="G520" s="12"/>
    </row>
    <row r="521" spans="1:7" ht="14.25">
      <c r="A521" s="270"/>
      <c r="B521" s="703" t="s">
        <v>328</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328</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328</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328</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328</v>
      </c>
      <c r="C534" s="275"/>
      <c r="D534" s="998" t="s">
        <v>1389</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328</v>
      </c>
      <c r="C537" s="275"/>
      <c r="D537" s="998" t="s">
        <v>1272</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328</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328</v>
      </c>
      <c r="C543" s="275"/>
      <c r="D543" s="976" t="s">
        <v>1274</v>
      </c>
      <c r="E543" s="976"/>
      <c r="F543" s="976"/>
      <c r="G543" s="57"/>
    </row>
    <row r="544" spans="1:7">
      <c r="A544" s="23"/>
      <c r="B544" s="699"/>
      <c r="C544" s="275"/>
      <c r="D544" s="976" t="s">
        <v>904</v>
      </c>
      <c r="E544" s="976"/>
      <c r="F544" s="976"/>
      <c r="G544" s="57"/>
    </row>
    <row r="545" spans="1:7">
      <c r="A545" s="23"/>
      <c r="B545" s="699"/>
      <c r="C545" s="275"/>
      <c r="D545" s="6"/>
      <c r="E545" s="994" t="s">
        <v>1275</v>
      </c>
      <c r="F545" s="994"/>
      <c r="G545" s="57"/>
    </row>
    <row r="546" spans="1:7" ht="14.25">
      <c r="A546" s="270"/>
      <c r="B546" s="270"/>
      <c r="C546" s="275"/>
      <c r="E546" s="138"/>
      <c r="F546" s="138"/>
      <c r="G546" s="57"/>
    </row>
    <row r="547" spans="1:7" ht="14.25">
      <c r="A547" s="270"/>
      <c r="B547" s="703" t="s">
        <v>328</v>
      </c>
      <c r="C547" s="275"/>
      <c r="D547" s="1038" t="s">
        <v>1276</v>
      </c>
      <c r="E547" s="1038"/>
      <c r="F547" s="1038"/>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328</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1012" t="s">
        <v>224</v>
      </c>
      <c r="E559" s="1012"/>
      <c r="F559" s="1012"/>
      <c r="G559" s="57"/>
    </row>
    <row r="560" spans="1:7">
      <c r="A560" s="269"/>
      <c r="B560" s="269"/>
      <c r="C560" s="269"/>
      <c r="D560" s="1006" t="s">
        <v>1227</v>
      </c>
      <c r="E560" s="1006"/>
      <c r="F560" s="1006"/>
      <c r="G560" s="57"/>
    </row>
    <row r="561" spans="1:7">
      <c r="A561" s="12"/>
      <c r="B561" s="12"/>
      <c r="C561" s="269"/>
      <c r="D561" s="393"/>
      <c r="G561" s="57"/>
    </row>
    <row r="562" spans="1:7">
      <c r="A562" s="269"/>
      <c r="B562" s="703" t="s">
        <v>328</v>
      </c>
      <c r="D562" s="1006" t="s">
        <v>984</v>
      </c>
      <c r="E562" s="1006"/>
      <c r="F562" s="1006"/>
      <c r="G562" s="57"/>
    </row>
    <row r="563" spans="1:7">
      <c r="A563" s="23"/>
      <c r="B563" s="699"/>
      <c r="D563" s="335"/>
    </row>
    <row r="564" spans="1:7">
      <c r="A564" s="23"/>
      <c r="B564" s="703" t="s">
        <v>328</v>
      </c>
      <c r="D564" s="982" t="s">
        <v>1228</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328</v>
      </c>
      <c r="C568" s="713"/>
      <c r="D568" s="982" t="s">
        <v>1229</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328</v>
      </c>
      <c r="D573" s="982" t="s">
        <v>1230</v>
      </c>
      <c r="E573" s="982"/>
      <c r="F573" s="982"/>
    </row>
    <row r="574" spans="1:7">
      <c r="A574" s="23"/>
      <c r="B574" s="699"/>
      <c r="D574" s="982"/>
      <c r="E574" s="982"/>
      <c r="F574" s="982"/>
    </row>
    <row r="575" spans="1:7">
      <c r="A575" s="23"/>
      <c r="B575" s="699"/>
      <c r="D575" s="393"/>
    </row>
    <row r="576" spans="1:7" s="706" customFormat="1">
      <c r="A576" s="712"/>
      <c r="B576" s="703" t="s">
        <v>328</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328</v>
      </c>
      <c r="D579" s="1006" t="s">
        <v>979</v>
      </c>
      <c r="E579" s="1006"/>
      <c r="F579" s="1006"/>
    </row>
    <row r="580" spans="1:7" ht="14.25">
      <c r="A580" s="270"/>
      <c r="B580" s="270"/>
      <c r="D580" s="393"/>
    </row>
    <row r="581" spans="1:7" ht="14.25">
      <c r="A581" s="270"/>
      <c r="B581" s="703" t="s">
        <v>328</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1212</v>
      </c>
      <c r="B588" s="983"/>
      <c r="C588" s="983"/>
      <c r="D588" s="983"/>
      <c r="E588" s="983"/>
      <c r="F588" s="983"/>
      <c r="G588" s="983"/>
    </row>
    <row r="589" spans="1:7"/>
    <row r="590" spans="1:7">
      <c r="D590" s="1000" t="s">
        <v>1312</v>
      </c>
      <c r="E590" s="1000"/>
      <c r="F590" s="1000"/>
    </row>
    <row r="591" spans="1:7">
      <c r="D591" s="1039" t="s">
        <v>1313</v>
      </c>
      <c r="E591" s="1039"/>
      <c r="F591" s="1039"/>
    </row>
    <row r="592" spans="1:7" s="743" customFormat="1">
      <c r="A592" s="729"/>
      <c r="B592" s="729"/>
      <c r="C592" s="729"/>
      <c r="D592" s="747"/>
      <c r="E592" s="746"/>
      <c r="F592" s="746"/>
      <c r="G592" s="7"/>
    </row>
    <row r="593" spans="1:7" s="39" customFormat="1" ht="14.25">
      <c r="A593" s="420"/>
      <c r="B593" s="703" t="s">
        <v>328</v>
      </c>
      <c r="C593" s="282"/>
      <c r="D593" s="1002" t="s">
        <v>1314</v>
      </c>
      <c r="E593" s="1002"/>
      <c r="F593" s="1002"/>
      <c r="G593" s="133"/>
    </row>
    <row r="594" spans="1:7">
      <c r="D594" s="1002"/>
      <c r="E594" s="1002"/>
      <c r="F594" s="1002"/>
    </row>
    <row r="595" spans="1:7">
      <c r="D595" s="1002"/>
      <c r="E595" s="1002"/>
      <c r="F595" s="1002"/>
    </row>
    <row r="596" spans="1:7"/>
    <row r="597" spans="1:7">
      <c r="A597" s="983" t="s">
        <v>1213</v>
      </c>
      <c r="B597" s="983"/>
      <c r="C597" s="983"/>
      <c r="D597" s="983"/>
      <c r="E597" s="983"/>
      <c r="F597" s="983"/>
      <c r="G597" s="983"/>
    </row>
    <row r="598" spans="1:7">
      <c r="A598" s="138"/>
      <c r="B598" s="138"/>
      <c r="G598" s="57"/>
    </row>
    <row r="599" spans="1:7">
      <c r="A599" s="266"/>
      <c r="B599" s="698"/>
      <c r="C599" s="264"/>
      <c r="D599" s="1040" t="s">
        <v>1315</v>
      </c>
      <c r="E599" s="1040"/>
      <c r="F599" s="1040"/>
      <c r="G599" s="57"/>
    </row>
    <row r="600" spans="1:7">
      <c r="A600" s="266"/>
      <c r="B600" s="698"/>
      <c r="C600" s="264"/>
      <c r="D600" s="1040"/>
      <c r="E600" s="1040"/>
      <c r="F600" s="1040"/>
      <c r="G600" s="57"/>
    </row>
    <row r="601" spans="1:7">
      <c r="C601" s="269"/>
      <c r="D601" s="1039" t="s">
        <v>1316</v>
      </c>
      <c r="E601" s="1039"/>
      <c r="F601" s="1039"/>
      <c r="G601" s="57"/>
    </row>
    <row r="602" spans="1:7" s="743" customFormat="1">
      <c r="A602" s="729"/>
      <c r="B602" s="729"/>
      <c r="C602" s="744"/>
      <c r="D602" s="748"/>
      <c r="E602" s="748"/>
      <c r="F602" s="748"/>
      <c r="G602" s="57"/>
    </row>
    <row r="603" spans="1:7">
      <c r="A603" s="23"/>
      <c r="B603" s="703" t="s">
        <v>328</v>
      </c>
      <c r="D603" s="1039" t="s">
        <v>466</v>
      </c>
      <c r="E603" s="1039"/>
      <c r="F603" s="1039"/>
      <c r="G603" s="57"/>
    </row>
    <row r="604" spans="1:7">
      <c r="C604" s="277"/>
      <c r="E604" s="12"/>
      <c r="G604" s="57"/>
    </row>
    <row r="605" spans="1:7">
      <c r="A605" s="23"/>
      <c r="B605" s="703" t="s">
        <v>328</v>
      </c>
      <c r="D605" s="999" t="s">
        <v>1317</v>
      </c>
      <c r="E605" s="999"/>
      <c r="F605" s="999"/>
      <c r="G605" s="57"/>
    </row>
    <row r="606" spans="1:7">
      <c r="D606" s="999"/>
      <c r="E606" s="999"/>
      <c r="F606" s="999"/>
      <c r="G606" s="57"/>
    </row>
    <row r="607" spans="1:7">
      <c r="D607" s="12"/>
      <c r="G607" s="57"/>
    </row>
    <row r="608" spans="1:7">
      <c r="B608" s="703" t="s">
        <v>328</v>
      </c>
      <c r="D608" s="999" t="s">
        <v>1318</v>
      </c>
      <c r="E608" s="999"/>
      <c r="F608" s="999"/>
      <c r="G608" s="57"/>
    </row>
    <row r="609" spans="1:7">
      <c r="C609" s="277"/>
      <c r="D609" s="999"/>
      <c r="E609" s="999"/>
      <c r="F609" s="999"/>
      <c r="G609" s="57"/>
    </row>
    <row r="610" spans="1:7">
      <c r="C610" s="277"/>
      <c r="G610" s="57"/>
    </row>
    <row r="611" spans="1:7">
      <c r="B611" s="703" t="s">
        <v>328</v>
      </c>
      <c r="C611" s="277"/>
      <c r="D611" s="999" t="s">
        <v>1319</v>
      </c>
      <c r="E611" s="999"/>
      <c r="F611" s="999"/>
      <c r="G611" s="57"/>
    </row>
    <row r="612" spans="1:7">
      <c r="C612" s="277"/>
      <c r="D612" s="999"/>
      <c r="E612" s="999"/>
      <c r="F612" s="999"/>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1000" t="s">
        <v>1320</v>
      </c>
      <c r="E616" s="1000"/>
      <c r="F616" s="1000"/>
      <c r="G616" s="57"/>
    </row>
    <row r="617" spans="1:7">
      <c r="A617" s="23"/>
      <c r="B617" s="699"/>
      <c r="C617" s="274"/>
      <c r="D617" s="50"/>
      <c r="G617" s="57"/>
    </row>
    <row r="618" spans="1:7" ht="14.25">
      <c r="A618" s="270"/>
      <c r="B618" s="703" t="s">
        <v>328</v>
      </c>
      <c r="C618" s="274"/>
      <c r="D618" s="1001" t="s">
        <v>1321</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328</v>
      </c>
      <c r="C625" s="274"/>
      <c r="D625" s="1001" t="s">
        <v>1322</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328</v>
      </c>
      <c r="C628" s="275"/>
      <c r="D628" s="1002" t="s">
        <v>1323</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328</v>
      </c>
      <c r="C633" s="275"/>
      <c r="D633" s="1003" t="s">
        <v>1324</v>
      </c>
      <c r="E633" s="1003"/>
      <c r="F633" s="100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04" t="s">
        <v>1374</v>
      </c>
      <c r="E637" s="1004"/>
      <c r="F637" s="1004"/>
      <c r="G637" s="57"/>
    </row>
    <row r="638" spans="1:7">
      <c r="A638" s="269"/>
      <c r="B638" s="269"/>
      <c r="C638" s="269"/>
      <c r="D638" s="1005" t="s">
        <v>1375</v>
      </c>
      <c r="E638" s="1005"/>
      <c r="F638" s="1005"/>
      <c r="G638" s="57"/>
    </row>
    <row r="639" spans="1:7" s="743" customFormat="1">
      <c r="A639" s="744"/>
      <c r="B639" s="744"/>
      <c r="C639" s="744"/>
      <c r="D639" s="758"/>
      <c r="E639" s="758"/>
      <c r="F639" s="758"/>
      <c r="G639" s="57"/>
    </row>
    <row r="640" spans="1:7" ht="14.45" customHeight="1">
      <c r="A640" s="270"/>
      <c r="B640" s="703" t="s">
        <v>328</v>
      </c>
      <c r="C640" s="275"/>
      <c r="D640" s="961" t="s">
        <v>1376</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328</v>
      </c>
      <c r="C646" s="275"/>
      <c r="D646" s="1022" t="s">
        <v>1226</v>
      </c>
      <c r="E646" s="1022"/>
      <c r="F646" s="1022"/>
      <c r="G646" s="57"/>
    </row>
    <row r="647" spans="1:11" s="706" customFormat="1" ht="14.25">
      <c r="A647" s="270"/>
      <c r="B647" s="270"/>
      <c r="C647" s="275"/>
      <c r="D647" s="1023" t="s">
        <v>1377</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1378</v>
      </c>
      <c r="E652" s="1024"/>
      <c r="F652" s="1024"/>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1252</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6" t="s">
        <v>980</v>
      </c>
      <c r="E660" s="976"/>
      <c r="F660" s="976"/>
      <c r="G660" s="57"/>
      <c r="H660" s="278"/>
      <c r="I660" s="278"/>
      <c r="J660" s="278"/>
      <c r="K660" s="278"/>
    </row>
    <row r="661" spans="1:11">
      <c r="A661" s="269"/>
      <c r="B661" s="269"/>
      <c r="C661" s="269"/>
      <c r="D661" s="976" t="s">
        <v>991</v>
      </c>
      <c r="E661" s="976"/>
      <c r="F661" s="976"/>
      <c r="G661" s="57"/>
      <c r="H661" s="278"/>
      <c r="I661" s="278"/>
      <c r="J661" s="278"/>
      <c r="K661" s="278"/>
    </row>
    <row r="662" spans="1:11">
      <c r="A662" s="269"/>
      <c r="B662" s="269"/>
      <c r="C662" s="269"/>
      <c r="D662" s="6"/>
      <c r="E662" s="972" t="s">
        <v>1253</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6" t="s">
        <v>1021</v>
      </c>
      <c r="E669" s="976"/>
      <c r="F669" s="976"/>
      <c r="G669" s="57"/>
      <c r="H669" s="278"/>
      <c r="I669" s="278"/>
      <c r="J669" s="278"/>
      <c r="K669" s="278"/>
    </row>
    <row r="670" spans="1:11" ht="14.25">
      <c r="A670" s="270"/>
      <c r="B670" s="270"/>
      <c r="C670" s="269"/>
      <c r="D670" s="976" t="s">
        <v>991</v>
      </c>
      <c r="E670" s="976"/>
      <c r="F670" s="976"/>
      <c r="G670" s="57"/>
      <c r="H670" s="278"/>
      <c r="I670" s="278"/>
      <c r="J670" s="278"/>
      <c r="K670" s="278"/>
    </row>
    <row r="671" spans="1:11">
      <c r="A671" s="269"/>
      <c r="B671" s="269"/>
      <c r="C671" s="269"/>
      <c r="D671" s="6"/>
      <c r="E671" s="994" t="s">
        <v>1255</v>
      </c>
      <c r="F671" s="994"/>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8" t="s">
        <v>1265</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8" t="s">
        <v>1256</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8" t="s">
        <v>1266</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8" t="s">
        <v>1263</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8" t="s">
        <v>1264</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8" t="s">
        <v>1257</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8" t="s">
        <v>1258</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8" t="s">
        <v>1392</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1260</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1217</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35" customHeight="1">
      <c r="C728" s="269"/>
      <c r="D728" s="1012" t="s">
        <v>1233</v>
      </c>
      <c r="E728" s="1012"/>
      <c r="F728" s="1012"/>
      <c r="G728" s="280"/>
      <c r="H728" s="278"/>
      <c r="I728" s="278"/>
      <c r="J728" s="278"/>
      <c r="K728" s="278"/>
    </row>
    <row r="729" spans="1:11">
      <c r="A729" s="269"/>
      <c r="B729" s="269"/>
      <c r="C729" s="269"/>
      <c r="D729" s="1029" t="s">
        <v>1234</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4" t="s">
        <v>1236</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328</v>
      </c>
      <c r="C743" s="425"/>
      <c r="D743" s="1030" t="s">
        <v>1237</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328</v>
      </c>
      <c r="C747" s="282"/>
      <c r="D747" s="964" t="s">
        <v>1238</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4" t="s">
        <v>1239</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1240</v>
      </c>
      <c r="B754" s="1035"/>
      <c r="C754" s="1035"/>
      <c r="D754" s="1035"/>
      <c r="E754" s="1035"/>
      <c r="F754" s="1035"/>
      <c r="G754" s="1035"/>
    </row>
    <row r="755" spans="1:11">
      <c r="A755" s="269"/>
      <c r="B755" s="269"/>
      <c r="C755" s="269"/>
      <c r="D755" s="285"/>
      <c r="F755" s="150"/>
      <c r="G755" s="280"/>
    </row>
    <row r="756" spans="1:11">
      <c r="A756" s="282"/>
      <c r="B756" s="282"/>
      <c r="C756" s="459"/>
      <c r="D756" s="1036" t="s">
        <v>1224</v>
      </c>
      <c r="E756" s="1036"/>
      <c r="F756" s="1036"/>
      <c r="G756" s="280"/>
    </row>
    <row r="757" spans="1:11">
      <c r="A757" s="523"/>
      <c r="B757" s="523"/>
      <c r="C757" s="522"/>
      <c r="D757" s="1026" t="s">
        <v>1241</v>
      </c>
      <c r="E757" s="1026"/>
      <c r="F757" s="1026"/>
      <c r="G757" s="280"/>
    </row>
    <row r="758" spans="1:11">
      <c r="A758" s="282"/>
      <c r="B758" s="282"/>
      <c r="C758" s="459"/>
      <c r="D758" s="717"/>
      <c r="E758" s="717"/>
      <c r="F758" s="717"/>
      <c r="G758" s="280"/>
    </row>
    <row r="759" spans="1:11" ht="14.25">
      <c r="A759" s="270"/>
      <c r="B759" s="703" t="s">
        <v>328</v>
      </c>
      <c r="C759" s="459"/>
      <c r="D759" s="1027" t="s">
        <v>1102</v>
      </c>
      <c r="E759" s="1027"/>
      <c r="F759" s="1027"/>
      <c r="G759" s="280"/>
    </row>
    <row r="760" spans="1:11">
      <c r="A760" s="282"/>
      <c r="B760" s="282"/>
      <c r="C760" s="459"/>
      <c r="D760" s="716"/>
      <c r="E760" s="1028" t="s">
        <v>1225</v>
      </c>
      <c r="F760" s="1028"/>
      <c r="G760" s="280"/>
    </row>
    <row r="761" spans="1:11">
      <c r="A761" s="276"/>
      <c r="B761" s="276"/>
      <c r="C761" s="276"/>
      <c r="D761" s="138"/>
      <c r="F761" s="57"/>
      <c r="G761" s="280"/>
    </row>
    <row r="762" spans="1:11">
      <c r="A762" s="1032" t="s">
        <v>484</v>
      </c>
      <c r="B762" s="1032"/>
      <c r="C762" s="1032"/>
      <c r="D762" s="1032"/>
      <c r="E762" s="1032"/>
      <c r="F762" s="1032"/>
      <c r="G762" s="1032"/>
    </row>
    <row r="763" spans="1:11">
      <c r="A763" s="264"/>
      <c r="B763" s="697"/>
      <c r="C763" s="275"/>
      <c r="D763" s="280"/>
      <c r="E763" s="280"/>
      <c r="F763" s="280"/>
      <c r="G763" s="280"/>
    </row>
    <row r="764" spans="1:11">
      <c r="A764" s="138"/>
      <c r="B764" s="1034" t="s">
        <v>1101</v>
      </c>
      <c r="C764" s="1034"/>
      <c r="D764" s="1034"/>
      <c r="E764" s="1034"/>
      <c r="F764" s="1034"/>
      <c r="G764" s="280"/>
    </row>
    <row r="765" spans="1:11">
      <c r="A765" s="23"/>
      <c r="B765" s="699"/>
      <c r="G765" s="280"/>
    </row>
    <row r="766" spans="1:11">
      <c r="A766" s="1032" t="s">
        <v>485</v>
      </c>
      <c r="B766" s="1032"/>
      <c r="C766" s="1032"/>
      <c r="D766" s="1032"/>
      <c r="E766" s="1032"/>
      <c r="F766" s="1032"/>
      <c r="G766" s="1032"/>
    </row>
    <row r="767" spans="1:11">
      <c r="A767" s="264"/>
      <c r="B767" s="697"/>
      <c r="C767" s="264"/>
      <c r="D767" s="272"/>
      <c r="G767" s="280"/>
    </row>
    <row r="768" spans="1:11">
      <c r="A768" s="138"/>
      <c r="B768" s="978" t="s">
        <v>483</v>
      </c>
      <c r="C768" s="978"/>
      <c r="D768" s="978"/>
      <c r="E768" s="978"/>
      <c r="F768" s="978"/>
      <c r="G768" s="280"/>
    </row>
    <row r="769" spans="1:7" ht="14.25">
      <c r="A769" s="270"/>
      <c r="B769" s="270"/>
      <c r="D769" s="138"/>
      <c r="E769" s="138"/>
      <c r="F769" s="280"/>
      <c r="G769" s="280"/>
    </row>
    <row r="770" spans="1:7">
      <c r="A770" s="1032" t="s">
        <v>486</v>
      </c>
      <c r="B770" s="1032"/>
      <c r="C770" s="1032"/>
      <c r="D770" s="1032"/>
      <c r="E770" s="1032"/>
      <c r="F770" s="1032"/>
      <c r="G770" s="1032"/>
    </row>
    <row r="771" spans="1:7">
      <c r="C771" s="269"/>
      <c r="D771" s="268"/>
      <c r="E771" s="138"/>
      <c r="F771" s="280"/>
      <c r="G771" s="280"/>
    </row>
    <row r="772" spans="1:7">
      <c r="A772" s="138"/>
      <c r="B772" s="978" t="s">
        <v>483</v>
      </c>
      <c r="C772" s="978"/>
      <c r="D772" s="978"/>
      <c r="E772" s="978"/>
      <c r="F772" s="978"/>
      <c r="G772" s="280"/>
    </row>
    <row r="773" spans="1:7">
      <c r="A773" s="138"/>
      <c r="B773" s="138"/>
      <c r="C773" s="275"/>
      <c r="D773" s="280"/>
      <c r="E773" s="280"/>
      <c r="F773" s="280"/>
      <c r="G773" s="280"/>
    </row>
    <row r="774" spans="1:7">
      <c r="A774" s="1032" t="s">
        <v>487</v>
      </c>
      <c r="B774" s="1032"/>
      <c r="C774" s="1032"/>
      <c r="D774" s="1032"/>
      <c r="E774" s="1032"/>
      <c r="F774" s="1032"/>
      <c r="G774" s="1032"/>
    </row>
    <row r="775" spans="1:7">
      <c r="A775" s="138"/>
      <c r="B775" s="138"/>
    </row>
    <row r="776" spans="1:7">
      <c r="A776" s="138"/>
      <c r="B776" s="978" t="s">
        <v>483</v>
      </c>
      <c r="C776" s="978"/>
      <c r="D776" s="978"/>
      <c r="E776" s="978"/>
      <c r="F776" s="978"/>
    </row>
    <row r="777" spans="1:7">
      <c r="A777" s="275"/>
      <c r="B777" s="275"/>
      <c r="C777" s="275"/>
      <c r="D777" s="267"/>
      <c r="F777" s="280"/>
    </row>
    <row r="778" spans="1:7">
      <c r="A778" s="1032" t="s">
        <v>488</v>
      </c>
      <c r="B778" s="1032"/>
      <c r="C778" s="1032"/>
      <c r="D778" s="1032"/>
      <c r="E778" s="1032"/>
      <c r="F778" s="1032"/>
      <c r="G778" s="1032"/>
    </row>
    <row r="779" spans="1:7">
      <c r="A779" s="138"/>
      <c r="B779" s="138"/>
    </row>
    <row r="780" spans="1:7">
      <c r="A780" s="138"/>
      <c r="B780" s="978" t="s">
        <v>483</v>
      </c>
      <c r="C780" s="978"/>
      <c r="D780" s="978"/>
      <c r="E780" s="978"/>
      <c r="F780" s="978"/>
    </row>
    <row r="781" spans="1:7">
      <c r="A781" s="275"/>
      <c r="B781" s="275"/>
      <c r="C781" s="275"/>
      <c r="D781" s="267"/>
      <c r="F781" s="280"/>
    </row>
    <row r="782" spans="1:7">
      <c r="A782" s="1032" t="s">
        <v>489</v>
      </c>
      <c r="B782" s="1032"/>
      <c r="C782" s="1032"/>
      <c r="D782" s="1032"/>
      <c r="E782" s="1032"/>
      <c r="F782" s="1032"/>
      <c r="G782" s="1032"/>
    </row>
    <row r="783" spans="1:7">
      <c r="A783" s="138"/>
      <c r="B783" s="138"/>
    </row>
    <row r="784" spans="1:7">
      <c r="A784" s="138"/>
      <c r="B784" s="978" t="s">
        <v>483</v>
      </c>
      <c r="C784" s="978"/>
      <c r="D784" s="978"/>
      <c r="E784" s="978"/>
      <c r="F784" s="978"/>
    </row>
    <row r="785" spans="1:7">
      <c r="A785" s="274"/>
      <c r="B785" s="274"/>
      <c r="C785" s="274"/>
      <c r="D785" s="286"/>
      <c r="E785" s="57"/>
      <c r="F785" s="57"/>
      <c r="G785" s="57"/>
    </row>
    <row r="786" spans="1:7">
      <c r="A786" s="1032" t="s">
        <v>199</v>
      </c>
      <c r="B786" s="1032"/>
      <c r="C786" s="1032"/>
      <c r="D786" s="1032"/>
      <c r="E786" s="1032"/>
      <c r="F786" s="1032"/>
      <c r="G786" s="1032"/>
    </row>
    <row r="787" spans="1:7">
      <c r="A787" s="138"/>
      <c r="B787" s="138"/>
    </row>
    <row r="788" spans="1:7">
      <c r="A788" s="138"/>
      <c r="B788" s="978" t="s">
        <v>483</v>
      </c>
      <c r="C788" s="978"/>
      <c r="D788" s="978"/>
      <c r="E788" s="978"/>
      <c r="F788" s="978"/>
    </row>
    <row r="789" spans="1:7">
      <c r="A789" s="138"/>
      <c r="B789" s="138"/>
      <c r="D789" s="267"/>
    </row>
    <row r="790" spans="1:7">
      <c r="A790" s="1032" t="s">
        <v>967</v>
      </c>
      <c r="B790" s="1032"/>
      <c r="C790" s="1032"/>
      <c r="D790" s="1032"/>
      <c r="E790" s="1032"/>
      <c r="F790" s="1032"/>
      <c r="G790" s="1032"/>
    </row>
    <row r="791" spans="1:7">
      <c r="A791" s="138"/>
      <c r="B791" s="138"/>
    </row>
    <row r="792" spans="1:7">
      <c r="A792" s="138"/>
      <c r="B792" s="978" t="s">
        <v>483</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1560</v>
      </c>
      <c r="B4" s="1047"/>
      <c r="C4" s="1047"/>
      <c r="D4" s="1047"/>
      <c r="E4" s="1047"/>
      <c r="F4" s="1047"/>
      <c r="G4" s="1047"/>
      <c r="H4" s="1047"/>
      <c r="I4" s="1047"/>
      <c r="J4" s="1047"/>
    </row>
    <row r="5" spans="1:10" ht="12.75"/>
    <row r="6" spans="1:10" ht="12.75">
      <c r="A6" s="1043" t="s">
        <v>1599</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1529</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9" t="s">
        <v>1131</v>
      </c>
      <c r="B76" s="969"/>
      <c r="C76" s="969"/>
      <c r="D76" s="969"/>
      <c r="E76" s="969"/>
    </row>
    <row r="77" spans="1:9" ht="12.75">
      <c r="A77" s="969" t="s">
        <v>1438</v>
      </c>
      <c r="B77" s="969"/>
      <c r="C77" s="969"/>
      <c r="D77" s="969"/>
      <c r="E77" s="969"/>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F23" sqref="F23"/>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8" t="s">
        <v>1561</v>
      </c>
      <c r="B2" s="1058"/>
      <c r="C2" s="1059"/>
      <c r="D2" s="1059"/>
      <c r="E2" s="1059"/>
      <c r="F2" s="1059"/>
      <c r="G2" s="1059"/>
    </row>
    <row r="3" spans="1:9">
      <c r="A3" s="1066" t="s">
        <v>1564</v>
      </c>
      <c r="B3" s="1066"/>
      <c r="C3" s="1067"/>
      <c r="D3" s="1067"/>
      <c r="E3" s="1067"/>
      <c r="F3" s="1067"/>
      <c r="G3" s="1067"/>
      <c r="I3" s="717" t="s">
        <v>1198</v>
      </c>
    </row>
    <row r="4" spans="1:9">
      <c r="A4" s="1062" t="s">
        <v>1563</v>
      </c>
      <c r="B4" s="1062"/>
      <c r="C4" s="1068"/>
      <c r="D4" s="1068"/>
      <c r="E4" s="1068"/>
      <c r="F4" s="1068"/>
      <c r="G4" s="1068"/>
      <c r="I4" s="717"/>
    </row>
    <row r="5" spans="1:9" s="816" customFormat="1">
      <c r="A5" s="1062"/>
      <c r="B5" s="1062"/>
      <c r="C5" s="1063"/>
      <c r="D5" s="1063"/>
      <c r="E5" s="1063"/>
      <c r="F5" s="1063"/>
      <c r="G5" s="1063"/>
      <c r="I5" s="717" t="s">
        <v>1199</v>
      </c>
    </row>
    <row r="6" spans="1:9" s="816" customFormat="1">
      <c r="A6" s="1060" t="s">
        <v>1294</v>
      </c>
      <c r="B6" s="1060"/>
      <c r="C6" s="1061"/>
      <c r="D6" s="1061"/>
      <c r="E6" s="1061"/>
      <c r="F6" s="1061"/>
      <c r="G6" s="1061"/>
    </row>
    <row r="7" spans="1:9" s="816" customFormat="1">
      <c r="A7" s="1060" t="s">
        <v>1295</v>
      </c>
      <c r="B7" s="1060"/>
      <c r="C7" s="1061"/>
      <c r="D7" s="1061"/>
      <c r="E7" s="1061"/>
      <c r="F7" s="1061"/>
      <c r="G7" s="106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85" t="s">
        <v>1296</v>
      </c>
      <c r="E11" s="1085"/>
      <c r="F11" s="1085"/>
    </row>
    <row r="12" spans="1:9">
      <c r="C12" s="818"/>
      <c r="D12" s="1085"/>
      <c r="E12" s="1085"/>
      <c r="F12" s="1085"/>
    </row>
    <row r="13" spans="1:9">
      <c r="A13" s="820"/>
      <c r="B13" s="820"/>
      <c r="C13" s="820"/>
      <c r="D13" s="1003" t="s">
        <v>1279</v>
      </c>
      <c r="E13" s="1003"/>
      <c r="F13" s="1003"/>
    </row>
    <row r="14" spans="1:9">
      <c r="A14" s="820"/>
      <c r="B14" s="820"/>
      <c r="C14" s="820"/>
      <c r="D14" s="821"/>
    </row>
    <row r="15" spans="1:9" ht="14.25">
      <c r="A15" s="822"/>
      <c r="B15" s="823"/>
      <c r="C15" s="824"/>
      <c r="D15" s="1001" t="s">
        <v>1280</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1199</v>
      </c>
      <c r="D19" s="1027" t="s">
        <v>1281</v>
      </c>
      <c r="E19" s="1027"/>
      <c r="F19" s="1027"/>
    </row>
    <row r="20" spans="1:7" ht="14.25">
      <c r="A20" s="822"/>
      <c r="B20" s="822"/>
      <c r="D20" s="825"/>
    </row>
    <row r="21" spans="1:7" ht="14.25">
      <c r="A21" s="822"/>
      <c r="B21" s="823"/>
      <c r="D21" s="1001" t="s">
        <v>1282</v>
      </c>
      <c r="E21" s="1001"/>
      <c r="F21" s="1001"/>
    </row>
    <row r="22" spans="1:7" ht="14.25">
      <c r="A22" s="822"/>
      <c r="B22" s="822"/>
      <c r="D22" s="1001"/>
      <c r="E22" s="1001"/>
      <c r="F22" s="1001"/>
    </row>
    <row r="23" spans="1:7"/>
    <row r="24" spans="1:7" ht="14.25">
      <c r="A24" s="822"/>
      <c r="B24" s="823" t="s">
        <v>328</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1002" t="s">
        <v>1284</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328</v>
      </c>
      <c r="D33" s="1002" t="s">
        <v>1473</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328</v>
      </c>
      <c r="D38" s="1002" t="s">
        <v>1286</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328</v>
      </c>
      <c r="D44" s="1002" t="s">
        <v>1287</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328</v>
      </c>
      <c r="D49" s="1002" t="s">
        <v>1288</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328</v>
      </c>
      <c r="C53" s="831"/>
      <c r="D53" s="1002" t="s">
        <v>1289</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328</v>
      </c>
      <c r="D56" s="1002" t="s">
        <v>1290</v>
      </c>
      <c r="E56" s="1002"/>
      <c r="F56" s="1002"/>
    </row>
    <row r="57" spans="1:7">
      <c r="D57" s="1002"/>
      <c r="E57" s="1002"/>
      <c r="F57" s="1002"/>
    </row>
    <row r="58" spans="1:7">
      <c r="D58" s="1002"/>
      <c r="E58" s="1002"/>
      <c r="F58" s="1002"/>
    </row>
    <row r="59" spans="1:7">
      <c r="D59" s="717"/>
    </row>
    <row r="60" spans="1:7" ht="14.25">
      <c r="A60" s="822"/>
      <c r="B60" s="823" t="s">
        <v>328</v>
      </c>
      <c r="D60" s="1002" t="s">
        <v>1291</v>
      </c>
      <c r="E60" s="1002"/>
      <c r="F60" s="1002"/>
    </row>
    <row r="61" spans="1:7">
      <c r="D61" s="1002"/>
      <c r="E61" s="1002"/>
      <c r="F61" s="1002"/>
    </row>
    <row r="62" spans="1:7"/>
    <row r="63" spans="1:7" ht="14.25">
      <c r="A63" s="822"/>
      <c r="B63" s="823" t="s">
        <v>328</v>
      </c>
      <c r="D63" s="1002" t="s">
        <v>1292</v>
      </c>
      <c r="E63" s="1002"/>
      <c r="F63" s="1002"/>
    </row>
    <row r="64" spans="1:7">
      <c r="D64" s="1002"/>
      <c r="E64" s="1002"/>
      <c r="F64" s="1002"/>
    </row>
    <row r="65" spans="1:7">
      <c r="D65" s="1002"/>
      <c r="E65" s="1002"/>
      <c r="F65" s="1002"/>
    </row>
    <row r="66" spans="1:7">
      <c r="D66" s="815"/>
    </row>
    <row r="67" spans="1:7" ht="14.25">
      <c r="A67" s="822"/>
      <c r="B67" s="823" t="s">
        <v>328</v>
      </c>
      <c r="D67" s="1001" t="s">
        <v>1293</v>
      </c>
      <c r="E67" s="1001"/>
      <c r="F67" s="1001"/>
    </row>
    <row r="68" spans="1:7">
      <c r="D68" s="1001"/>
      <c r="E68" s="1001"/>
      <c r="F68" s="1001"/>
    </row>
    <row r="69" spans="1:7" ht="14.25">
      <c r="A69" s="822"/>
      <c r="B69" s="822"/>
      <c r="D69" s="825"/>
    </row>
    <row r="70" spans="1:7">
      <c r="A70" s="983" t="s">
        <v>1200</v>
      </c>
      <c r="B70" s="983"/>
      <c r="C70" s="983"/>
      <c r="D70" s="983"/>
      <c r="E70" s="983"/>
      <c r="F70" s="983"/>
      <c r="G70" s="983"/>
    </row>
    <row r="71" spans="1:7"/>
    <row r="72" spans="1:7">
      <c r="C72" s="832"/>
      <c r="D72" s="1072" t="s">
        <v>1298</v>
      </c>
      <c r="E72" s="1072"/>
      <c r="F72" s="1072"/>
    </row>
    <row r="73" spans="1:7">
      <c r="A73" s="825"/>
      <c r="B73" s="825"/>
      <c r="D73" s="1001" t="s">
        <v>1325</v>
      </c>
      <c r="E73" s="1001"/>
      <c r="F73" s="1001"/>
    </row>
    <row r="74" spans="1:7">
      <c r="A74" s="825"/>
      <c r="B74" s="825"/>
    </row>
    <row r="75" spans="1:7" ht="13.7" customHeight="1">
      <c r="A75" s="822"/>
      <c r="B75" s="823" t="s">
        <v>328</v>
      </c>
      <c r="D75" s="1001" t="s">
        <v>1528</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328</v>
      </c>
      <c r="C84" s="813"/>
      <c r="D84" s="1001" t="s">
        <v>1445</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328</v>
      </c>
      <c r="D100" s="1021" t="s">
        <v>1300</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328</v>
      </c>
      <c r="C109" s="746"/>
      <c r="D109" s="1021" t="s">
        <v>1302</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328</v>
      </c>
      <c r="C112" s="829"/>
      <c r="D112" s="1001" t="s">
        <v>1303</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328</v>
      </c>
      <c r="C118" s="829"/>
      <c r="D118" s="1002" t="s">
        <v>1304</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0" t="s">
        <v>1412</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1455</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328</v>
      </c>
      <c r="C151" s="839"/>
      <c r="D151" s="975" t="s">
        <v>1487</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1" t="s">
        <v>1306</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65" t="s">
        <v>483</v>
      </c>
      <c r="C166" s="1065"/>
      <c r="D166" s="1065"/>
      <c r="E166" s="1065"/>
      <c r="F166" s="1065"/>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1310</v>
      </c>
      <c r="E170" s="1007"/>
      <c r="F170" s="1007"/>
      <c r="G170" s="844"/>
    </row>
    <row r="171" spans="1:7">
      <c r="A171" s="842"/>
      <c r="B171" s="842"/>
      <c r="C171" s="843"/>
      <c r="D171" s="1007"/>
      <c r="E171" s="1007"/>
      <c r="F171" s="1007"/>
      <c r="G171" s="844"/>
    </row>
    <row r="172" spans="1:7">
      <c r="A172" s="842"/>
      <c r="B172" s="842"/>
      <c r="C172" s="843"/>
      <c r="D172" s="1008" t="s">
        <v>1446</v>
      </c>
      <c r="E172" s="1008"/>
      <c r="F172" s="1008"/>
      <c r="G172" s="844"/>
    </row>
    <row r="173" spans="1:7" ht="12" customHeight="1">
      <c r="A173" s="842"/>
      <c r="B173" s="842"/>
      <c r="C173" s="843"/>
      <c r="D173" s="844"/>
      <c r="E173" s="845"/>
      <c r="F173" s="844"/>
      <c r="G173" s="844"/>
    </row>
    <row r="174" spans="1:7" ht="14.25">
      <c r="A174" s="822"/>
      <c r="B174" s="823" t="s">
        <v>328</v>
      </c>
      <c r="C174" s="843"/>
      <c r="D174" s="1001" t="s">
        <v>1309</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1218</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328</v>
      </c>
      <c r="C182" s="831"/>
      <c r="D182" s="1001" t="s">
        <v>1475</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64" t="s">
        <v>221</v>
      </c>
      <c r="E189" s="1064"/>
      <c r="F189" s="1064"/>
    </row>
    <row r="190" spans="1:7">
      <c r="A190" s="818"/>
      <c r="B190" s="818"/>
      <c r="C190" s="818"/>
      <c r="D190" s="1078" t="s">
        <v>1332</v>
      </c>
      <c r="E190" s="1078"/>
      <c r="F190" s="1078"/>
    </row>
    <row r="191" spans="1:7" ht="12" customHeight="1">
      <c r="A191" s="841"/>
      <c r="B191" s="841"/>
      <c r="C191" s="841"/>
    </row>
    <row r="192" spans="1:7" ht="13.7" customHeight="1">
      <c r="A192" s="841"/>
      <c r="C192" s="841"/>
      <c r="D192" s="1000" t="s">
        <v>592</v>
      </c>
      <c r="E192" s="1000"/>
      <c r="F192" s="1000"/>
    </row>
    <row r="193" spans="1:6" ht="14.25">
      <c r="A193" s="822"/>
      <c r="B193" s="823" t="s">
        <v>328</v>
      </c>
      <c r="D193" s="1001" t="s">
        <v>1327</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1328</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328</v>
      </c>
      <c r="D203" s="1073" t="s">
        <v>1329</v>
      </c>
      <c r="E203" s="1073"/>
      <c r="F203" s="1073"/>
    </row>
    <row r="204" spans="1:6" ht="14.25">
      <c r="A204" s="822"/>
      <c r="B204" s="822"/>
      <c r="D204" s="1073"/>
      <c r="E204" s="1073"/>
      <c r="F204" s="1073"/>
    </row>
    <row r="205" spans="1:6" ht="14.25">
      <c r="A205" s="822"/>
      <c r="B205" s="822"/>
      <c r="D205" s="1065" t="s">
        <v>992</v>
      </c>
      <c r="E205" s="1065"/>
      <c r="F205" s="1065"/>
    </row>
    <row r="206" spans="1:6" ht="14.25">
      <c r="A206" s="822"/>
      <c r="B206" s="822"/>
      <c r="D206" s="825"/>
      <c r="E206" s="825"/>
      <c r="F206" s="825"/>
    </row>
    <row r="207" spans="1:6" ht="14.45" customHeight="1">
      <c r="A207" s="822"/>
      <c r="B207" s="823" t="s">
        <v>328</v>
      </c>
      <c r="D207" s="1073" t="s">
        <v>1331</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328</v>
      </c>
      <c r="D213" s="1001" t="s">
        <v>1330</v>
      </c>
      <c r="E213" s="1001"/>
      <c r="F213" s="1001"/>
    </row>
    <row r="214" spans="1:7" ht="14.25">
      <c r="A214" s="822"/>
      <c r="B214" s="822"/>
      <c r="D214" s="1001"/>
      <c r="E214" s="1001"/>
      <c r="F214" s="1001"/>
    </row>
    <row r="215" spans="1:7">
      <c r="D215" s="846"/>
    </row>
    <row r="216" spans="1:7">
      <c r="A216" s="983" t="s">
        <v>1204</v>
      </c>
      <c r="B216" s="983"/>
      <c r="C216" s="983"/>
      <c r="D216" s="983"/>
      <c r="E216" s="983"/>
      <c r="F216" s="983"/>
      <c r="G216" s="983"/>
    </row>
    <row r="217" spans="1:7">
      <c r="D217" s="846"/>
    </row>
    <row r="218" spans="1:7">
      <c r="C218" s="832"/>
      <c r="D218" s="1000" t="s">
        <v>1333</v>
      </c>
      <c r="E218" s="1000"/>
      <c r="F218" s="1000"/>
    </row>
    <row r="219" spans="1:7">
      <c r="A219" s="818"/>
      <c r="B219" s="818"/>
      <c r="C219" s="818"/>
      <c r="D219" s="825"/>
      <c r="E219" s="825"/>
      <c r="F219" s="825"/>
    </row>
    <row r="220" spans="1:7">
      <c r="A220" s="820"/>
      <c r="B220" s="820"/>
      <c r="C220" s="820"/>
      <c r="D220" s="1000" t="s">
        <v>284</v>
      </c>
      <c r="E220" s="1000"/>
      <c r="F220" s="1000"/>
    </row>
    <row r="221" spans="1:7" ht="14.45" customHeight="1">
      <c r="A221" s="822"/>
      <c r="B221" s="823" t="s">
        <v>328</v>
      </c>
      <c r="D221" s="1075" t="s">
        <v>1447</v>
      </c>
      <c r="E221" s="1075"/>
      <c r="F221" s="1075"/>
    </row>
    <row r="222" spans="1:7">
      <c r="D222" s="1075"/>
      <c r="E222" s="1075"/>
      <c r="F222" s="1075"/>
    </row>
    <row r="223" spans="1:7">
      <c r="D223" s="1078" t="s">
        <v>983</v>
      </c>
      <c r="E223" s="1078"/>
      <c r="F223" s="1078"/>
    </row>
    <row r="224" spans="1:7">
      <c r="D224" s="825"/>
      <c r="E224" s="825"/>
      <c r="F224" s="825"/>
    </row>
    <row r="225" spans="1:7" ht="14.45" customHeight="1">
      <c r="A225" s="822"/>
      <c r="B225" s="823" t="s">
        <v>328</v>
      </c>
      <c r="D225" s="1073" t="s">
        <v>1448</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328</v>
      </c>
      <c r="D231" s="1001" t="s">
        <v>1336</v>
      </c>
      <c r="E231" s="1001"/>
      <c r="F231" s="1001"/>
    </row>
    <row r="232" spans="1:7">
      <c r="D232" s="1001"/>
      <c r="E232" s="1001"/>
      <c r="F232" s="1001"/>
    </row>
    <row r="233" spans="1:7">
      <c r="D233" s="1001"/>
      <c r="E233" s="1001"/>
      <c r="F233" s="1001"/>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72" t="s">
        <v>1338</v>
      </c>
      <c r="E237" s="1072"/>
      <c r="F237" s="1072"/>
    </row>
    <row r="238" spans="1:7">
      <c r="C238" s="818"/>
      <c r="D238" s="1072"/>
      <c r="E238" s="1072"/>
      <c r="F238" s="1072"/>
    </row>
    <row r="239" spans="1:7">
      <c r="A239" s="820"/>
      <c r="B239" s="820"/>
      <c r="C239" s="820"/>
      <c r="D239" s="646"/>
      <c r="E239" s="696"/>
      <c r="F239" s="696"/>
    </row>
    <row r="240" spans="1:7">
      <c r="C240" s="820"/>
      <c r="D240" s="1000" t="s">
        <v>222</v>
      </c>
      <c r="E240" s="1000"/>
      <c r="F240" s="1000"/>
    </row>
    <row r="241" spans="1:7" ht="15.75" customHeight="1">
      <c r="A241" s="822"/>
      <c r="B241" s="822"/>
      <c r="D241" s="1056" t="s">
        <v>1339</v>
      </c>
      <c r="E241" s="1056"/>
      <c r="F241" s="1056"/>
    </row>
    <row r="242" spans="1:7">
      <c r="E242" s="825"/>
      <c r="F242" s="825"/>
    </row>
    <row r="243" spans="1:7" ht="14.25">
      <c r="A243" s="822"/>
      <c r="B243" s="823" t="s">
        <v>328</v>
      </c>
      <c r="D243" s="1001" t="s">
        <v>1340</v>
      </c>
      <c r="E243" s="1001"/>
      <c r="F243" s="1001"/>
    </row>
    <row r="244" spans="1:7" ht="14.25">
      <c r="A244" s="822"/>
      <c r="B244" s="822"/>
      <c r="D244" s="1001"/>
      <c r="E244" s="1001"/>
      <c r="F244" s="1001"/>
    </row>
    <row r="245" spans="1:7">
      <c r="D245" s="825"/>
      <c r="E245" s="825"/>
      <c r="F245" s="825"/>
    </row>
    <row r="246" spans="1:7" ht="14.25">
      <c r="A246" s="822"/>
      <c r="B246" s="823" t="s">
        <v>328</v>
      </c>
      <c r="D246" s="1073" t="s">
        <v>1341</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328</v>
      </c>
      <c r="D250" s="1001" t="s">
        <v>1342</v>
      </c>
      <c r="E250" s="1001"/>
      <c r="F250" s="1001"/>
    </row>
    <row r="251" spans="1:7" ht="14.25">
      <c r="A251" s="822"/>
      <c r="B251" s="822"/>
      <c r="D251" s="1001"/>
      <c r="E251" s="1001"/>
      <c r="F251" s="1001"/>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1000" t="s">
        <v>735</v>
      </c>
      <c r="E255" s="1000"/>
      <c r="F255" s="1000"/>
    </row>
    <row r="256" spans="1:7">
      <c r="C256" s="841"/>
      <c r="D256" s="1003" t="s">
        <v>1343</v>
      </c>
      <c r="E256" s="1003"/>
      <c r="F256" s="1003"/>
    </row>
    <row r="257" spans="1:7">
      <c r="C257" s="841"/>
      <c r="D257" s="848"/>
    </row>
    <row r="258" spans="1:7">
      <c r="A258" s="826"/>
      <c r="B258" s="823" t="s">
        <v>328</v>
      </c>
      <c r="D258" s="1003" t="s">
        <v>1344</v>
      </c>
      <c r="E258" s="1003"/>
      <c r="F258" s="1003"/>
    </row>
    <row r="259" spans="1:7" s="816" customFormat="1" ht="14.25">
      <c r="A259" s="830"/>
      <c r="B259" s="830"/>
      <c r="C259" s="826"/>
      <c r="D259" s="849"/>
      <c r="E259" s="850"/>
      <c r="F259" s="850"/>
      <c r="G259" s="827"/>
    </row>
    <row r="260" spans="1:7" s="816" customFormat="1" ht="13.7" customHeight="1">
      <c r="A260" s="826"/>
      <c r="B260" s="823" t="s">
        <v>328</v>
      </c>
      <c r="C260" s="826"/>
      <c r="D260" s="1082" t="s">
        <v>1480</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328</v>
      </c>
      <c r="C266" s="826"/>
      <c r="D266" s="1082" t="s">
        <v>1346</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328</v>
      </c>
      <c r="D269" s="1003" t="s">
        <v>1347</v>
      </c>
      <c r="E269" s="1003"/>
      <c r="F269" s="1003"/>
    </row>
    <row r="270" spans="1:7">
      <c r="E270" s="825"/>
      <c r="F270" s="825"/>
    </row>
    <row r="271" spans="1:7" ht="14.25">
      <c r="A271" s="822"/>
      <c r="B271" s="823" t="s">
        <v>328</v>
      </c>
      <c r="D271" s="1073" t="s">
        <v>1511</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328</v>
      </c>
      <c r="D287" s="1073" t="s">
        <v>1349</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328</v>
      </c>
      <c r="D297" s="1001" t="s">
        <v>1582</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1092</v>
      </c>
      <c r="E304" s="1074"/>
      <c r="F304" s="1074"/>
      <c r="G304" s="815"/>
    </row>
    <row r="305" spans="1:7" ht="13.5" thickTop="1">
      <c r="D305" s="1083" t="s">
        <v>1351</v>
      </c>
      <c r="E305" s="1083"/>
      <c r="F305" s="1083"/>
      <c r="G305" s="815"/>
    </row>
    <row r="306" spans="1:7">
      <c r="A306" s="839"/>
      <c r="B306" s="839"/>
      <c r="C306" s="839"/>
      <c r="D306" s="811"/>
      <c r="E306" s="811"/>
      <c r="F306" s="825"/>
      <c r="G306" s="815"/>
    </row>
    <row r="307" spans="1:7" ht="14.25">
      <c r="A307" s="822"/>
      <c r="B307" s="823" t="s">
        <v>328</v>
      </c>
      <c r="C307" s="839"/>
      <c r="D307" s="997" t="s">
        <v>1352</v>
      </c>
      <c r="E307" s="997"/>
      <c r="F307" s="997"/>
      <c r="G307" s="815"/>
    </row>
    <row r="308" spans="1:7">
      <c r="A308" s="839"/>
      <c r="B308" s="839"/>
      <c r="C308" s="839"/>
      <c r="D308" s="811"/>
      <c r="E308" s="811"/>
      <c r="F308" s="825"/>
      <c r="G308" s="815"/>
    </row>
    <row r="309" spans="1:7">
      <c r="A309" s="839"/>
      <c r="B309" s="823" t="s">
        <v>328</v>
      </c>
      <c r="C309" s="839"/>
      <c r="D309" s="992" t="s">
        <v>1484</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6" customHeight="1">
      <c r="A321" s="839"/>
      <c r="B321" s="823" t="s">
        <v>328</v>
      </c>
      <c r="C321" s="839"/>
      <c r="D321" s="1084" t="s">
        <v>1485</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328</v>
      </c>
      <c r="C326" s="839"/>
      <c r="D326" s="990" t="s">
        <v>1354</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1355</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1356</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328</v>
      </c>
      <c r="C359" s="839"/>
      <c r="D359" s="991" t="s">
        <v>1357</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328</v>
      </c>
      <c r="D362" s="991" t="s">
        <v>1605</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328</v>
      </c>
      <c r="C368" s="839"/>
      <c r="D368" s="992" t="s">
        <v>1512</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1583</v>
      </c>
      <c r="E372" s="992"/>
      <c r="F372" s="992"/>
      <c r="G372" s="815"/>
    </row>
    <row r="373" spans="1:7">
      <c r="D373" s="825"/>
      <c r="E373" s="825"/>
      <c r="F373" s="825"/>
      <c r="G373" s="815"/>
    </row>
    <row r="374" spans="1:7" ht="14.25">
      <c r="A374" s="822"/>
      <c r="B374" s="823" t="s">
        <v>328</v>
      </c>
      <c r="C374" s="854"/>
      <c r="D374" s="1001" t="s">
        <v>1359</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328</v>
      </c>
      <c r="C406" s="854"/>
      <c r="D406" s="1003" t="s">
        <v>1360</v>
      </c>
      <c r="E406" s="1003"/>
      <c r="F406" s="1003"/>
    </row>
    <row r="407" spans="1:7">
      <c r="D407" s="993" t="s">
        <v>1509</v>
      </c>
      <c r="E407" s="993"/>
      <c r="F407" s="993"/>
    </row>
    <row r="408" spans="1:7">
      <c r="D408" s="1073" t="s">
        <v>1508</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328</v>
      </c>
      <c r="C412" s="854"/>
      <c r="D412" s="1001" t="s">
        <v>1362</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328</v>
      </c>
      <c r="C416" s="822"/>
      <c r="D416" s="1073" t="s">
        <v>1449</v>
      </c>
      <c r="E416" s="1073"/>
      <c r="F416" s="1073"/>
      <c r="G416" s="815"/>
    </row>
    <row r="417" spans="1:7">
      <c r="D417" s="1073"/>
      <c r="E417" s="1073"/>
      <c r="F417" s="1073"/>
      <c r="G417" s="815"/>
    </row>
    <row r="418" spans="1:7">
      <c r="D418" s="825"/>
      <c r="E418" s="825"/>
      <c r="F418" s="825"/>
      <c r="G418" s="815"/>
    </row>
    <row r="419" spans="1:7" ht="14.25">
      <c r="B419" s="823" t="s">
        <v>328</v>
      </c>
      <c r="C419" s="822"/>
      <c r="D419" s="1073" t="s">
        <v>1364</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328</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328</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328</v>
      </c>
      <c r="C430" s="815"/>
      <c r="D430" s="1073"/>
      <c r="E430" s="1073"/>
      <c r="F430" s="1073"/>
      <c r="G430" s="815"/>
    </row>
    <row r="431" spans="1:7">
      <c r="A431" s="815"/>
      <c r="B431" s="815"/>
      <c r="C431" s="815"/>
      <c r="D431" s="1073"/>
      <c r="E431" s="1073"/>
      <c r="F431" s="1073"/>
      <c r="G431" s="815"/>
    </row>
    <row r="432" spans="1:7">
      <c r="A432" s="815"/>
      <c r="B432" s="823" t="s">
        <v>328</v>
      </c>
      <c r="C432" s="815"/>
      <c r="D432" s="1073"/>
      <c r="E432" s="1073"/>
      <c r="F432" s="1073"/>
      <c r="G432" s="815"/>
    </row>
    <row r="433" spans="1:7">
      <c r="A433" s="815"/>
      <c r="B433" s="815"/>
      <c r="C433" s="815"/>
      <c r="D433" s="857"/>
      <c r="E433" s="857"/>
      <c r="F433" s="857"/>
      <c r="G433" s="815"/>
    </row>
    <row r="434" spans="1:7">
      <c r="A434" s="815"/>
      <c r="B434" s="823" t="s">
        <v>328</v>
      </c>
      <c r="C434" s="815"/>
      <c r="D434" s="1073" t="s">
        <v>1365</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328</v>
      </c>
      <c r="D440" s="1078" t="s">
        <v>1366</v>
      </c>
      <c r="E440" s="1078"/>
      <c r="F440" s="1078"/>
    </row>
    <row r="441" spans="1:7">
      <c r="A441" s="825"/>
      <c r="B441" s="825"/>
    </row>
    <row r="442" spans="1:7">
      <c r="A442" s="983" t="s">
        <v>1207</v>
      </c>
      <c r="B442" s="983"/>
      <c r="C442" s="983"/>
      <c r="D442" s="983"/>
      <c r="E442" s="983"/>
      <c r="F442" s="983"/>
      <c r="G442" s="983"/>
    </row>
    <row r="443" spans="1:7">
      <c r="A443" s="825"/>
      <c r="B443" s="825"/>
    </row>
    <row r="444" spans="1:7">
      <c r="D444" s="979" t="s">
        <v>977</v>
      </c>
      <c r="E444" s="979"/>
      <c r="F444" s="979"/>
    </row>
    <row r="445" spans="1:7" s="816" customFormat="1" ht="14.25">
      <c r="A445" s="830"/>
      <c r="B445" s="830"/>
      <c r="C445" s="826"/>
      <c r="D445" s="980" t="s">
        <v>1367</v>
      </c>
      <c r="E445" s="980"/>
      <c r="F445" s="980"/>
      <c r="G445" s="827"/>
    </row>
    <row r="446" spans="1:7" s="816" customFormat="1" ht="14.25">
      <c r="A446" s="830"/>
      <c r="B446" s="830"/>
      <c r="C446" s="826"/>
      <c r="D446" s="812"/>
      <c r="E446" s="696"/>
      <c r="F446" s="696"/>
      <c r="G446" s="827"/>
    </row>
    <row r="447" spans="1:7" s="816" customFormat="1" ht="14.25">
      <c r="A447" s="822"/>
      <c r="B447" s="823" t="s">
        <v>328</v>
      </c>
      <c r="C447" s="826"/>
      <c r="D447" s="981" t="s">
        <v>1368</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328</v>
      </c>
      <c r="D450" s="982" t="s">
        <v>1584</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328</v>
      </c>
      <c r="D455" s="1003" t="s">
        <v>1371</v>
      </c>
      <c r="E455" s="1003"/>
      <c r="F455" s="1003"/>
      <c r="G455" s="815"/>
    </row>
    <row r="456" spans="1:7" ht="14.25">
      <c r="A456" s="822"/>
      <c r="B456" s="822"/>
      <c r="D456" s="810"/>
      <c r="E456" s="696"/>
      <c r="F456" s="696"/>
      <c r="G456" s="815"/>
    </row>
    <row r="457" spans="1:7" ht="14.25">
      <c r="A457" s="822"/>
      <c r="B457" s="823" t="s">
        <v>328</v>
      </c>
      <c r="D457" s="1001" t="s">
        <v>1372</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328</v>
      </c>
      <c r="D460" s="1003" t="s">
        <v>1373</v>
      </c>
      <c r="E460" s="1003"/>
      <c r="F460" s="100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5" t="s">
        <v>1451</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328</v>
      </c>
      <c r="C471" s="824"/>
      <c r="D471" s="975" t="s">
        <v>1629</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328</v>
      </c>
      <c r="C477" s="824"/>
      <c r="D477" s="975" t="s">
        <v>1245</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5" t="s">
        <v>1243</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328</v>
      </c>
      <c r="C486" s="824"/>
      <c r="D486" s="975" t="s">
        <v>1244</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328</v>
      </c>
      <c r="C496" s="861"/>
      <c r="D496" s="975" t="s">
        <v>1388</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35" customHeight="1">
      <c r="A502" s="820"/>
      <c r="B502" s="823" t="s">
        <v>328</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328</v>
      </c>
      <c r="C505" s="829"/>
      <c r="D505" s="975" t="s">
        <v>1246</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65" t="s">
        <v>483</v>
      </c>
      <c r="C511" s="1065"/>
      <c r="D511" s="1065"/>
      <c r="E511" s="1065"/>
      <c r="F511" s="1065"/>
    </row>
    <row r="512" spans="1:7">
      <c r="A512" s="825"/>
      <c r="B512" s="825"/>
      <c r="C512" s="854"/>
      <c r="D512" s="825"/>
      <c r="F512" s="825"/>
    </row>
    <row r="513" spans="1:7">
      <c r="A513" s="1033" t="s">
        <v>1210</v>
      </c>
      <c r="B513" s="1033"/>
      <c r="C513" s="1033"/>
      <c r="D513" s="1033"/>
      <c r="E513" s="1033"/>
      <c r="F513" s="1033"/>
      <c r="G513" s="1033"/>
    </row>
    <row r="514" spans="1:7">
      <c r="A514" s="825"/>
      <c r="B514" s="825"/>
      <c r="C514" s="854"/>
      <c r="D514" s="825"/>
      <c r="F514" s="825"/>
    </row>
    <row r="515" spans="1:7">
      <c r="C515" s="854"/>
      <c r="D515" s="1000" t="s">
        <v>736</v>
      </c>
      <c r="E515" s="1000"/>
      <c r="F515" s="1000"/>
    </row>
    <row r="516" spans="1:7">
      <c r="C516" s="854"/>
      <c r="D516" s="1003" t="s">
        <v>1267</v>
      </c>
      <c r="E516" s="1003"/>
      <c r="F516" s="1003"/>
    </row>
    <row r="517" spans="1:7">
      <c r="C517" s="854"/>
      <c r="D517" s="810"/>
      <c r="E517" s="810"/>
      <c r="F517" s="810"/>
    </row>
    <row r="518" spans="1:7" ht="13.7" customHeight="1">
      <c r="A518" s="822"/>
      <c r="B518" s="823" t="s">
        <v>328</v>
      </c>
      <c r="C518" s="854"/>
      <c r="D518" s="1003" t="s">
        <v>978</v>
      </c>
      <c r="E518" s="1003"/>
      <c r="F518" s="1003"/>
      <c r="G518" s="815"/>
    </row>
    <row r="519" spans="1:7" ht="13.7" customHeight="1">
      <c r="A519" s="854"/>
      <c r="B519" s="854"/>
      <c r="C519" s="854"/>
      <c r="D519" s="810"/>
      <c r="E519" s="642"/>
      <c r="F519" s="642"/>
      <c r="G519" s="815"/>
    </row>
    <row r="520" spans="1:7" ht="14.25">
      <c r="A520" s="822"/>
      <c r="B520" s="823" t="s">
        <v>328</v>
      </c>
      <c r="C520" s="854"/>
      <c r="D520" s="1001" t="s">
        <v>1268</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328</v>
      </c>
      <c r="C523" s="854"/>
      <c r="D523" s="1001" t="s">
        <v>1269</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328</v>
      </c>
      <c r="C526" s="854"/>
      <c r="D526" s="1001" t="s">
        <v>1270</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328</v>
      </c>
      <c r="C529" s="854"/>
      <c r="D529" s="1001" t="s">
        <v>1271</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328</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01" t="s">
        <v>1273</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328</v>
      </c>
      <c r="C539" s="854"/>
      <c r="D539" s="1003" t="s">
        <v>1274</v>
      </c>
      <c r="E539" s="1003"/>
      <c r="F539" s="1003"/>
      <c r="G539" s="844"/>
    </row>
    <row r="540" spans="1:7">
      <c r="A540" s="841"/>
      <c r="B540" s="841"/>
      <c r="C540" s="854"/>
      <c r="D540" s="1003" t="s">
        <v>904</v>
      </c>
      <c r="E540" s="1003"/>
      <c r="F540" s="1003"/>
      <c r="G540" s="844"/>
    </row>
    <row r="541" spans="1:7">
      <c r="A541" s="841"/>
      <c r="B541" s="841"/>
      <c r="C541" s="854"/>
      <c r="D541" s="696"/>
      <c r="E541" s="1056" t="s">
        <v>1275</v>
      </c>
      <c r="F541" s="1056"/>
      <c r="G541" s="844"/>
    </row>
    <row r="542" spans="1:7" ht="14.25">
      <c r="A542" s="822"/>
      <c r="B542" s="822"/>
      <c r="C542" s="854"/>
      <c r="E542" s="825"/>
      <c r="F542" s="825"/>
      <c r="G542" s="844"/>
    </row>
    <row r="543" spans="1:7" ht="14.25">
      <c r="A543" s="822"/>
      <c r="B543" s="823" t="s">
        <v>328</v>
      </c>
      <c r="C543" s="854"/>
      <c r="D543" s="1087" t="s">
        <v>1276</v>
      </c>
      <c r="E543" s="1087"/>
      <c r="F543" s="1087"/>
      <c r="G543" s="844"/>
    </row>
    <row r="544" spans="1:7">
      <c r="C544" s="854"/>
      <c r="D544" s="1001" t="s">
        <v>1277</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328</v>
      </c>
      <c r="C548" s="854"/>
      <c r="D548" s="1001" t="s">
        <v>1278</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72" t="s">
        <v>224</v>
      </c>
      <c r="E555" s="1072"/>
      <c r="F555" s="1072"/>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328</v>
      </c>
      <c r="D558" s="1006" t="s">
        <v>984</v>
      </c>
      <c r="E558" s="1006"/>
      <c r="F558" s="1006"/>
      <c r="G558" s="844"/>
    </row>
    <row r="559" spans="1:7">
      <c r="A559" s="841"/>
      <c r="B559" s="841"/>
      <c r="D559" s="839"/>
    </row>
    <row r="560" spans="1:7">
      <c r="A560" s="841"/>
      <c r="B560" s="823" t="s">
        <v>328</v>
      </c>
      <c r="D560" s="982" t="s">
        <v>1228</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328</v>
      </c>
      <c r="D564" s="982" t="s">
        <v>1229</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328</v>
      </c>
      <c r="D569" s="982" t="s">
        <v>1230</v>
      </c>
      <c r="E569" s="982"/>
      <c r="F569" s="982"/>
      <c r="G569" s="815"/>
    </row>
    <row r="570" spans="1:7">
      <c r="A570" s="841"/>
      <c r="B570" s="841"/>
      <c r="D570" s="982"/>
      <c r="E570" s="982"/>
      <c r="F570" s="982"/>
      <c r="G570" s="815"/>
    </row>
    <row r="571" spans="1:7">
      <c r="A571" s="841"/>
      <c r="B571" s="841"/>
      <c r="D571" s="864"/>
      <c r="G571" s="815"/>
    </row>
    <row r="572" spans="1:7">
      <c r="A572" s="841"/>
      <c r="B572" s="823" t="s">
        <v>328</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328</v>
      </c>
      <c r="D575" s="1006" t="s">
        <v>979</v>
      </c>
      <c r="E575" s="1006"/>
      <c r="F575" s="1006"/>
      <c r="G575" s="815"/>
    </row>
    <row r="576" spans="1:7" ht="14.25">
      <c r="A576" s="822"/>
      <c r="B576" s="822"/>
      <c r="D576" s="864"/>
      <c r="G576" s="815"/>
    </row>
    <row r="577" spans="1:7">
      <c r="A577" s="983" t="s">
        <v>1212</v>
      </c>
      <c r="B577" s="983"/>
      <c r="C577" s="983"/>
      <c r="D577" s="983"/>
      <c r="E577" s="983"/>
      <c r="F577" s="983"/>
      <c r="G577" s="983"/>
    </row>
    <row r="578" spans="1:7"/>
    <row r="579" spans="1:7">
      <c r="D579" s="1000" t="s">
        <v>1312</v>
      </c>
      <c r="E579" s="1000"/>
      <c r="F579" s="1000"/>
    </row>
    <row r="580" spans="1:7">
      <c r="D580" s="1039" t="s">
        <v>1313</v>
      </c>
      <c r="E580" s="1039"/>
      <c r="F580" s="1039"/>
    </row>
    <row r="581" spans="1:7">
      <c r="D581" s="804"/>
      <c r="E581" s="746"/>
      <c r="F581" s="746"/>
    </row>
    <row r="582" spans="1:7" s="816" customFormat="1" ht="14.25">
      <c r="A582" s="830"/>
      <c r="B582" s="823" t="s">
        <v>328</v>
      </c>
      <c r="C582" s="826"/>
      <c r="D582" s="1002" t="s">
        <v>1314</v>
      </c>
      <c r="E582" s="1002"/>
      <c r="F582" s="1002"/>
      <c r="G582" s="827"/>
    </row>
    <row r="583" spans="1:7">
      <c r="D583" s="1002"/>
      <c r="E583" s="1002"/>
      <c r="F583" s="1002"/>
    </row>
    <row r="584" spans="1:7">
      <c r="D584" s="1002"/>
      <c r="E584" s="1002"/>
      <c r="F584" s="1002"/>
    </row>
    <row r="585" spans="1:7"/>
    <row r="586" spans="1:7">
      <c r="A586" s="983" t="s">
        <v>1213</v>
      </c>
      <c r="B586" s="983"/>
      <c r="C586" s="983"/>
      <c r="D586" s="983"/>
      <c r="E586" s="983"/>
      <c r="F586" s="983"/>
      <c r="G586" s="983"/>
    </row>
    <row r="587" spans="1:7">
      <c r="A587" s="825"/>
      <c r="B587" s="825"/>
      <c r="G587" s="844"/>
    </row>
    <row r="588" spans="1:7">
      <c r="A588" s="865"/>
      <c r="B588" s="865"/>
      <c r="C588" s="818"/>
      <c r="D588" s="1040" t="s">
        <v>1315</v>
      </c>
      <c r="E588" s="1040"/>
      <c r="F588" s="1040"/>
      <c r="G588" s="844"/>
    </row>
    <row r="589" spans="1:7">
      <c r="A589" s="865"/>
      <c r="B589" s="865"/>
      <c r="C589" s="818"/>
      <c r="D589" s="1040"/>
      <c r="E589" s="1040"/>
      <c r="F589" s="1040"/>
      <c r="G589" s="844"/>
    </row>
    <row r="590" spans="1:7">
      <c r="C590" s="820"/>
      <c r="D590" s="1039" t="s">
        <v>1316</v>
      </c>
      <c r="E590" s="1039"/>
      <c r="F590" s="1039"/>
      <c r="G590" s="844"/>
    </row>
    <row r="591" spans="1:7">
      <c r="C591" s="820"/>
      <c r="D591" s="804"/>
      <c r="E591" s="804"/>
      <c r="F591" s="804"/>
      <c r="G591" s="844"/>
    </row>
    <row r="592" spans="1:7">
      <c r="A592" s="841"/>
      <c r="B592" s="823" t="s">
        <v>328</v>
      </c>
      <c r="D592" s="1039" t="s">
        <v>466</v>
      </c>
      <c r="E592" s="1039"/>
      <c r="F592" s="1039"/>
      <c r="G592" s="844"/>
    </row>
    <row r="593" spans="1:7">
      <c r="C593" s="866"/>
      <c r="E593" s="815"/>
      <c r="G593" s="844"/>
    </row>
    <row r="594" spans="1:7">
      <c r="A594" s="841"/>
      <c r="B594" s="823" t="s">
        <v>328</v>
      </c>
      <c r="D594" s="999" t="s">
        <v>1317</v>
      </c>
      <c r="E594" s="999"/>
      <c r="F594" s="999"/>
      <c r="G594" s="844"/>
    </row>
    <row r="595" spans="1:7">
      <c r="D595" s="999"/>
      <c r="E595" s="999"/>
      <c r="F595" s="999"/>
      <c r="G595" s="844"/>
    </row>
    <row r="596" spans="1:7">
      <c r="D596" s="815"/>
      <c r="G596" s="844"/>
    </row>
    <row r="597" spans="1:7">
      <c r="B597" s="823" t="s">
        <v>328</v>
      </c>
      <c r="D597" s="999" t="s">
        <v>1318</v>
      </c>
      <c r="E597" s="999"/>
      <c r="F597" s="999"/>
      <c r="G597" s="844"/>
    </row>
    <row r="598" spans="1:7">
      <c r="C598" s="866"/>
      <c r="D598" s="999"/>
      <c r="E598" s="999"/>
      <c r="F598" s="999"/>
      <c r="G598" s="844"/>
    </row>
    <row r="599" spans="1:7">
      <c r="C599" s="866"/>
      <c r="G599" s="844"/>
    </row>
    <row r="600" spans="1:7">
      <c r="B600" s="823" t="s">
        <v>328</v>
      </c>
      <c r="C600" s="866"/>
      <c r="D600" s="999" t="s">
        <v>1319</v>
      </c>
      <c r="E600" s="999"/>
      <c r="F600" s="999"/>
      <c r="G600" s="844"/>
    </row>
    <row r="601" spans="1:7">
      <c r="C601" s="866"/>
      <c r="D601" s="999"/>
      <c r="E601" s="999"/>
      <c r="F601" s="999"/>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1000" t="s">
        <v>1320</v>
      </c>
      <c r="E605" s="1000"/>
      <c r="F605" s="1000"/>
      <c r="G605" s="844"/>
    </row>
    <row r="606" spans="1:7">
      <c r="A606" s="841"/>
      <c r="B606" s="841"/>
      <c r="C606" s="843"/>
      <c r="D606" s="819"/>
      <c r="G606" s="844"/>
    </row>
    <row r="607" spans="1:7" ht="14.25">
      <c r="A607" s="822"/>
      <c r="B607" s="823" t="s">
        <v>328</v>
      </c>
      <c r="C607" s="843"/>
      <c r="D607" s="1001" t="s">
        <v>1567</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328</v>
      </c>
      <c r="C614" s="843"/>
      <c r="D614" s="1001" t="s">
        <v>1322</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328</v>
      </c>
      <c r="C617" s="854"/>
      <c r="D617" s="1002" t="s">
        <v>1493</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328</v>
      </c>
      <c r="C620" s="854"/>
      <c r="D620" s="1003" t="s">
        <v>1324</v>
      </c>
      <c r="E620" s="1003"/>
      <c r="F620" s="100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79" t="s">
        <v>1374</v>
      </c>
      <c r="E624" s="1079"/>
      <c r="F624" s="1079"/>
      <c r="G624" s="844"/>
    </row>
    <row r="625" spans="1:7">
      <c r="A625" s="820"/>
      <c r="B625" s="820"/>
      <c r="C625" s="820"/>
      <c r="D625" s="1080" t="s">
        <v>1375</v>
      </c>
      <c r="E625" s="1080"/>
      <c r="F625" s="1080"/>
      <c r="G625" s="844"/>
    </row>
    <row r="626" spans="1:7">
      <c r="A626" s="820"/>
      <c r="B626" s="820"/>
      <c r="C626" s="820"/>
      <c r="D626" s="751"/>
      <c r="E626" s="751"/>
      <c r="F626" s="751"/>
      <c r="G626" s="844"/>
    </row>
    <row r="627" spans="1:7" ht="12.75" customHeight="1">
      <c r="B627" s="823" t="s">
        <v>328</v>
      </c>
      <c r="C627" s="854"/>
      <c r="D627" s="1070" t="s">
        <v>1601</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328</v>
      </c>
      <c r="C632" s="854"/>
      <c r="D632" s="1070" t="s">
        <v>1604</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328</v>
      </c>
      <c r="C638" s="854"/>
      <c r="D638" s="1070" t="s">
        <v>1602</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328</v>
      </c>
      <c r="C643" s="854"/>
      <c r="D643" s="1070" t="s">
        <v>1603</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328</v>
      </c>
      <c r="C653" s="854"/>
      <c r="D653" s="1076" t="s">
        <v>1226</v>
      </c>
      <c r="E653" s="1076"/>
      <c r="F653" s="1076"/>
      <c r="G653" s="844"/>
    </row>
    <row r="654" spans="1:7" ht="14.25">
      <c r="A654" s="822"/>
      <c r="B654" s="822"/>
      <c r="C654" s="854"/>
      <c r="D654" s="999" t="s">
        <v>1377</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1566</v>
      </c>
      <c r="E659" s="1024"/>
      <c r="F659" s="1024"/>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1252</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3" t="s">
        <v>980</v>
      </c>
      <c r="E667" s="1003"/>
      <c r="F667" s="1003"/>
      <c r="G667" s="844"/>
      <c r="H667" s="869"/>
      <c r="I667" s="869"/>
      <c r="J667" s="869"/>
      <c r="K667" s="869"/>
    </row>
    <row r="668" spans="1:11">
      <c r="A668" s="820"/>
      <c r="B668" s="820"/>
      <c r="C668" s="820"/>
      <c r="D668" s="1003" t="s">
        <v>991</v>
      </c>
      <c r="E668" s="1003"/>
      <c r="F668" s="1003"/>
      <c r="G668" s="844"/>
      <c r="H668" s="869"/>
      <c r="I668" s="869"/>
      <c r="J668" s="869"/>
      <c r="K668" s="869"/>
    </row>
    <row r="669" spans="1:11">
      <c r="A669" s="820"/>
      <c r="B669" s="820"/>
      <c r="C669" s="820"/>
      <c r="D669" s="696"/>
      <c r="E669" s="1057" t="s">
        <v>1253</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01" t="s">
        <v>1454</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3" t="s">
        <v>1021</v>
      </c>
      <c r="E676" s="1003"/>
      <c r="F676" s="1003"/>
      <c r="G676" s="844"/>
      <c r="H676" s="869"/>
      <c r="I676" s="869"/>
      <c r="J676" s="869"/>
      <c r="K676" s="869"/>
    </row>
    <row r="677" spans="1:11" ht="14.25">
      <c r="A677" s="822"/>
      <c r="B677" s="822"/>
      <c r="C677" s="820"/>
      <c r="D677" s="1003" t="s">
        <v>991</v>
      </c>
      <c r="E677" s="1003"/>
      <c r="F677" s="1003"/>
      <c r="G677" s="844"/>
      <c r="H677" s="869"/>
      <c r="I677" s="869"/>
      <c r="J677" s="869"/>
      <c r="K677" s="869"/>
    </row>
    <row r="678" spans="1:11">
      <c r="A678" s="820"/>
      <c r="B678" s="820"/>
      <c r="C678" s="820"/>
      <c r="D678" s="696"/>
      <c r="E678" s="1056" t="s">
        <v>1255</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01" t="s">
        <v>1259</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1260</v>
      </c>
      <c r="E730" s="1031"/>
      <c r="F730" s="1031"/>
      <c r="G730" s="844"/>
      <c r="H730" s="869"/>
      <c r="I730" s="869"/>
      <c r="J730" s="869"/>
      <c r="K730" s="869"/>
    </row>
    <row r="731" spans="1:11">
      <c r="A731" s="820"/>
      <c r="B731" s="820"/>
      <c r="C731" s="820"/>
      <c r="D731" s="806"/>
      <c r="G731" s="844"/>
      <c r="H731" s="869"/>
      <c r="I731" s="869"/>
      <c r="J731" s="869"/>
      <c r="K731" s="869"/>
    </row>
    <row r="732" spans="1:11">
      <c r="A732" s="1033" t="s">
        <v>1217</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1233</v>
      </c>
      <c r="E734" s="1072"/>
      <c r="F734" s="1072"/>
      <c r="G734" s="874"/>
      <c r="H734" s="869"/>
      <c r="I734" s="869"/>
      <c r="J734" s="869"/>
      <c r="K734" s="869"/>
    </row>
    <row r="735" spans="1:11">
      <c r="A735" s="820"/>
      <c r="B735" s="820"/>
      <c r="C735" s="820"/>
      <c r="D735" s="1027" t="s">
        <v>1234</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01" t="s">
        <v>1235</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2" t="s">
        <v>1513</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328</v>
      </c>
      <c r="C749" s="878"/>
      <c r="D749" s="1081" t="s">
        <v>1514</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328</v>
      </c>
      <c r="C753" s="826"/>
      <c r="D753" s="1002" t="s">
        <v>1450</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2" t="s">
        <v>1474</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1572</v>
      </c>
      <c r="B760" s="1035"/>
      <c r="C760" s="1035"/>
      <c r="D760" s="1035"/>
      <c r="E760" s="1035"/>
      <c r="F760" s="1035"/>
      <c r="G760" s="1035"/>
    </row>
    <row r="761" spans="1:11">
      <c r="A761" s="820"/>
      <c r="B761" s="820"/>
      <c r="C761" s="820"/>
      <c r="D761" s="881"/>
      <c r="F761" s="868"/>
      <c r="G761" s="874"/>
    </row>
    <row r="762" spans="1:11">
      <c r="A762" s="826"/>
      <c r="B762" s="826"/>
      <c r="C762" s="831"/>
      <c r="D762" s="1036" t="s">
        <v>1580</v>
      </c>
      <c r="E762" s="1036"/>
      <c r="F762" s="1036"/>
      <c r="G762" s="874"/>
    </row>
    <row r="763" spans="1:11">
      <c r="A763" s="882"/>
      <c r="B763" s="882"/>
      <c r="C763" s="883"/>
      <c r="D763" s="1026" t="s">
        <v>1568</v>
      </c>
      <c r="E763" s="1026"/>
      <c r="F763" s="1026"/>
      <c r="G763" s="874"/>
    </row>
    <row r="764" spans="1:11">
      <c r="A764" s="882"/>
      <c r="B764" s="882"/>
      <c r="C764" s="883"/>
      <c r="D764" s="920"/>
      <c r="E764" s="920"/>
      <c r="F764" s="920"/>
      <c r="G764" s="874"/>
    </row>
    <row r="765" spans="1:11">
      <c r="A765" s="826"/>
      <c r="C765" s="831"/>
      <c r="D765" s="1036" t="s">
        <v>1565</v>
      </c>
      <c r="E765" s="1036"/>
      <c r="F765" s="1036"/>
      <c r="G765" s="874"/>
    </row>
    <row r="766" spans="1:11" ht="14.25">
      <c r="A766" s="822"/>
      <c r="B766" s="823" t="s">
        <v>328</v>
      </c>
      <c r="C766" s="831"/>
      <c r="D766" s="1027" t="s">
        <v>1102</v>
      </c>
      <c r="E766" s="1027"/>
      <c r="F766" s="1027"/>
      <c r="G766" s="874"/>
    </row>
    <row r="767" spans="1:11" ht="14.25">
      <c r="A767" s="822"/>
      <c r="B767" s="815"/>
      <c r="C767" s="831"/>
      <c r="D767" s="921"/>
      <c r="E767" s="1028" t="s">
        <v>1225</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1581</v>
      </c>
      <c r="E770" s="1036"/>
      <c r="F770" s="1036"/>
      <c r="G770" s="874"/>
    </row>
    <row r="771" spans="1:7" ht="14.25">
      <c r="A771" s="822"/>
      <c r="B771" s="823" t="s">
        <v>328</v>
      </c>
      <c r="C771" s="831"/>
      <c r="D771" s="1054" t="s">
        <v>1577</v>
      </c>
      <c r="E771" s="1054"/>
      <c r="F771" s="1054"/>
      <c r="G771" s="815"/>
    </row>
    <row r="772" spans="1:7" ht="14.25">
      <c r="A772" s="822"/>
      <c r="B772" s="815"/>
      <c r="C772" s="831"/>
      <c r="D772" s="1054" t="s">
        <v>1578</v>
      </c>
      <c r="E772" s="1054"/>
      <c r="F772" s="1054"/>
      <c r="G772" s="815"/>
    </row>
    <row r="773" spans="1:7" ht="14.25">
      <c r="A773" s="822"/>
      <c r="C773" s="831"/>
      <c r="D773" s="935"/>
      <c r="E773" s="928"/>
      <c r="F773" s="928"/>
      <c r="G773" s="874"/>
    </row>
    <row r="774" spans="1:7" ht="14.25">
      <c r="A774" s="822"/>
      <c r="B774" s="823" t="s">
        <v>328</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484</v>
      </c>
      <c r="B780" s="983"/>
      <c r="C780" s="983"/>
      <c r="D780" s="983"/>
      <c r="E780" s="983"/>
      <c r="F780" s="983"/>
      <c r="G780" s="983"/>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3" t="s">
        <v>485</v>
      </c>
      <c r="B784" s="983"/>
      <c r="C784" s="983"/>
      <c r="D784" s="983"/>
      <c r="E784" s="983"/>
      <c r="F784" s="983"/>
      <c r="G784" s="983"/>
    </row>
    <row r="785" spans="1:7">
      <c r="A785" s="818"/>
      <c r="B785" s="818"/>
      <c r="C785" s="818"/>
      <c r="D785" s="847"/>
      <c r="G785" s="874"/>
    </row>
    <row r="786" spans="1:7">
      <c r="A786" s="825"/>
      <c r="B786" s="1078" t="s">
        <v>483</v>
      </c>
      <c r="C786" s="1078"/>
      <c r="D786" s="1078"/>
      <c r="E786" s="1078"/>
      <c r="F786" s="1078"/>
      <c r="G786" s="874"/>
    </row>
    <row r="787" spans="1:7" ht="14.25">
      <c r="A787" s="822"/>
      <c r="B787" s="822"/>
      <c r="D787" s="825"/>
      <c r="E787" s="825"/>
      <c r="F787" s="874"/>
      <c r="G787" s="874"/>
    </row>
    <row r="788" spans="1:7">
      <c r="A788" s="983" t="s">
        <v>486</v>
      </c>
      <c r="B788" s="983"/>
      <c r="C788" s="983"/>
      <c r="D788" s="983"/>
      <c r="E788" s="983"/>
      <c r="F788" s="983"/>
      <c r="G788" s="983"/>
    </row>
    <row r="789" spans="1:7">
      <c r="C789" s="820"/>
      <c r="D789" s="848"/>
      <c r="E789" s="825"/>
      <c r="F789" s="874"/>
      <c r="G789" s="874"/>
    </row>
    <row r="790" spans="1:7">
      <c r="A790" s="825"/>
      <c r="B790" s="1078" t="s">
        <v>483</v>
      </c>
      <c r="C790" s="1078"/>
      <c r="D790" s="1078"/>
      <c r="E790" s="1078"/>
      <c r="F790" s="1078"/>
      <c r="G790" s="874"/>
    </row>
    <row r="791" spans="1:7">
      <c r="A791" s="825"/>
      <c r="B791" s="825"/>
      <c r="C791" s="854"/>
      <c r="D791" s="874"/>
      <c r="E791" s="874"/>
      <c r="F791" s="874"/>
      <c r="G791" s="874"/>
    </row>
    <row r="792" spans="1:7">
      <c r="A792" s="983" t="s">
        <v>487</v>
      </c>
      <c r="B792" s="983"/>
      <c r="C792" s="983"/>
      <c r="D792" s="983"/>
      <c r="E792" s="983"/>
      <c r="F792" s="983"/>
      <c r="G792" s="983"/>
    </row>
    <row r="793" spans="1:7">
      <c r="A793" s="825"/>
      <c r="B793" s="825"/>
    </row>
    <row r="794" spans="1:7">
      <c r="A794" s="825"/>
      <c r="B794" s="1078" t="s">
        <v>483</v>
      </c>
      <c r="C794" s="1078"/>
      <c r="D794" s="1078"/>
      <c r="E794" s="1078"/>
      <c r="F794" s="1078"/>
    </row>
    <row r="795" spans="1:7">
      <c r="A795" s="854"/>
      <c r="B795" s="854"/>
      <c r="C795" s="854"/>
      <c r="D795" s="817"/>
      <c r="F795" s="874"/>
    </row>
    <row r="796" spans="1:7">
      <c r="A796" s="983" t="s">
        <v>488</v>
      </c>
      <c r="B796" s="983"/>
      <c r="C796" s="983"/>
      <c r="D796" s="983"/>
      <c r="E796" s="983"/>
      <c r="F796" s="983"/>
      <c r="G796" s="983"/>
    </row>
    <row r="797" spans="1:7">
      <c r="A797" s="825"/>
      <c r="B797" s="825"/>
    </row>
    <row r="798" spans="1:7">
      <c r="A798" s="825"/>
      <c r="B798" s="1078" t="s">
        <v>483</v>
      </c>
      <c r="C798" s="1078"/>
      <c r="D798" s="1078"/>
      <c r="E798" s="1078"/>
      <c r="F798" s="1078"/>
    </row>
    <row r="799" spans="1:7">
      <c r="A799" s="854"/>
      <c r="B799" s="854"/>
      <c r="C799" s="854"/>
      <c r="D799" s="817"/>
      <c r="F799" s="874"/>
    </row>
    <row r="800" spans="1:7">
      <c r="A800" s="983" t="s">
        <v>489</v>
      </c>
      <c r="B800" s="983"/>
      <c r="C800" s="983"/>
      <c r="D800" s="983"/>
      <c r="E800" s="983"/>
      <c r="F800" s="983"/>
      <c r="G800" s="983"/>
    </row>
    <row r="801" spans="1:7">
      <c r="A801" s="825"/>
      <c r="B801" s="825"/>
    </row>
    <row r="802" spans="1:7">
      <c r="A802" s="825"/>
      <c r="B802" s="1078" t="s">
        <v>483</v>
      </c>
      <c r="C802" s="1078"/>
      <c r="D802" s="1078"/>
      <c r="E802" s="1078"/>
      <c r="F802" s="1078"/>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78" t="s">
        <v>483</v>
      </c>
      <c r="C806" s="1078"/>
      <c r="D806" s="1078"/>
      <c r="E806" s="1078"/>
      <c r="F806" s="1078"/>
    </row>
    <row r="807" spans="1:7">
      <c r="A807" s="825"/>
      <c r="B807" s="825"/>
      <c r="D807" s="817"/>
    </row>
    <row r="808" spans="1:7">
      <c r="A808" s="983" t="s">
        <v>967</v>
      </c>
      <c r="B808" s="983"/>
      <c r="C808" s="983"/>
      <c r="D808" s="983"/>
      <c r="E808" s="983"/>
      <c r="F808" s="983"/>
      <c r="G808" s="983"/>
    </row>
    <row r="809" spans="1:7">
      <c r="A809" s="825"/>
      <c r="B809" s="825"/>
    </row>
    <row r="810" spans="1:7">
      <c r="A810" s="825"/>
      <c r="B810" s="1078" t="s">
        <v>483</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964" zoomScaleNormal="100" zoomScaleSheetLayoutView="100" workbookViewId="0">
      <selection activeCell="AI911" sqref="AI91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9" t="s">
        <v>1570</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88" t="s">
        <v>1571</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1569</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15" t="s">
        <v>1644</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38" ht="12.75">
      <c r="A13" s="959" t="s">
        <v>1427</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8" t="s">
        <v>1657</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1658</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1" t="s">
        <v>965</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8" t="s">
        <v>1153</v>
      </c>
      <c r="B21" s="1518"/>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5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7">
        <f>'Basis &amp; Credits'!AB56</f>
        <v>2420717</v>
      </c>
      <c r="N26" s="1517"/>
      <c r="O26" s="1517"/>
      <c r="P26" s="1517"/>
      <c r="Q26" s="151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9" t="s">
        <v>722</v>
      </c>
      <c r="P33" s="1099"/>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3"/>
      <c r="H122" s="1493"/>
      <c r="I122" s="247" t="s">
        <v>194</v>
      </c>
      <c r="L122" s="1493"/>
      <c r="M122" s="1493"/>
      <c r="N122" s="149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4"/>
      <c r="D124" s="1514"/>
      <c r="E124" s="1514"/>
      <c r="F124" s="1514"/>
      <c r="G124" s="1514"/>
      <c r="H124" s="1514"/>
      <c r="I124" s="1514"/>
      <c r="J124" s="1514"/>
      <c r="K124" s="1514"/>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3"/>
      <c r="Z126" s="1493"/>
      <c r="AA126" s="1493"/>
      <c r="AB126" s="1493"/>
      <c r="AC126" s="1493"/>
      <c r="AD126" s="1493"/>
      <c r="AE126" s="1493"/>
      <c r="AF126" s="1493"/>
      <c r="AG126" s="1493"/>
      <c r="AH126" s="1493"/>
      <c r="AI126" s="1493"/>
      <c r="AJ126" s="1493"/>
      <c r="AK126" s="149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9"/>
      <c r="Z129" s="1499"/>
      <c r="AA129" s="1499"/>
      <c r="AB129" s="1499"/>
      <c r="AC129" s="1499"/>
      <c r="AD129" s="1499"/>
      <c r="AE129" s="1499"/>
      <c r="AF129" s="1499"/>
      <c r="AG129" s="1499"/>
      <c r="AH129" s="1499"/>
      <c r="AI129" s="1499"/>
      <c r="AJ129" s="1499"/>
      <c r="AK129" s="149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6" t="s">
        <v>1659</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475</v>
      </c>
      <c r="F154" s="32"/>
      <c r="G154" s="32"/>
      <c r="H154" s="32"/>
      <c r="I154" s="32"/>
      <c r="J154" s="32"/>
      <c r="K154" s="32"/>
      <c r="L154" s="32"/>
      <c r="M154" s="32"/>
      <c r="N154" s="32"/>
      <c r="O154" s="1123" t="s">
        <v>1660</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477</v>
      </c>
      <c r="F155" s="13"/>
      <c r="G155" s="13"/>
      <c r="H155" s="13"/>
      <c r="I155" s="13"/>
      <c r="J155" s="13"/>
      <c r="K155" s="13"/>
      <c r="L155" s="13"/>
      <c r="M155" s="13"/>
      <c r="N155" s="13"/>
      <c r="O155" s="1502" t="s">
        <v>476</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75">
      <c r="D156" s="32" t="s">
        <v>334</v>
      </c>
      <c r="F156" s="32"/>
      <c r="G156" s="32"/>
      <c r="H156" s="32"/>
      <c r="I156" s="32"/>
      <c r="J156" s="32"/>
      <c r="K156" s="32"/>
      <c r="L156" s="32"/>
      <c r="M156" s="32"/>
      <c r="N156" s="32"/>
      <c r="O156" s="1096" t="s">
        <v>1661</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328</v>
      </c>
    </row>
    <row r="157" spans="1:59" ht="12.75">
      <c r="D157" s="32" t="s">
        <v>335</v>
      </c>
      <c r="F157" s="32"/>
      <c r="G157" s="32"/>
      <c r="H157" s="32"/>
      <c r="I157" s="32"/>
      <c r="J157" s="32"/>
      <c r="K157" s="32"/>
      <c r="L157" s="32"/>
      <c r="M157" s="32"/>
      <c r="N157" s="32"/>
      <c r="O157" s="1096" t="s">
        <v>1662</v>
      </c>
      <c r="P157" s="1220"/>
      <c r="Q157" s="1220"/>
      <c r="R157" s="1220"/>
      <c r="S157" s="1220"/>
      <c r="T157" s="1220"/>
      <c r="U157" s="1220"/>
      <c r="V157" s="1220"/>
      <c r="W157" s="1220"/>
      <c r="X157" s="1220"/>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5">
        <v>94103</v>
      </c>
      <c r="P158" s="1315"/>
      <c r="Q158" s="1315"/>
      <c r="R158" s="1315"/>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14">
        <v>4157015525</v>
      </c>
      <c r="P159" s="1314"/>
      <c r="Q159" s="1314"/>
      <c r="R159" s="1314"/>
      <c r="S159" s="1314"/>
      <c r="T159" s="1314"/>
      <c r="V159" s="149" t="s">
        <v>286</v>
      </c>
      <c r="W159" s="1316"/>
      <c r="X159" s="1316"/>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14">
        <v>4157015501</v>
      </c>
      <c r="P160" s="1314"/>
      <c r="Q160" s="1314"/>
      <c r="R160" s="1314"/>
      <c r="S160" s="1314"/>
      <c r="T160" s="1314"/>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504" t="s">
        <v>1663</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7" t="s">
        <v>1510</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1" t="s">
        <v>585</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726</v>
      </c>
      <c r="BG169" s="12" t="s">
        <v>534</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5" t="s">
        <v>402</v>
      </c>
      <c r="K173" s="1495"/>
      <c r="L173" s="1495"/>
      <c r="M173" s="1495"/>
      <c r="N173" s="1495"/>
      <c r="O173" s="1495"/>
      <c r="P173" s="1495"/>
      <c r="Q173" s="1495"/>
      <c r="R173" s="1495"/>
      <c r="S173" s="1495"/>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98" t="s">
        <v>1645</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099" t="s">
        <v>722</v>
      </c>
      <c r="V175" s="1099"/>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92"/>
      <c r="V176" s="1492"/>
      <c r="W176" s="4" t="s">
        <v>327</v>
      </c>
      <c r="X176" s="1501"/>
      <c r="Y176" s="1501"/>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099" t="s">
        <v>722</v>
      </c>
      <c r="S177" s="1099"/>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7"/>
      <c r="AG178" s="1097"/>
      <c r="AH178" s="4" t="s">
        <v>327</v>
      </c>
      <c r="AI178" s="1118"/>
      <c r="AJ178" s="1118"/>
      <c r="AK178" s="111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099" t="s">
        <v>722</v>
      </c>
      <c r="Y180" s="1099"/>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00" t="str">
        <f>H18</f>
        <v xml:space="preserve">833 Bryant Apartments </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246</v>
      </c>
      <c r="BG186" s="12" t="s">
        <v>69</v>
      </c>
    </row>
    <row r="187" spans="1:59" ht="12.75">
      <c r="A187" s="25"/>
      <c r="C187" s="45"/>
      <c r="D187" s="25" t="s">
        <v>629</v>
      </c>
      <c r="E187" s="25"/>
      <c r="F187" s="25"/>
      <c r="G187" s="25"/>
      <c r="H187" s="25"/>
      <c r="I187" s="1123" t="s">
        <v>1664</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328</v>
      </c>
      <c r="BA189" s="36" t="s">
        <v>250</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1192</v>
      </c>
      <c r="BA190" s="36" t="s">
        <v>685</v>
      </c>
      <c r="BG190" s="12" t="s">
        <v>73</v>
      </c>
    </row>
    <row r="191" spans="1:59" ht="12.75">
      <c r="A191" s="25"/>
      <c r="C191" s="45"/>
      <c r="D191" s="25" t="s">
        <v>630</v>
      </c>
      <c r="E191" s="25"/>
      <c r="I191" s="1096" t="s">
        <v>1662</v>
      </c>
      <c r="J191" s="1098"/>
      <c r="K191" s="1098"/>
      <c r="L191" s="1098"/>
      <c r="M191" s="1098"/>
      <c r="N191" s="1098"/>
      <c r="O191" s="1098"/>
      <c r="P191" s="1098"/>
      <c r="Q191" s="25" t="s">
        <v>632</v>
      </c>
      <c r="T191" s="1098" t="s">
        <v>791</v>
      </c>
      <c r="U191" s="1098"/>
      <c r="V191" s="1098"/>
      <c r="W191" s="1098"/>
      <c r="X191" s="1098"/>
      <c r="Y191" s="1098"/>
      <c r="Z191" s="1098"/>
      <c r="AA191" s="1098"/>
      <c r="AB191" s="1098"/>
      <c r="AC191" s="1098"/>
      <c r="AD191" s="1098"/>
      <c r="AE191" s="1098"/>
      <c r="AH191" s="25"/>
      <c r="AJ191" s="3"/>
      <c r="AK191" s="3"/>
      <c r="AL191" s="3"/>
      <c r="AP191" s="12" t="s">
        <v>1193</v>
      </c>
      <c r="BA191" s="36" t="s">
        <v>742</v>
      </c>
      <c r="BG191" s="12" t="s">
        <v>788</v>
      </c>
    </row>
    <row r="192" spans="1:59" ht="12.75">
      <c r="A192" s="25"/>
      <c r="C192" s="46"/>
      <c r="D192" s="25" t="s">
        <v>633</v>
      </c>
      <c r="E192" s="25"/>
      <c r="F192" s="25"/>
      <c r="G192" s="25"/>
      <c r="I192" s="1120">
        <v>94103</v>
      </c>
      <c r="J192" s="1120"/>
      <c r="K192" s="1120"/>
      <c r="L192" s="1120"/>
      <c r="M192" s="1120"/>
      <c r="N192" s="1120"/>
      <c r="O192" s="25" t="s">
        <v>635</v>
      </c>
      <c r="P192" s="25"/>
      <c r="Q192" s="25"/>
      <c r="R192" s="25"/>
      <c r="S192" s="25"/>
      <c r="T192" s="1494">
        <v>180</v>
      </c>
      <c r="U192" s="1494"/>
      <c r="V192" s="1494"/>
      <c r="W192" s="1494"/>
      <c r="X192" s="1494"/>
      <c r="Y192" s="1494"/>
      <c r="Z192" s="1494"/>
      <c r="AA192" s="1494"/>
      <c r="AB192" s="1494"/>
      <c r="AC192" s="1494"/>
      <c r="AD192" s="1494"/>
      <c r="AE192" s="1494"/>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9" t="s">
        <v>1665</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9" t="s">
        <v>591</v>
      </c>
      <c r="U195" s="1099"/>
      <c r="W195" s="25" t="s">
        <v>738</v>
      </c>
      <c r="X195" s="25"/>
      <c r="Y195" s="25"/>
      <c r="Z195" s="25"/>
      <c r="AA195" s="25"/>
      <c r="AB195" s="25"/>
      <c r="AC195" s="25"/>
      <c r="AD195" s="25"/>
      <c r="AE195" s="25"/>
      <c r="AF195" s="25"/>
      <c r="AG195" s="25"/>
      <c r="AH195" s="1099">
        <v>12</v>
      </c>
      <c r="AI195" s="1099"/>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5" t="s">
        <v>722</v>
      </c>
      <c r="U196" s="1225"/>
      <c r="W196" s="25" t="s">
        <v>739</v>
      </c>
      <c r="X196" s="25"/>
      <c r="Y196" s="25"/>
      <c r="Z196" s="25"/>
      <c r="AA196" s="25"/>
      <c r="AB196" s="25"/>
      <c r="AC196" s="25"/>
      <c r="AD196" s="25"/>
      <c r="AE196" s="25"/>
      <c r="AF196" s="25"/>
      <c r="AG196" s="25"/>
      <c r="AH196" s="1099">
        <v>17</v>
      </c>
      <c r="AI196" s="1099"/>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5" t="s">
        <v>722</v>
      </c>
      <c r="U197" s="1225"/>
      <c r="V197" s="12"/>
      <c r="W197" s="25" t="s">
        <v>740</v>
      </c>
      <c r="X197" s="25"/>
      <c r="Y197" s="25"/>
      <c r="Z197" s="25"/>
      <c r="AA197" s="25"/>
      <c r="AB197" s="25"/>
      <c r="AC197" s="25"/>
      <c r="AD197" s="25"/>
      <c r="AE197" s="25"/>
      <c r="AF197" s="25"/>
      <c r="AG197" s="25"/>
      <c r="AH197" s="1099">
        <v>11</v>
      </c>
      <c r="AI197" s="1099"/>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5" t="s">
        <v>722</v>
      </c>
      <c r="Z198" s="1225"/>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00" t="s">
        <v>416</v>
      </c>
      <c r="E203" s="1100"/>
      <c r="F203" s="1100"/>
      <c r="G203" s="1100"/>
      <c r="H203" s="1100"/>
      <c r="I203" s="1100"/>
      <c r="J203" s="1100"/>
      <c r="K203" s="1100"/>
      <c r="L203" s="1100"/>
      <c r="M203" s="1100"/>
      <c r="P203" s="1490">
        <f>M26</f>
        <v>2420717</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18" t="s">
        <v>1533</v>
      </c>
      <c r="E204" s="1100"/>
      <c r="F204" s="1100"/>
      <c r="G204" s="1100"/>
      <c r="H204" s="1100"/>
      <c r="I204" s="1100"/>
      <c r="J204" s="1100"/>
      <c r="K204" s="1100"/>
      <c r="L204" s="1100"/>
      <c r="M204" s="1100"/>
      <c r="P204" s="1317">
        <f>M27</f>
        <v>0</v>
      </c>
      <c r="Q204" s="1317"/>
      <c r="R204" s="1317"/>
      <c r="S204" s="1317"/>
      <c r="T204" s="1317"/>
      <c r="U204" s="1317"/>
      <c r="V204" s="47"/>
      <c r="W204" s="25" t="s">
        <v>1534</v>
      </c>
      <c r="X204" s="25"/>
      <c r="Y204" s="25"/>
      <c r="Z204" s="25"/>
      <c r="AA204" s="25"/>
      <c r="AB204" s="25"/>
      <c r="AC204" s="25"/>
      <c r="AD204" s="25"/>
      <c r="AE204" s="25"/>
      <c r="AF204" s="1099" t="s">
        <v>722</v>
      </c>
      <c r="AG204" s="1099"/>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220" t="s">
        <v>1646</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20" t="s">
        <v>1196</v>
      </c>
      <c r="E210" s="1220"/>
      <c r="F210" s="1220"/>
      <c r="G210" s="1220"/>
      <c r="H210" s="1220"/>
      <c r="I210" s="1220"/>
      <c r="J210" s="1220"/>
      <c r="K210" s="1220"/>
      <c r="L210" s="1220"/>
      <c r="M210" s="1220"/>
      <c r="N210" s="12" t="s">
        <v>1518</v>
      </c>
      <c r="O210" s="743"/>
      <c r="P210" s="743"/>
      <c r="Q210" s="743"/>
      <c r="R210" s="743"/>
      <c r="S210" s="743"/>
      <c r="T210" s="743"/>
      <c r="U210" s="743"/>
      <c r="V210" s="743"/>
      <c r="W210" s="743"/>
      <c r="X210" s="743"/>
      <c r="Y210" s="743"/>
      <c r="Z210" s="743"/>
      <c r="AH210" s="1099">
        <v>0</v>
      </c>
      <c r="AI210" s="1099"/>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220" t="s">
        <v>712</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1" t="s">
        <v>586</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408</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641</v>
      </c>
      <c r="AJ221" s="1099"/>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641</v>
      </c>
      <c r="AJ222" s="1099"/>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591</v>
      </c>
      <c r="AJ223" s="1099"/>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641</v>
      </c>
      <c r="AJ224" s="1099"/>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3" t="str">
        <f>H16</f>
        <v xml:space="preserve">833 Bryant, L.P. </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584</v>
      </c>
      <c r="AT227" s="406">
        <f>IF(AND(AND($M$244="nonprofit",$M$252="for profit",$M$260="nonprofit")),2,0)</f>
        <v>0</v>
      </c>
    </row>
    <row r="228" spans="1:59" ht="12.75">
      <c r="D228" s="57" t="s">
        <v>92</v>
      </c>
      <c r="E228" s="57"/>
      <c r="F228" s="57"/>
      <c r="G228" s="57"/>
      <c r="H228" s="57"/>
      <c r="I228" s="57"/>
      <c r="J228" s="57"/>
      <c r="K228" s="7"/>
      <c r="M228" s="1096" t="s">
        <v>1664</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584</v>
      </c>
      <c r="AT228" s="405">
        <f>IF(AND(AND($M$244="for profit",$M$252="nonprofit",$M$260="nonprofit")),2,0)</f>
        <v>0</v>
      </c>
      <c r="BB228" s="61"/>
    </row>
    <row r="229" spans="1:59" ht="12.75">
      <c r="D229" s="57" t="s">
        <v>630</v>
      </c>
      <c r="E229" s="57"/>
      <c r="M229" s="1096" t="s">
        <v>1662</v>
      </c>
      <c r="N229" s="1220"/>
      <c r="O229" s="1220"/>
      <c r="P229" s="1220"/>
      <c r="Q229" s="1220"/>
      <c r="R229" s="1220"/>
      <c r="S229" s="1220"/>
      <c r="T229" s="1220"/>
      <c r="V229" s="59" t="s">
        <v>93</v>
      </c>
      <c r="W229" s="1123" t="s">
        <v>1666</v>
      </c>
      <c r="X229" s="1103"/>
      <c r="Y229" s="57" t="s">
        <v>633</v>
      </c>
      <c r="AC229" s="1220">
        <v>94103</v>
      </c>
      <c r="AD229" s="1220"/>
      <c r="AE229" s="1220"/>
      <c r="AO229" s="402"/>
      <c r="AT229" s="403"/>
    </row>
    <row r="230" spans="1:59" ht="12.75">
      <c r="D230" s="60" t="s">
        <v>94</v>
      </c>
      <c r="E230" s="7"/>
      <c r="F230" s="7"/>
      <c r="G230" s="7"/>
      <c r="H230" s="7"/>
      <c r="I230" s="7"/>
      <c r="J230" s="7"/>
      <c r="K230" s="29"/>
      <c r="M230" s="1096" t="s">
        <v>1668</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583</v>
      </c>
      <c r="AT230" s="406">
        <f>IF(AND(AND($M$244="nonprofit",$M$252="nonprofit",$M$260="(select one)")),1,0)</f>
        <v>0</v>
      </c>
    </row>
    <row r="231" spans="1:59" ht="12.75">
      <c r="D231" s="60" t="s">
        <v>95</v>
      </c>
      <c r="E231" s="7"/>
      <c r="F231" s="7"/>
      <c r="M231" s="1101" t="s">
        <v>1669</v>
      </c>
      <c r="N231" s="1102"/>
      <c r="O231" s="1102"/>
      <c r="P231" s="1102"/>
      <c r="Q231" s="1102"/>
      <c r="R231" s="1102"/>
      <c r="S231" s="7" t="s">
        <v>219</v>
      </c>
      <c r="T231" s="7"/>
      <c r="U231" s="1103"/>
      <c r="V231" s="1103"/>
      <c r="W231" s="1103"/>
      <c r="X231" s="7" t="s">
        <v>96</v>
      </c>
      <c r="Z231" s="1101" t="s">
        <v>1670</v>
      </c>
      <c r="AA231" s="1102"/>
      <c r="AB231" s="1102"/>
      <c r="AC231" s="1102"/>
      <c r="AD231" s="1102"/>
      <c r="AE231" s="1102"/>
      <c r="AO231" s="400" t="s">
        <v>583</v>
      </c>
      <c r="AT231" s="406">
        <f>IF(AND(AND($M$244="nonprofit",$M$252="nonprofit",$M$260="nonprofit")),1,0)</f>
        <v>0</v>
      </c>
    </row>
    <row r="232" spans="1:59" ht="12.75">
      <c r="D232" s="60" t="s">
        <v>97</v>
      </c>
      <c r="E232" s="7"/>
      <c r="F232" s="7"/>
      <c r="M232" s="1496" t="s">
        <v>1671</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20" t="s">
        <v>574</v>
      </c>
      <c r="N233" s="1120"/>
      <c r="O233" s="1120"/>
      <c r="P233" s="1120"/>
      <c r="Q233" s="1120"/>
      <c r="R233" s="1120"/>
      <c r="S233" s="1120"/>
      <c r="T233" s="1120"/>
      <c r="U233" s="404" t="s">
        <v>1004</v>
      </c>
      <c r="V233" s="335"/>
      <c r="W233" s="335"/>
      <c r="X233" s="335"/>
      <c r="Y233" s="335"/>
      <c r="Z233" s="335"/>
      <c r="AA233" s="1263" t="s">
        <v>1672</v>
      </c>
      <c r="AB233" s="1264"/>
      <c r="AC233" s="1264"/>
      <c r="AD233" s="1264"/>
      <c r="AE233" s="1264"/>
      <c r="AF233" s="1264"/>
      <c r="AG233" s="1264"/>
      <c r="AH233" s="1264"/>
      <c r="AI233" s="1264"/>
      <c r="AJ233" s="1264"/>
      <c r="AK233" s="1264"/>
      <c r="AL233" s="58"/>
      <c r="AO233" s="400" t="s">
        <v>971</v>
      </c>
      <c r="AT233" s="406">
        <f>IF(AND(AND($M$244="for profit",$M$252="for profit",$M$260="(select one)")),3,0)</f>
        <v>0</v>
      </c>
    </row>
    <row r="234" spans="1:59" ht="12.75">
      <c r="D234" s="12" t="s">
        <v>577</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8" t="s">
        <v>1673</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1674</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096" t="s">
        <v>1675</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6" t="s">
        <v>1662</v>
      </c>
      <c r="N240" s="1220"/>
      <c r="O240" s="1220"/>
      <c r="P240" s="1220"/>
      <c r="Q240" s="1220"/>
      <c r="R240" s="1220"/>
      <c r="S240" s="1220"/>
      <c r="T240" s="1220"/>
      <c r="V240" s="59" t="s">
        <v>93</v>
      </c>
      <c r="W240" s="1123" t="s">
        <v>1666</v>
      </c>
      <c r="X240" s="1103"/>
      <c r="Y240" s="57" t="s">
        <v>633</v>
      </c>
      <c r="AC240" s="1220">
        <v>94102</v>
      </c>
      <c r="AD240" s="1220"/>
      <c r="AE240" s="1220"/>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6" t="s">
        <v>1668</v>
      </c>
      <c r="N241" s="1220"/>
      <c r="O241" s="1220"/>
      <c r="P241" s="1220"/>
      <c r="Q241" s="1220"/>
      <c r="R241" s="1220"/>
      <c r="S241" s="1220"/>
      <c r="T241" s="1220"/>
      <c r="U241" s="1220"/>
      <c r="V241" s="1220"/>
      <c r="W241" s="1220"/>
      <c r="X241" s="1220"/>
      <c r="Y241" s="1220"/>
      <c r="Z241" s="1220"/>
      <c r="AA241" s="1220"/>
      <c r="AB241" s="1220"/>
      <c r="AC241" s="1220"/>
      <c r="AD241" s="1220"/>
      <c r="AE241" s="1220"/>
      <c r="AH241" s="1588">
        <v>100</v>
      </c>
      <c r="AI241" s="1588"/>
      <c r="AJ241" s="1588"/>
      <c r="AK241" s="1588"/>
      <c r="AL241" s="7"/>
      <c r="AN241" s="7" t="s">
        <v>295</v>
      </c>
      <c r="BA241" s="61"/>
    </row>
    <row r="242" spans="1:53" ht="12.75">
      <c r="A242" s="29"/>
      <c r="B242" s="7"/>
      <c r="C242" s="7"/>
      <c r="D242" s="60" t="s">
        <v>95</v>
      </c>
      <c r="E242" s="7"/>
      <c r="F242" s="7"/>
      <c r="M242" s="1101" t="s">
        <v>1669</v>
      </c>
      <c r="N242" s="1102"/>
      <c r="O242" s="1102"/>
      <c r="P242" s="1102"/>
      <c r="Q242" s="1102"/>
      <c r="R242" s="1102"/>
      <c r="S242" s="7" t="s">
        <v>219</v>
      </c>
      <c r="T242" s="7"/>
      <c r="U242" s="1103"/>
      <c r="V242" s="1103"/>
      <c r="W242" s="1103"/>
      <c r="X242" s="7" t="s">
        <v>96</v>
      </c>
      <c r="Z242" s="1102"/>
      <c r="AA242" s="1102"/>
      <c r="AB242" s="1102"/>
      <c r="AC242" s="1102"/>
      <c r="AD242" s="1102"/>
      <c r="AE242" s="1102"/>
      <c r="AN242" s="7" t="s">
        <v>185</v>
      </c>
      <c r="BA242" s="61"/>
    </row>
    <row r="243" spans="1:53" ht="12.75">
      <c r="A243" s="29"/>
      <c r="B243" s="7"/>
      <c r="C243" s="7"/>
      <c r="D243" s="60" t="s">
        <v>97</v>
      </c>
      <c r="E243" s="7"/>
      <c r="F243" s="7"/>
      <c r="M243" s="1496" t="s">
        <v>1676</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2.75">
      <c r="A244" s="23"/>
      <c r="B244" s="7"/>
      <c r="C244" s="139"/>
      <c r="D244" s="60" t="s">
        <v>581</v>
      </c>
      <c r="E244" s="7"/>
      <c r="F244" s="7"/>
      <c r="G244" s="7"/>
      <c r="H244" s="7"/>
      <c r="I244" s="7"/>
      <c r="J244" s="7"/>
      <c r="K244" s="7"/>
      <c r="L244" s="7"/>
      <c r="M244" s="1120" t="s">
        <v>580</v>
      </c>
      <c r="N244" s="1120"/>
      <c r="O244" s="1120"/>
      <c r="P244" s="1120"/>
      <c r="Q244" s="1120"/>
      <c r="R244" s="1120"/>
      <c r="S244" s="1120"/>
      <c r="T244" s="1120"/>
      <c r="U244" s="404" t="s">
        <v>1004</v>
      </c>
      <c r="V244" s="335"/>
      <c r="W244" s="335"/>
      <c r="X244" s="335"/>
      <c r="Y244" s="335"/>
      <c r="Z244" s="335"/>
      <c r="AA244" s="1263" t="s">
        <v>1677</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5"/>
      <c r="N246" s="1255"/>
      <c r="O246" s="1255"/>
      <c r="P246" s="1255"/>
      <c r="Q246" s="1255"/>
      <c r="R246" s="1255"/>
      <c r="S246" s="1255"/>
      <c r="T246" s="1255"/>
      <c r="U246" s="1255"/>
      <c r="V246" s="1255"/>
      <c r="W246" s="1255"/>
      <c r="X246" s="1255"/>
      <c r="Y246" s="1255"/>
      <c r="Z246" s="1255"/>
      <c r="AA246" s="1255"/>
      <c r="AB246" s="1255"/>
      <c r="AC246" s="1255"/>
      <c r="AD246" s="1255"/>
      <c r="AE246" s="1255"/>
      <c r="AF246" s="1255" t="s">
        <v>328</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220"/>
      <c r="N247" s="1220"/>
      <c r="O247" s="1220"/>
      <c r="P247" s="1220"/>
      <c r="Q247" s="1220"/>
      <c r="R247" s="1220"/>
      <c r="S247" s="1220"/>
      <c r="T247" s="1220"/>
      <c r="U247" s="1220"/>
      <c r="V247" s="1220"/>
      <c r="W247" s="1220"/>
      <c r="X247" s="1220"/>
      <c r="Y247" s="1220"/>
      <c r="Z247" s="1220"/>
      <c r="AA247" s="1220"/>
      <c r="AB247" s="1220"/>
      <c r="AC247" s="1220"/>
      <c r="AD247" s="1220"/>
      <c r="AE247" s="1220"/>
      <c r="AF247" s="58" t="s">
        <v>1418</v>
      </c>
      <c r="AG247" s="743"/>
      <c r="AH247" s="743"/>
      <c r="AI247" s="743"/>
      <c r="AJ247" s="743"/>
      <c r="AK247" s="743"/>
      <c r="AL247" s="7"/>
      <c r="BA247" s="61"/>
    </row>
    <row r="248" spans="1:53" ht="12.75">
      <c r="A248" s="29"/>
      <c r="B248" s="7"/>
      <c r="C248" s="7"/>
      <c r="D248" s="57" t="s">
        <v>630</v>
      </c>
      <c r="E248" s="57"/>
      <c r="M248" s="1220"/>
      <c r="N248" s="1220"/>
      <c r="O248" s="1220"/>
      <c r="P248" s="1220"/>
      <c r="Q248" s="1220"/>
      <c r="R248" s="1220"/>
      <c r="S248" s="1220"/>
      <c r="T248" s="1220"/>
      <c r="V248" s="59" t="s">
        <v>93</v>
      </c>
      <c r="W248" s="1103"/>
      <c r="X248" s="1103"/>
      <c r="Y248" s="57" t="s">
        <v>633</v>
      </c>
      <c r="AC248" s="1220"/>
      <c r="AD248" s="1220"/>
      <c r="AE248" s="122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20"/>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8"/>
      <c r="AI249" s="1588"/>
      <c r="AJ249" s="1588"/>
      <c r="AK249" s="1588"/>
      <c r="AL249" s="7"/>
      <c r="BA249" s="61"/>
    </row>
    <row r="250" spans="1:53" ht="12.75">
      <c r="A250" s="29"/>
      <c r="B250" s="7"/>
      <c r="C250" s="7"/>
      <c r="D250" s="60" t="s">
        <v>95</v>
      </c>
      <c r="E250" s="7"/>
      <c r="F250" s="7"/>
      <c r="M250" s="1102"/>
      <c r="N250" s="1102"/>
      <c r="O250" s="1102"/>
      <c r="P250" s="1102"/>
      <c r="Q250" s="1102"/>
      <c r="R250" s="1102"/>
      <c r="S250" s="7" t="s">
        <v>219</v>
      </c>
      <c r="T250" s="7"/>
      <c r="U250" s="1103"/>
      <c r="V250" s="1103"/>
      <c r="W250" s="1103"/>
      <c r="X250" s="7" t="s">
        <v>96</v>
      </c>
      <c r="Z250" s="1102"/>
      <c r="AA250" s="1102"/>
      <c r="AB250" s="1102"/>
      <c r="AC250" s="1102"/>
      <c r="AD250" s="1102"/>
      <c r="AE250" s="1102"/>
      <c r="BA250" s="61"/>
    </row>
    <row r="251" spans="1:53" ht="12.75" customHeight="1">
      <c r="A251" s="29"/>
      <c r="B251" s="7"/>
      <c r="C251" s="7"/>
      <c r="D251" s="60" t="s">
        <v>97</v>
      </c>
      <c r="E251" s="7"/>
      <c r="F251" s="7"/>
      <c r="M251" s="1496"/>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0" t="s">
        <v>328</v>
      </c>
      <c r="N252" s="1120"/>
      <c r="O252" s="1120"/>
      <c r="P252" s="1120"/>
      <c r="Q252" s="1120"/>
      <c r="R252" s="1120"/>
      <c r="S252" s="1120"/>
      <c r="T252" s="1120"/>
      <c r="U252" s="404" t="s">
        <v>1004</v>
      </c>
      <c r="V252" s="335"/>
      <c r="W252" s="335"/>
      <c r="X252" s="335"/>
      <c r="Y252" s="335"/>
      <c r="Z252" s="335"/>
      <c r="AA252" s="1264"/>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328</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1418</v>
      </c>
      <c r="AG255" s="743"/>
      <c r="AH255" s="743"/>
      <c r="AI255" s="743"/>
      <c r="AJ255" s="743"/>
      <c r="AK255" s="743"/>
      <c r="AL255" s="58"/>
      <c r="BA255" s="61"/>
    </row>
    <row r="256" spans="1:53" ht="12.75">
      <c r="A256" s="23"/>
      <c r="B256" s="7"/>
      <c r="C256" s="7"/>
      <c r="D256" s="57" t="s">
        <v>630</v>
      </c>
      <c r="E256" s="57"/>
      <c r="M256" s="1220"/>
      <c r="N256" s="1220"/>
      <c r="O256" s="1220"/>
      <c r="P256" s="1220"/>
      <c r="Q256" s="1220"/>
      <c r="R256" s="1220"/>
      <c r="S256" s="1220"/>
      <c r="T256" s="1220"/>
      <c r="V256" s="59" t="s">
        <v>93</v>
      </c>
      <c r="W256" s="1103"/>
      <c r="X256" s="1103"/>
      <c r="Y256" s="57" t="s">
        <v>633</v>
      </c>
      <c r="AC256" s="1220"/>
      <c r="AD256" s="1220"/>
      <c r="AE256" s="122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8"/>
      <c r="AI257" s="1588"/>
      <c r="AJ257" s="1588"/>
      <c r="AK257" s="1588"/>
      <c r="AL257" s="58"/>
      <c r="BA257" s="61"/>
    </row>
    <row r="258" spans="1:53" ht="12.75">
      <c r="A258" s="23"/>
      <c r="B258" s="7"/>
      <c r="C258" s="7"/>
      <c r="D258" s="60" t="s">
        <v>95</v>
      </c>
      <c r="E258" s="7"/>
      <c r="F258" s="7"/>
      <c r="M258" s="1102"/>
      <c r="N258" s="1102"/>
      <c r="O258" s="1102"/>
      <c r="P258" s="1102"/>
      <c r="Q258" s="1102"/>
      <c r="R258" s="1102"/>
      <c r="S258" s="7" t="s">
        <v>219</v>
      </c>
      <c r="T258" s="7"/>
      <c r="U258" s="1103"/>
      <c r="V258" s="1103"/>
      <c r="W258" s="1103"/>
      <c r="X258" s="7" t="s">
        <v>96</v>
      </c>
      <c r="Z258" s="1102"/>
      <c r="AA258" s="1102"/>
      <c r="AB258" s="1102"/>
      <c r="AC258" s="1102"/>
      <c r="AD258" s="1102"/>
      <c r="AE258" s="1102"/>
      <c r="AL258" s="58"/>
      <c r="BA258" s="61"/>
    </row>
    <row r="259" spans="1:53" ht="12.75">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5"/>
      <c r="AB259" s="1505"/>
      <c r="AC259" s="1505"/>
      <c r="AD259" s="1505"/>
      <c r="AE259" s="1505"/>
      <c r="AG259" s="7"/>
      <c r="AH259" s="7"/>
      <c r="AI259" s="7"/>
      <c r="AJ259" s="7"/>
      <c r="AK259" s="7"/>
      <c r="AL259" s="58"/>
      <c r="BA259" s="61"/>
    </row>
    <row r="260" spans="1:53" ht="12.75">
      <c r="A260" s="23"/>
      <c r="B260" s="7"/>
      <c r="C260" s="139"/>
      <c r="D260" s="60" t="s">
        <v>581</v>
      </c>
      <c r="E260" s="7"/>
      <c r="F260" s="7"/>
      <c r="G260" s="7"/>
      <c r="H260" s="7"/>
      <c r="I260" s="7"/>
      <c r="J260" s="7"/>
      <c r="K260" s="7"/>
      <c r="L260" s="7"/>
      <c r="M260" s="1120" t="s">
        <v>328</v>
      </c>
      <c r="N260" s="1120"/>
      <c r="O260" s="1120"/>
      <c r="P260" s="1120"/>
      <c r="Q260" s="1120"/>
      <c r="R260" s="1120"/>
      <c r="S260" s="1120"/>
      <c r="T260" s="1120"/>
      <c r="U260" s="404" t="s">
        <v>1004</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00" t="str">
        <f>BB239</f>
        <v>Nonprofit</v>
      </c>
      <c r="U262" s="1500"/>
      <c r="V262" s="1500"/>
      <c r="W262" s="1500"/>
      <c r="X262" s="150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0" t="s">
        <v>295</v>
      </c>
      <c r="E265" s="1220"/>
      <c r="F265" s="1220"/>
      <c r="G265" s="1220"/>
      <c r="H265" s="1220"/>
      <c r="J265" s="12" t="s">
        <v>294</v>
      </c>
      <c r="X265" s="1424"/>
      <c r="Y265" s="1424"/>
      <c r="Z265" s="1424"/>
      <c r="AA265" s="1424"/>
      <c r="AB265" s="1424"/>
      <c r="AC265" s="1424"/>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8" t="s">
        <v>1672</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6" t="s">
        <v>1675</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630</v>
      </c>
      <c r="E271" s="57"/>
      <c r="L271" s="1096" t="s">
        <v>1662</v>
      </c>
      <c r="M271" s="1220"/>
      <c r="N271" s="1220"/>
      <c r="O271" s="1220"/>
      <c r="P271" s="1220"/>
      <c r="Q271" s="1220"/>
      <c r="R271" s="1220"/>
      <c r="S271" s="1220"/>
      <c r="U271" s="59" t="s">
        <v>93</v>
      </c>
      <c r="V271" s="1123" t="s">
        <v>1666</v>
      </c>
      <c r="W271" s="1103"/>
      <c r="X271" s="57" t="s">
        <v>633</v>
      </c>
      <c r="AB271" s="1220">
        <v>94102</v>
      </c>
      <c r="AC271" s="1220"/>
      <c r="AD271" s="1220"/>
      <c r="AK271" s="58"/>
      <c r="AL271" s="58"/>
      <c r="BA271" s="61"/>
    </row>
    <row r="272" spans="1:53" ht="12.75">
      <c r="D272" s="60" t="s">
        <v>94</v>
      </c>
      <c r="E272" s="7"/>
      <c r="F272" s="7"/>
      <c r="G272" s="7"/>
      <c r="H272" s="7"/>
      <c r="I272" s="7"/>
      <c r="J272" s="7"/>
      <c r="K272" s="29"/>
      <c r="L272" s="1096" t="s">
        <v>1667</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507" t="s">
        <v>1678</v>
      </c>
      <c r="M273" s="1507"/>
      <c r="N273" s="1507"/>
      <c r="O273" s="1507"/>
      <c r="P273" s="1507"/>
      <c r="Q273" s="1507"/>
      <c r="R273" s="7" t="s">
        <v>219</v>
      </c>
      <c r="S273" s="7"/>
      <c r="T273" s="1103"/>
      <c r="U273" s="1103"/>
      <c r="V273" s="1103"/>
      <c r="W273" s="7" t="s">
        <v>96</v>
      </c>
      <c r="Y273" s="1101" t="s">
        <v>1670</v>
      </c>
      <c r="Z273" s="1102"/>
      <c r="AA273" s="1102"/>
      <c r="AB273" s="1102"/>
      <c r="AC273" s="1102"/>
      <c r="AD273" s="1102"/>
      <c r="BA273" s="61"/>
    </row>
    <row r="274" spans="1:53" ht="12.75">
      <c r="D274" s="60" t="s">
        <v>97</v>
      </c>
      <c r="E274" s="7"/>
      <c r="F274" s="7"/>
      <c r="L274" s="1496" t="s">
        <v>1679</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2.75">
      <c r="D275" s="58" t="s">
        <v>673</v>
      </c>
      <c r="E275" s="58"/>
      <c r="F275" s="58"/>
      <c r="G275" s="58"/>
      <c r="H275" s="58"/>
      <c r="I275" s="58"/>
      <c r="L275" s="1123" t="s">
        <v>1680</v>
      </c>
      <c r="M275" s="1123"/>
      <c r="N275" s="1123"/>
      <c r="O275" s="1123"/>
      <c r="P275" s="1123"/>
      <c r="Q275" s="1123"/>
      <c r="R275" s="1123"/>
      <c r="S275" s="1123"/>
      <c r="T275" s="1123"/>
      <c r="U275" s="1123"/>
      <c r="V275" s="1123"/>
      <c r="W275" s="1123"/>
      <c r="X275" s="1123"/>
      <c r="Y275" s="1123"/>
      <c r="Z275" s="1123"/>
      <c r="AA275" s="1123"/>
      <c r="AB275" s="1123"/>
      <c r="AC275" s="1123"/>
      <c r="AD275" s="1123"/>
      <c r="AK275" s="58"/>
      <c r="AL275" s="58"/>
      <c r="BA275" s="61"/>
    </row>
    <row r="276" spans="1:53" ht="12.75">
      <c r="L276" s="35" t="s">
        <v>674</v>
      </c>
      <c r="BA276" s="61"/>
    </row>
    <row r="277" spans="1:53" ht="12.75">
      <c r="A277" s="1261" t="s">
        <v>587</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1672</v>
      </c>
      <c r="I282" s="1098"/>
      <c r="J282" s="1098"/>
      <c r="K282" s="1098"/>
      <c r="L282" s="1098"/>
      <c r="M282" s="1098"/>
      <c r="N282" s="1098"/>
      <c r="O282" s="1098"/>
      <c r="P282" s="1098"/>
      <c r="Q282" s="1098"/>
      <c r="R282" s="1098"/>
      <c r="T282" s="58" t="s">
        <v>615</v>
      </c>
      <c r="V282" s="58"/>
      <c r="W282" s="58"/>
      <c r="X282" s="58"/>
      <c r="Y282" s="58"/>
      <c r="AA282" s="1096" t="s">
        <v>1708</v>
      </c>
      <c r="AB282" s="1098"/>
      <c r="AC282" s="1098"/>
      <c r="AD282" s="1098"/>
      <c r="AE282" s="1098"/>
      <c r="AF282" s="1098"/>
      <c r="AG282" s="1098"/>
      <c r="AH282" s="1098"/>
      <c r="AI282" s="1098"/>
      <c r="AJ282" s="1098"/>
      <c r="AK282" s="1098"/>
      <c r="BA282" s="61"/>
    </row>
    <row r="283" spans="1:53" ht="12.75" customHeight="1">
      <c r="B283" s="58" t="s">
        <v>517</v>
      </c>
      <c r="C283" s="58"/>
      <c r="D283" s="58"/>
      <c r="E283" s="58"/>
      <c r="F283" s="58"/>
      <c r="H283" s="1123" t="s">
        <v>1675</v>
      </c>
      <c r="I283" s="1120"/>
      <c r="J283" s="1120"/>
      <c r="K283" s="1120"/>
      <c r="L283" s="1120"/>
      <c r="M283" s="1120"/>
      <c r="N283" s="1120"/>
      <c r="O283" s="1120"/>
      <c r="P283" s="1120"/>
      <c r="Q283" s="1120"/>
      <c r="R283" s="1120"/>
      <c r="T283" s="58" t="s">
        <v>517</v>
      </c>
      <c r="V283" s="58"/>
      <c r="W283" s="58"/>
      <c r="X283" s="58"/>
      <c r="Y283" s="58"/>
      <c r="AA283" s="1123" t="s">
        <v>1712</v>
      </c>
      <c r="AB283" s="1120"/>
      <c r="AC283" s="1120"/>
      <c r="AD283" s="1120"/>
      <c r="AE283" s="1120"/>
      <c r="AF283" s="1120"/>
      <c r="AG283" s="1120"/>
      <c r="AH283" s="1120"/>
      <c r="AI283" s="1120"/>
      <c r="AJ283" s="1120"/>
      <c r="AK283" s="1120"/>
      <c r="BA283" s="61"/>
    </row>
    <row r="284" spans="1:53" ht="12.75" customHeight="1">
      <c r="B284" s="58" t="s">
        <v>518</v>
      </c>
      <c r="C284" s="58"/>
      <c r="D284" s="58"/>
      <c r="E284" s="58"/>
      <c r="F284" s="58"/>
      <c r="H284" s="1123" t="s">
        <v>1681</v>
      </c>
      <c r="I284" s="1120"/>
      <c r="J284" s="1120"/>
      <c r="K284" s="1120"/>
      <c r="L284" s="1120"/>
      <c r="M284" s="1120"/>
      <c r="N284" s="1120"/>
      <c r="O284" s="1120"/>
      <c r="P284" s="1120"/>
      <c r="Q284" s="1120"/>
      <c r="R284" s="1120"/>
      <c r="T284" s="58" t="s">
        <v>81</v>
      </c>
      <c r="V284" s="58"/>
      <c r="W284" s="58"/>
      <c r="X284" s="58"/>
      <c r="Y284" s="58"/>
      <c r="AA284" s="1123" t="s">
        <v>1709</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3" t="s">
        <v>1682</v>
      </c>
      <c r="I285" s="1120"/>
      <c r="J285" s="1120"/>
      <c r="K285" s="1120"/>
      <c r="L285" s="1120"/>
      <c r="M285" s="1120"/>
      <c r="N285" s="1120"/>
      <c r="O285" s="1120"/>
      <c r="P285" s="1120"/>
      <c r="Q285" s="1120"/>
      <c r="R285" s="1120"/>
      <c r="T285" s="58" t="s">
        <v>94</v>
      </c>
      <c r="V285" s="58"/>
      <c r="W285" s="58"/>
      <c r="X285" s="58"/>
      <c r="Y285" s="58"/>
      <c r="AA285" s="1123" t="s">
        <v>1710</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1683</v>
      </c>
      <c r="I286" s="1122"/>
      <c r="J286" s="1122"/>
      <c r="K286" s="1122"/>
      <c r="L286" s="1122"/>
      <c r="M286" s="1122"/>
      <c r="N286" s="7" t="s">
        <v>219</v>
      </c>
      <c r="O286" s="7"/>
      <c r="P286" s="1220"/>
      <c r="Q286" s="1220"/>
      <c r="R286" s="1220"/>
      <c r="S286" s="58"/>
      <c r="T286" s="58" t="s">
        <v>95</v>
      </c>
      <c r="V286" s="58"/>
      <c r="W286" s="58"/>
      <c r="X286" s="58"/>
      <c r="Y286" s="58"/>
      <c r="AA286" s="1121" t="s">
        <v>1713</v>
      </c>
      <c r="AB286" s="1122"/>
      <c r="AC286" s="1122"/>
      <c r="AD286" s="1122"/>
      <c r="AE286" s="1122"/>
      <c r="AF286" s="1122"/>
      <c r="AG286" s="7" t="s">
        <v>219</v>
      </c>
      <c r="AH286" s="7"/>
      <c r="AI286" s="1220"/>
      <c r="AJ286" s="1220"/>
      <c r="AK286" s="1220"/>
      <c r="BA286" s="61"/>
    </row>
    <row r="287" spans="1:53" ht="12.75">
      <c r="B287" s="58" t="s">
        <v>96</v>
      </c>
      <c r="C287" s="58"/>
      <c r="D287" s="58"/>
      <c r="E287" s="58"/>
      <c r="F287" s="58"/>
      <c r="G287" s="58"/>
      <c r="H287" s="1101" t="s">
        <v>1670</v>
      </c>
      <c r="I287" s="1102"/>
      <c r="J287" s="1102"/>
      <c r="K287" s="1102"/>
      <c r="L287" s="1102"/>
      <c r="M287" s="1102"/>
      <c r="N287" s="60"/>
      <c r="O287" s="60"/>
      <c r="P287" s="62"/>
      <c r="Q287" s="62"/>
      <c r="R287" s="62"/>
      <c r="S287" s="58"/>
      <c r="T287" s="58" t="s">
        <v>96</v>
      </c>
      <c r="V287" s="58"/>
      <c r="W287" s="58"/>
      <c r="X287" s="58"/>
      <c r="Y287" s="58"/>
      <c r="AA287" s="1102"/>
      <c r="AB287" s="1102"/>
      <c r="AC287" s="1102"/>
      <c r="AD287" s="1102"/>
      <c r="AE287" s="1102"/>
      <c r="AF287" s="1102"/>
      <c r="AG287" s="60"/>
      <c r="AH287" s="60"/>
      <c r="AI287" s="62"/>
      <c r="AJ287" s="62"/>
      <c r="AK287" s="62"/>
      <c r="BA287" s="61"/>
    </row>
    <row r="288" spans="1:53" ht="12.75">
      <c r="B288" s="58" t="s">
        <v>82</v>
      </c>
      <c r="C288" s="58"/>
      <c r="D288" s="58"/>
      <c r="E288" s="58"/>
      <c r="F288" s="58"/>
      <c r="G288" s="58"/>
      <c r="H288" s="1123" t="s">
        <v>1679</v>
      </c>
      <c r="I288" s="1120"/>
      <c r="J288" s="1120"/>
      <c r="K288" s="1120"/>
      <c r="L288" s="1120"/>
      <c r="M288" s="1120"/>
      <c r="N288" s="1098"/>
      <c r="O288" s="1098"/>
      <c r="P288" s="1098"/>
      <c r="Q288" s="1098"/>
      <c r="R288" s="1098"/>
      <c r="S288" s="58"/>
      <c r="T288" s="58" t="s">
        <v>82</v>
      </c>
      <c r="V288" s="58"/>
      <c r="W288" s="58"/>
      <c r="X288" s="58"/>
      <c r="Y288" s="58"/>
      <c r="AA288" s="1123" t="s">
        <v>1711</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6" t="s">
        <v>1684</v>
      </c>
      <c r="I290" s="1098"/>
      <c r="J290" s="1098"/>
      <c r="K290" s="1098"/>
      <c r="L290" s="1098"/>
      <c r="M290" s="1098"/>
      <c r="N290" s="1098"/>
      <c r="O290" s="1098"/>
      <c r="P290" s="1098"/>
      <c r="Q290" s="1098"/>
      <c r="R290" s="1098"/>
      <c r="T290" s="58" t="s">
        <v>387</v>
      </c>
      <c r="V290" s="58"/>
      <c r="W290" s="58"/>
      <c r="X290" s="58"/>
      <c r="Y290" s="58"/>
      <c r="AA290" s="1096" t="s">
        <v>1714</v>
      </c>
      <c r="AB290" s="1098"/>
      <c r="AC290" s="1098"/>
      <c r="AD290" s="1098"/>
      <c r="AE290" s="1098"/>
      <c r="AF290" s="1098"/>
      <c r="AG290" s="1098"/>
      <c r="AH290" s="1098"/>
      <c r="AI290" s="1098"/>
      <c r="AJ290" s="1098"/>
      <c r="AK290" s="1098"/>
      <c r="BA290" s="61"/>
    </row>
    <row r="291" spans="2:53" ht="12.75">
      <c r="B291" s="58" t="s">
        <v>517</v>
      </c>
      <c r="C291" s="58"/>
      <c r="D291" s="58"/>
      <c r="E291" s="58"/>
      <c r="F291" s="58"/>
      <c r="H291" s="1123" t="s">
        <v>1685</v>
      </c>
      <c r="I291" s="1120"/>
      <c r="J291" s="1120"/>
      <c r="K291" s="1120"/>
      <c r="L291" s="1120"/>
      <c r="M291" s="1120"/>
      <c r="N291" s="1120"/>
      <c r="O291" s="1120"/>
      <c r="P291" s="1120"/>
      <c r="Q291" s="1120"/>
      <c r="R291" s="1120"/>
      <c r="T291" s="58" t="s">
        <v>517</v>
      </c>
      <c r="V291" s="58"/>
      <c r="W291" s="58"/>
      <c r="X291" s="58"/>
      <c r="Y291" s="58"/>
      <c r="AA291" s="1123" t="s">
        <v>1715</v>
      </c>
      <c r="AB291" s="1120"/>
      <c r="AC291" s="1120"/>
      <c r="AD291" s="1120"/>
      <c r="AE291" s="1120"/>
      <c r="AF291" s="1120"/>
      <c r="AG291" s="1120"/>
      <c r="AH291" s="1120"/>
      <c r="AI291" s="1120"/>
      <c r="AJ291" s="1120"/>
      <c r="AK291" s="1120"/>
      <c r="BA291" s="61"/>
    </row>
    <row r="292" spans="2:53" ht="12.75">
      <c r="B292" s="58" t="s">
        <v>518</v>
      </c>
      <c r="C292" s="58"/>
      <c r="D292" s="58"/>
      <c r="E292" s="58"/>
      <c r="F292" s="58"/>
      <c r="H292" s="1123" t="s">
        <v>1686</v>
      </c>
      <c r="I292" s="1120"/>
      <c r="J292" s="1120"/>
      <c r="K292" s="1120"/>
      <c r="L292" s="1120"/>
      <c r="M292" s="1120"/>
      <c r="N292" s="1120"/>
      <c r="O292" s="1120"/>
      <c r="P292" s="1120"/>
      <c r="Q292" s="1120"/>
      <c r="R292" s="1120"/>
      <c r="T292" s="58" t="s">
        <v>81</v>
      </c>
      <c r="V292" s="58"/>
      <c r="W292" s="58"/>
      <c r="X292" s="58"/>
      <c r="Y292" s="58"/>
      <c r="AA292" s="1123" t="s">
        <v>1716</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3" t="s">
        <v>1687</v>
      </c>
      <c r="I293" s="1120"/>
      <c r="J293" s="1120"/>
      <c r="K293" s="1120"/>
      <c r="L293" s="1120"/>
      <c r="M293" s="1120"/>
      <c r="N293" s="1120"/>
      <c r="O293" s="1120"/>
      <c r="P293" s="1120"/>
      <c r="Q293" s="1120"/>
      <c r="R293" s="1120"/>
      <c r="T293" s="58" t="s">
        <v>94</v>
      </c>
      <c r="V293" s="58"/>
      <c r="W293" s="58"/>
      <c r="X293" s="58"/>
      <c r="Y293" s="58"/>
      <c r="AA293" s="1123" t="s">
        <v>1717</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512">
        <v>4157816600</v>
      </c>
      <c r="I294" s="1512"/>
      <c r="J294" s="1512"/>
      <c r="K294" s="1512"/>
      <c r="L294" s="1512"/>
      <c r="M294" s="1512"/>
      <c r="N294" s="7" t="s">
        <v>219</v>
      </c>
      <c r="O294" s="7"/>
      <c r="P294" s="1220">
        <v>6</v>
      </c>
      <c r="Q294" s="1220"/>
      <c r="R294" s="1220"/>
      <c r="S294" s="58"/>
      <c r="T294" s="58" t="s">
        <v>95</v>
      </c>
      <c r="V294" s="58"/>
      <c r="W294" s="58"/>
      <c r="X294" s="58"/>
      <c r="Y294" s="58"/>
      <c r="AA294" s="1121" t="s">
        <v>1718</v>
      </c>
      <c r="AB294" s="1122"/>
      <c r="AC294" s="1122"/>
      <c r="AD294" s="1122"/>
      <c r="AE294" s="1122"/>
      <c r="AF294" s="1122"/>
      <c r="AG294" s="7" t="s">
        <v>219</v>
      </c>
      <c r="AH294" s="7"/>
      <c r="AI294" s="1220"/>
      <c r="AJ294" s="1220"/>
      <c r="AK294" s="1220"/>
      <c r="BA294" s="61"/>
    </row>
    <row r="295" spans="2:53" ht="12.75" customHeight="1">
      <c r="B295" s="58" t="s">
        <v>96</v>
      </c>
      <c r="C295" s="58"/>
      <c r="D295" s="58"/>
      <c r="E295" s="58"/>
      <c r="F295" s="58"/>
      <c r="G295" s="58"/>
      <c r="H295" s="1507">
        <v>4157816601</v>
      </c>
      <c r="I295" s="1507"/>
      <c r="J295" s="1507"/>
      <c r="K295" s="1507"/>
      <c r="L295" s="1507"/>
      <c r="M295" s="1507"/>
      <c r="N295" s="60"/>
      <c r="O295" s="60"/>
      <c r="P295" s="62"/>
      <c r="Q295" s="62"/>
      <c r="R295" s="62"/>
      <c r="S295" s="58"/>
      <c r="T295" s="58" t="s">
        <v>96</v>
      </c>
      <c r="V295" s="58"/>
      <c r="W295" s="58"/>
      <c r="X295" s="58"/>
      <c r="Y295" s="58"/>
      <c r="AA295" s="1101" t="s">
        <v>1719</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259" t="s">
        <v>1688</v>
      </c>
      <c r="I296" s="1259"/>
      <c r="J296" s="1259"/>
      <c r="K296" s="1259"/>
      <c r="L296" s="1259"/>
      <c r="M296" s="1259"/>
      <c r="N296" s="1513"/>
      <c r="O296" s="1513"/>
      <c r="P296" s="1513"/>
      <c r="Q296" s="1513"/>
      <c r="R296" s="1513"/>
      <c r="S296" s="58"/>
      <c r="T296" s="58" t="s">
        <v>82</v>
      </c>
      <c r="V296" s="58"/>
      <c r="W296" s="58"/>
      <c r="X296" s="58"/>
      <c r="Y296" s="58"/>
      <c r="AA296" s="1123" t="s">
        <v>1720</v>
      </c>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513" t="s">
        <v>1689</v>
      </c>
      <c r="I298" s="1513"/>
      <c r="J298" s="1513"/>
      <c r="K298" s="1513"/>
      <c r="L298" s="1513"/>
      <c r="M298" s="1513"/>
      <c r="N298" s="1513"/>
      <c r="O298" s="1513"/>
      <c r="P298" s="1513"/>
      <c r="Q298" s="1513"/>
      <c r="R298" s="1513"/>
      <c r="T298" s="7" t="s">
        <v>972</v>
      </c>
      <c r="V298" s="58"/>
      <c r="W298" s="58"/>
      <c r="X298" s="58"/>
      <c r="Y298" s="58"/>
      <c r="AA298" s="1096" t="s">
        <v>1721</v>
      </c>
      <c r="AB298" s="1098"/>
      <c r="AC298" s="1098"/>
      <c r="AD298" s="1098"/>
      <c r="AE298" s="1098"/>
      <c r="AF298" s="1098"/>
      <c r="AG298" s="1098"/>
      <c r="AH298" s="1098"/>
      <c r="AI298" s="1098"/>
      <c r="AJ298" s="1098"/>
      <c r="AK298" s="1098"/>
      <c r="BA298" s="61"/>
    </row>
    <row r="299" spans="2:53" ht="12.75">
      <c r="B299" s="58" t="s">
        <v>517</v>
      </c>
      <c r="C299" s="58"/>
      <c r="D299" s="58"/>
      <c r="E299" s="58"/>
      <c r="F299" s="58"/>
      <c r="H299" s="1123" t="s">
        <v>1685</v>
      </c>
      <c r="I299" s="1120"/>
      <c r="J299" s="1120"/>
      <c r="K299" s="1120"/>
      <c r="L299" s="1120"/>
      <c r="M299" s="1120"/>
      <c r="N299" s="1120"/>
      <c r="O299" s="1120"/>
      <c r="P299" s="1120"/>
      <c r="Q299" s="1120"/>
      <c r="R299" s="1120"/>
      <c r="T299" s="58" t="s">
        <v>517</v>
      </c>
      <c r="V299" s="58"/>
      <c r="W299" s="58"/>
      <c r="X299" s="58"/>
      <c r="Y299" s="58"/>
      <c r="AA299" s="1123" t="s">
        <v>1722</v>
      </c>
      <c r="AB299" s="1120"/>
      <c r="AC299" s="1120"/>
      <c r="AD299" s="1120"/>
      <c r="AE299" s="1120"/>
      <c r="AF299" s="1120"/>
      <c r="AG299" s="1120"/>
      <c r="AH299" s="1120"/>
      <c r="AI299" s="1120"/>
      <c r="AJ299" s="1120"/>
      <c r="AK299" s="1120"/>
      <c r="BA299" s="61"/>
    </row>
    <row r="300" spans="2:53" ht="12.75">
      <c r="B300" s="58" t="s">
        <v>518</v>
      </c>
      <c r="C300" s="58"/>
      <c r="D300" s="58"/>
      <c r="E300" s="58"/>
      <c r="F300" s="58"/>
      <c r="H300" s="1123" t="s">
        <v>1686</v>
      </c>
      <c r="I300" s="1120"/>
      <c r="J300" s="1120"/>
      <c r="K300" s="1120"/>
      <c r="L300" s="1120"/>
      <c r="M300" s="1120"/>
      <c r="N300" s="1120"/>
      <c r="O300" s="1120"/>
      <c r="P300" s="1120"/>
      <c r="Q300" s="1120"/>
      <c r="R300" s="1120"/>
      <c r="T300" s="58" t="s">
        <v>81</v>
      </c>
      <c r="V300" s="58"/>
      <c r="W300" s="58"/>
      <c r="X300" s="58"/>
      <c r="Y300" s="58"/>
      <c r="AA300" s="1123" t="s">
        <v>1723</v>
      </c>
      <c r="AB300" s="1120"/>
      <c r="AC300" s="1120"/>
      <c r="AD300" s="1120"/>
      <c r="AE300" s="1120"/>
      <c r="AF300" s="1120"/>
      <c r="AG300" s="1120"/>
      <c r="AH300" s="1120"/>
      <c r="AI300" s="1120"/>
      <c r="AJ300" s="1120"/>
      <c r="AK300" s="1120"/>
      <c r="BA300" s="61"/>
    </row>
    <row r="301" spans="2:53" ht="12.75">
      <c r="B301" s="58" t="s">
        <v>94</v>
      </c>
      <c r="C301" s="58"/>
      <c r="D301" s="58"/>
      <c r="E301" s="58"/>
      <c r="F301" s="58"/>
      <c r="H301" s="1123" t="s">
        <v>1687</v>
      </c>
      <c r="I301" s="1120"/>
      <c r="J301" s="1120"/>
      <c r="K301" s="1120"/>
      <c r="L301" s="1120"/>
      <c r="M301" s="1120"/>
      <c r="N301" s="1120"/>
      <c r="O301" s="1120"/>
      <c r="P301" s="1120"/>
      <c r="Q301" s="1120"/>
      <c r="R301" s="1120"/>
      <c r="T301" s="58" t="s">
        <v>94</v>
      </c>
      <c r="V301" s="58"/>
      <c r="W301" s="58"/>
      <c r="X301" s="58"/>
      <c r="Y301" s="58"/>
      <c r="AA301" s="1123" t="s">
        <v>1724</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512">
        <v>4157816600</v>
      </c>
      <c r="I302" s="1512"/>
      <c r="J302" s="1512"/>
      <c r="K302" s="1512"/>
      <c r="L302" s="1512"/>
      <c r="M302" s="1512"/>
      <c r="N302" s="7" t="s">
        <v>219</v>
      </c>
      <c r="O302" s="7"/>
      <c r="P302" s="1220">
        <v>6</v>
      </c>
      <c r="Q302" s="1220"/>
      <c r="R302" s="1220"/>
      <c r="S302" s="58"/>
      <c r="T302" s="58" t="s">
        <v>95</v>
      </c>
      <c r="V302" s="58"/>
      <c r="W302" s="58"/>
      <c r="X302" s="58"/>
      <c r="Y302" s="58"/>
      <c r="AA302" s="1121" t="s">
        <v>1725</v>
      </c>
      <c r="AB302" s="1122"/>
      <c r="AC302" s="1122"/>
      <c r="AD302" s="1122"/>
      <c r="AE302" s="1122"/>
      <c r="AF302" s="1122"/>
      <c r="AG302" s="7" t="s">
        <v>219</v>
      </c>
      <c r="AH302" s="7"/>
      <c r="AI302" s="1220">
        <v>1009</v>
      </c>
      <c r="AJ302" s="1220"/>
      <c r="AK302" s="1220"/>
      <c r="BA302" s="61"/>
    </row>
    <row r="303" spans="2:53" ht="12.75">
      <c r="B303" s="58" t="s">
        <v>96</v>
      </c>
      <c r="C303" s="58"/>
      <c r="D303" s="58"/>
      <c r="E303" s="58"/>
      <c r="F303" s="58"/>
      <c r="G303" s="58"/>
      <c r="H303" s="1507">
        <v>4157816601</v>
      </c>
      <c r="I303" s="1507"/>
      <c r="J303" s="1507"/>
      <c r="K303" s="1507"/>
      <c r="L303" s="1507"/>
      <c r="M303" s="1507"/>
      <c r="N303" s="60"/>
      <c r="O303" s="60"/>
      <c r="P303" s="62"/>
      <c r="Q303" s="62"/>
      <c r="R303" s="62"/>
      <c r="S303" s="58"/>
      <c r="T303" s="58" t="s">
        <v>96</v>
      </c>
      <c r="V303" s="58"/>
      <c r="W303" s="58"/>
      <c r="X303" s="58"/>
      <c r="Y303" s="58"/>
      <c r="AA303" s="1102"/>
      <c r="AB303" s="1102"/>
      <c r="AC303" s="1102"/>
      <c r="AD303" s="1102"/>
      <c r="AE303" s="1102"/>
      <c r="AF303" s="1102"/>
      <c r="AG303" s="60"/>
      <c r="AH303" s="60"/>
      <c r="AI303" s="62"/>
      <c r="AJ303" s="62"/>
      <c r="AK303" s="62"/>
      <c r="BA303" s="61"/>
    </row>
    <row r="304" spans="2:53" ht="12.75">
      <c r="B304" s="58" t="s">
        <v>82</v>
      </c>
      <c r="C304" s="58"/>
      <c r="D304" s="58"/>
      <c r="E304" s="58"/>
      <c r="F304" s="58"/>
      <c r="G304" s="58"/>
      <c r="H304" s="1259" t="s">
        <v>1688</v>
      </c>
      <c r="I304" s="1259"/>
      <c r="J304" s="1259"/>
      <c r="K304" s="1259"/>
      <c r="L304" s="1259"/>
      <c r="M304" s="1259"/>
      <c r="N304" s="1513"/>
      <c r="O304" s="1513"/>
      <c r="P304" s="1513"/>
      <c r="Q304" s="1513"/>
      <c r="R304" s="1513"/>
      <c r="S304" s="58"/>
      <c r="T304" s="58" t="s">
        <v>82</v>
      </c>
      <c r="V304" s="58"/>
      <c r="W304" s="58"/>
      <c r="X304" s="58"/>
      <c r="Y304" s="58"/>
      <c r="AA304" s="1123" t="s">
        <v>1726</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550" t="s">
        <v>1690</v>
      </c>
      <c r="I306" s="1513"/>
      <c r="J306" s="1513"/>
      <c r="K306" s="1513"/>
      <c r="L306" s="1513"/>
      <c r="M306" s="1513"/>
      <c r="N306" s="1513"/>
      <c r="O306" s="1513"/>
      <c r="P306" s="1513"/>
      <c r="Q306" s="1513"/>
      <c r="R306" s="1513"/>
      <c r="S306" s="58"/>
      <c r="T306" s="58" t="s">
        <v>388</v>
      </c>
      <c r="V306" s="58"/>
      <c r="W306" s="58"/>
      <c r="X306" s="58"/>
      <c r="Y306" s="58"/>
      <c r="AA306" s="1096" t="s">
        <v>1647</v>
      </c>
      <c r="AB306" s="1098"/>
      <c r="AC306" s="1098"/>
      <c r="AD306" s="1098"/>
      <c r="AE306" s="1098"/>
      <c r="AF306" s="1098"/>
      <c r="AG306" s="1098"/>
      <c r="AH306" s="1098"/>
      <c r="AI306" s="1098"/>
      <c r="AJ306" s="1098"/>
      <c r="AK306" s="1098"/>
      <c r="BA306" s="61"/>
    </row>
    <row r="307" spans="1:53" ht="12.75">
      <c r="B307" s="58" t="s">
        <v>517</v>
      </c>
      <c r="C307" s="58"/>
      <c r="D307" s="58"/>
      <c r="E307" s="58"/>
      <c r="F307" s="58"/>
      <c r="H307" s="1259" t="s">
        <v>1691</v>
      </c>
      <c r="I307" s="1259"/>
      <c r="J307" s="1259"/>
      <c r="K307" s="1259"/>
      <c r="L307" s="1259"/>
      <c r="M307" s="1259"/>
      <c r="N307" s="1259"/>
      <c r="O307" s="1259"/>
      <c r="P307" s="1259"/>
      <c r="Q307" s="1259"/>
      <c r="R307" s="1259"/>
      <c r="S307" s="58"/>
      <c r="T307" s="58" t="s">
        <v>517</v>
      </c>
      <c r="V307" s="58"/>
      <c r="W307" s="58"/>
      <c r="X307" s="58"/>
      <c r="Y307" s="58"/>
      <c r="AA307" s="1123" t="s">
        <v>1727</v>
      </c>
      <c r="AB307" s="1120"/>
      <c r="AC307" s="1120"/>
      <c r="AD307" s="1120"/>
      <c r="AE307" s="1120"/>
      <c r="AF307" s="1120"/>
      <c r="AG307" s="1120"/>
      <c r="AH307" s="1120"/>
      <c r="AI307" s="1120"/>
      <c r="AJ307" s="1120"/>
      <c r="AK307" s="1120"/>
      <c r="BA307" s="61"/>
    </row>
    <row r="308" spans="1:53" ht="12.75">
      <c r="B308" s="58" t="s">
        <v>518</v>
      </c>
      <c r="C308" s="58"/>
      <c r="D308" s="58"/>
      <c r="E308" s="58"/>
      <c r="F308" s="58"/>
      <c r="H308" s="1259" t="s">
        <v>1692</v>
      </c>
      <c r="I308" s="1259"/>
      <c r="J308" s="1259"/>
      <c r="K308" s="1259"/>
      <c r="L308" s="1259"/>
      <c r="M308" s="1259"/>
      <c r="N308" s="1259"/>
      <c r="O308" s="1259"/>
      <c r="P308" s="1259"/>
      <c r="Q308" s="1259"/>
      <c r="R308" s="1259"/>
      <c r="S308" s="58"/>
      <c r="T308" s="58" t="s">
        <v>81</v>
      </c>
      <c r="V308" s="58"/>
      <c r="W308" s="58"/>
      <c r="X308" s="58"/>
      <c r="Y308" s="58"/>
      <c r="AA308" s="1123" t="s">
        <v>1728</v>
      </c>
      <c r="AB308" s="1120"/>
      <c r="AC308" s="1120"/>
      <c r="AD308" s="1120"/>
      <c r="AE308" s="1120"/>
      <c r="AF308" s="1120"/>
      <c r="AG308" s="1120"/>
      <c r="AH308" s="1120"/>
      <c r="AI308" s="1120"/>
      <c r="AJ308" s="1120"/>
      <c r="AK308" s="1120"/>
      <c r="BA308" s="61"/>
    </row>
    <row r="309" spans="1:53" ht="12.75">
      <c r="B309" s="58" t="s">
        <v>94</v>
      </c>
      <c r="C309" s="58"/>
      <c r="D309" s="58"/>
      <c r="E309" s="58"/>
      <c r="F309" s="58"/>
      <c r="H309" s="1259" t="s">
        <v>1693</v>
      </c>
      <c r="I309" s="1259"/>
      <c r="J309" s="1259"/>
      <c r="K309" s="1259"/>
      <c r="L309" s="1259"/>
      <c r="M309" s="1259"/>
      <c r="N309" s="1259"/>
      <c r="O309" s="1259"/>
      <c r="P309" s="1259"/>
      <c r="Q309" s="1259"/>
      <c r="R309" s="1259"/>
      <c r="S309" s="58"/>
      <c r="T309" s="58" t="s">
        <v>94</v>
      </c>
      <c r="V309" s="58"/>
      <c r="W309" s="58"/>
      <c r="X309" s="58"/>
      <c r="Y309" s="58"/>
      <c r="AA309" s="1123" t="s">
        <v>1654</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512" t="s">
        <v>1694</v>
      </c>
      <c r="I310" s="1512"/>
      <c r="J310" s="1512"/>
      <c r="K310" s="1512"/>
      <c r="L310" s="1512"/>
      <c r="M310" s="1512"/>
      <c r="N310" s="7" t="s">
        <v>219</v>
      </c>
      <c r="O310" s="7"/>
      <c r="P310" s="1220"/>
      <c r="Q310" s="1220"/>
      <c r="R310" s="1220"/>
      <c r="S310" s="58"/>
      <c r="T310" s="58" t="s">
        <v>95</v>
      </c>
      <c r="V310" s="58"/>
      <c r="W310" s="58"/>
      <c r="X310" s="58"/>
      <c r="Y310" s="58"/>
      <c r="AA310" s="1121" t="s">
        <v>1729</v>
      </c>
      <c r="AB310" s="1122"/>
      <c r="AC310" s="1122"/>
      <c r="AD310" s="1122"/>
      <c r="AE310" s="1122"/>
      <c r="AF310" s="1122"/>
      <c r="AG310" s="7" t="s">
        <v>219</v>
      </c>
      <c r="AH310" s="7"/>
      <c r="AI310" s="1220"/>
      <c r="AJ310" s="1220"/>
      <c r="AK310" s="1220"/>
      <c r="BA310" s="61"/>
    </row>
    <row r="311" spans="1:53" ht="12.75">
      <c r="B311" s="58" t="s">
        <v>96</v>
      </c>
      <c r="C311" s="58"/>
      <c r="D311" s="58"/>
      <c r="E311" s="58"/>
      <c r="F311" s="58"/>
      <c r="G311" s="58"/>
      <c r="H311" s="1102"/>
      <c r="I311" s="1102"/>
      <c r="J311" s="1102"/>
      <c r="K311" s="1102"/>
      <c r="L311" s="1102"/>
      <c r="M311" s="1102"/>
      <c r="N311" s="60"/>
      <c r="O311" s="60"/>
      <c r="P311" s="62"/>
      <c r="Q311" s="62"/>
      <c r="R311" s="62"/>
      <c r="S311" s="58"/>
      <c r="T311" s="58" t="s">
        <v>96</v>
      </c>
      <c r="V311" s="58"/>
      <c r="W311" s="58"/>
      <c r="X311" s="58"/>
      <c r="Y311" s="58"/>
      <c r="AA311" s="1101" t="s">
        <v>1730</v>
      </c>
      <c r="AB311" s="1102"/>
      <c r="AC311" s="1102"/>
      <c r="AD311" s="1102"/>
      <c r="AE311" s="1102"/>
      <c r="AF311" s="1102"/>
      <c r="AG311" s="60"/>
      <c r="AH311" s="60"/>
      <c r="AI311" s="62"/>
      <c r="AJ311" s="62"/>
      <c r="AK311" s="62"/>
      <c r="BA311" s="61"/>
    </row>
    <row r="312" spans="1:53" ht="12.75">
      <c r="B312" s="58" t="s">
        <v>82</v>
      </c>
      <c r="C312" s="58"/>
      <c r="D312" s="58"/>
      <c r="E312" s="58"/>
      <c r="F312" s="58"/>
      <c r="G312" s="58"/>
      <c r="H312" s="1259" t="s">
        <v>1695</v>
      </c>
      <c r="I312" s="1259"/>
      <c r="J312" s="1259"/>
      <c r="K312" s="1259"/>
      <c r="L312" s="1259"/>
      <c r="M312" s="1259"/>
      <c r="N312" s="1513"/>
      <c r="O312" s="1513"/>
      <c r="P312" s="1513"/>
      <c r="Q312" s="1513"/>
      <c r="R312" s="1513"/>
      <c r="S312" s="58"/>
      <c r="T312" s="58" t="s">
        <v>82</v>
      </c>
      <c r="V312" s="58"/>
      <c r="W312" s="58"/>
      <c r="X312" s="58"/>
      <c r="Y312" s="58"/>
      <c r="AA312" s="1123" t="s">
        <v>1731</v>
      </c>
      <c r="AB312" s="1120"/>
      <c r="AC312" s="1120"/>
      <c r="AD312" s="1120"/>
      <c r="AE312" s="1120"/>
      <c r="AF312" s="1120"/>
      <c r="AG312" s="1098"/>
      <c r="AH312" s="1098"/>
      <c r="AI312" s="1098"/>
      <c r="AJ312" s="1098"/>
      <c r="AK312" s="1098"/>
      <c r="BA312" s="61"/>
    </row>
    <row r="313" spans="1:53" ht="12.75">
      <c r="BA313" s="61"/>
    </row>
    <row r="314" spans="1:53" ht="12.75">
      <c r="B314" s="7" t="s">
        <v>1006</v>
      </c>
      <c r="C314" s="58"/>
      <c r="D314" s="58"/>
      <c r="E314" s="58"/>
      <c r="F314" s="58"/>
      <c r="H314" s="1513" t="s">
        <v>1696</v>
      </c>
      <c r="I314" s="1513"/>
      <c r="J314" s="1513"/>
      <c r="K314" s="1513"/>
      <c r="L314" s="1513"/>
      <c r="M314" s="1513"/>
      <c r="N314" s="1513"/>
      <c r="O314" s="1513"/>
      <c r="P314" s="1513"/>
      <c r="Q314" s="1513"/>
      <c r="R314" s="1513"/>
      <c r="T314" s="58" t="s">
        <v>389</v>
      </c>
      <c r="V314" s="58"/>
      <c r="W314" s="58"/>
      <c r="X314" s="58"/>
      <c r="Y314" s="58"/>
      <c r="AA314" s="1096" t="s">
        <v>1732</v>
      </c>
      <c r="AB314" s="1098"/>
      <c r="AC314" s="1098"/>
      <c r="AD314" s="1098"/>
      <c r="AE314" s="1098"/>
      <c r="AF314" s="1098"/>
      <c r="AG314" s="1098"/>
      <c r="AH314" s="1098"/>
      <c r="AI314" s="1098"/>
      <c r="AJ314" s="1098"/>
      <c r="AK314" s="1098"/>
      <c r="BA314" s="61"/>
    </row>
    <row r="315" spans="1:53" ht="12.75" customHeight="1">
      <c r="B315" s="58" t="s">
        <v>517</v>
      </c>
      <c r="C315" s="58"/>
      <c r="D315" s="58"/>
      <c r="E315" s="58"/>
      <c r="F315" s="58"/>
      <c r="H315" s="1259" t="s">
        <v>1697</v>
      </c>
      <c r="I315" s="1259"/>
      <c r="J315" s="1259"/>
      <c r="K315" s="1259"/>
      <c r="L315" s="1259"/>
      <c r="M315" s="1259"/>
      <c r="N315" s="1259"/>
      <c r="O315" s="1259"/>
      <c r="P315" s="1259"/>
      <c r="Q315" s="1259"/>
      <c r="R315" s="1259"/>
      <c r="T315" s="58" t="s">
        <v>517</v>
      </c>
      <c r="V315" s="58"/>
      <c r="W315" s="58"/>
      <c r="X315" s="58"/>
      <c r="Y315" s="58"/>
      <c r="AA315" s="1123" t="s">
        <v>1733</v>
      </c>
      <c r="AB315" s="1120"/>
      <c r="AC315" s="1120"/>
      <c r="AD315" s="1120"/>
      <c r="AE315" s="1120"/>
      <c r="AF315" s="1120"/>
      <c r="AG315" s="1120"/>
      <c r="AH315" s="1120"/>
      <c r="AI315" s="1120"/>
      <c r="AJ315" s="1120"/>
      <c r="AK315" s="1120"/>
      <c r="BA315" s="61"/>
    </row>
    <row r="316" spans="1:53" ht="12.75">
      <c r="B316" s="58" t="s">
        <v>518</v>
      </c>
      <c r="C316" s="58"/>
      <c r="D316" s="58"/>
      <c r="E316" s="58"/>
      <c r="F316" s="58"/>
      <c r="H316" s="1259" t="s">
        <v>1698</v>
      </c>
      <c r="I316" s="1259"/>
      <c r="J316" s="1259"/>
      <c r="K316" s="1259"/>
      <c r="L316" s="1259"/>
      <c r="M316" s="1259"/>
      <c r="N316" s="1259"/>
      <c r="O316" s="1259"/>
      <c r="P316" s="1259"/>
      <c r="Q316" s="1259"/>
      <c r="R316" s="1259"/>
      <c r="T316" s="58" t="s">
        <v>81</v>
      </c>
      <c r="V316" s="58"/>
      <c r="W316" s="58"/>
      <c r="X316" s="58"/>
      <c r="Y316" s="58"/>
      <c r="AA316" s="1123" t="s">
        <v>1734</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3" t="s">
        <v>1699</v>
      </c>
      <c r="I317" s="1120"/>
      <c r="J317" s="1120"/>
      <c r="K317" s="1120"/>
      <c r="L317" s="1120"/>
      <c r="M317" s="1120"/>
      <c r="N317" s="1120"/>
      <c r="O317" s="1120"/>
      <c r="P317" s="1120"/>
      <c r="Q317" s="1120"/>
      <c r="R317" s="1120"/>
      <c r="T317" s="58" t="s">
        <v>94</v>
      </c>
      <c r="V317" s="58"/>
      <c r="W317" s="58"/>
      <c r="X317" s="58"/>
      <c r="Y317" s="58"/>
      <c r="AA317" s="1123" t="s">
        <v>1735</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1" t="s">
        <v>1700</v>
      </c>
      <c r="I318" s="1122"/>
      <c r="J318" s="1122"/>
      <c r="K318" s="1122"/>
      <c r="L318" s="1122"/>
      <c r="M318" s="1122"/>
      <c r="N318" s="7" t="s">
        <v>219</v>
      </c>
      <c r="O318" s="7"/>
      <c r="P318" s="1220">
        <v>318</v>
      </c>
      <c r="Q318" s="1220"/>
      <c r="R318" s="1220"/>
      <c r="S318" s="58"/>
      <c r="T318" s="58" t="s">
        <v>95</v>
      </c>
      <c r="V318" s="58"/>
      <c r="W318" s="58"/>
      <c r="X318" s="58"/>
      <c r="Y318" s="58"/>
      <c r="AA318" s="1121" t="s">
        <v>1736</v>
      </c>
      <c r="AB318" s="1122"/>
      <c r="AC318" s="1122"/>
      <c r="AD318" s="1122"/>
      <c r="AE318" s="1122"/>
      <c r="AF318" s="1122"/>
      <c r="AG318" s="7" t="s">
        <v>219</v>
      </c>
      <c r="AH318" s="7"/>
      <c r="AI318" s="1220"/>
      <c r="AJ318" s="1220"/>
      <c r="AK318" s="1220"/>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3" t="s">
        <v>1701</v>
      </c>
      <c r="I320" s="1120"/>
      <c r="J320" s="1120"/>
      <c r="K320" s="1120"/>
      <c r="L320" s="1120"/>
      <c r="M320" s="1120"/>
      <c r="N320" s="1098"/>
      <c r="O320" s="1098"/>
      <c r="P320" s="1098"/>
      <c r="Q320" s="1098"/>
      <c r="R320" s="1098"/>
      <c r="S320" s="58"/>
      <c r="T320" s="58" t="s">
        <v>82</v>
      </c>
      <c r="V320" s="58"/>
      <c r="W320" s="58"/>
      <c r="X320" s="58"/>
      <c r="Y320" s="58"/>
      <c r="AA320" s="1123" t="s">
        <v>1737</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8"/>
      <c r="I322" s="1098"/>
      <c r="J322" s="1098"/>
      <c r="K322" s="1098"/>
      <c r="L322" s="1098"/>
      <c r="M322" s="1098"/>
      <c r="N322" s="1098"/>
      <c r="O322" s="1098"/>
      <c r="P322" s="1098"/>
      <c r="Q322" s="1098"/>
      <c r="R322" s="1098"/>
      <c r="T322" s="58" t="s">
        <v>391</v>
      </c>
      <c r="V322" s="58"/>
      <c r="W322" s="58"/>
      <c r="X322" s="58"/>
      <c r="Y322" s="58"/>
      <c r="AA322" s="1098"/>
      <c r="AB322" s="1098"/>
      <c r="AC322" s="1098"/>
      <c r="AD322" s="1098"/>
      <c r="AE322" s="1098"/>
      <c r="AF322" s="1098"/>
      <c r="AG322" s="1098"/>
      <c r="AH322" s="1098"/>
      <c r="AI322" s="1098"/>
      <c r="AJ322" s="1098"/>
      <c r="AK322" s="1098"/>
      <c r="AL322" s="39"/>
    </row>
    <row r="323" spans="1:53" ht="12.75">
      <c r="A323" s="39"/>
      <c r="B323" s="58" t="s">
        <v>517</v>
      </c>
      <c r="C323" s="58"/>
      <c r="D323" s="58"/>
      <c r="E323" s="58"/>
      <c r="F323" s="58"/>
      <c r="H323" s="1120"/>
      <c r="I323" s="1120"/>
      <c r="J323" s="1120"/>
      <c r="K323" s="1120"/>
      <c r="L323" s="1120"/>
      <c r="M323" s="1120"/>
      <c r="N323" s="1120"/>
      <c r="O323" s="1120"/>
      <c r="P323" s="1120"/>
      <c r="Q323" s="1120"/>
      <c r="R323" s="1120"/>
      <c r="T323" s="58" t="s">
        <v>517</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518</v>
      </c>
      <c r="C324" s="58"/>
      <c r="D324" s="58"/>
      <c r="E324" s="58"/>
      <c r="F324" s="58"/>
      <c r="H324" s="1120"/>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2"/>
      <c r="I326" s="1122"/>
      <c r="J326" s="1122"/>
      <c r="K326" s="1122"/>
      <c r="L326" s="1122"/>
      <c r="M326" s="1122"/>
      <c r="N326" s="7" t="s">
        <v>219</v>
      </c>
      <c r="O326" s="7"/>
      <c r="P326" s="1220"/>
      <c r="Q326" s="1220"/>
      <c r="R326" s="1220"/>
      <c r="S326" s="58"/>
      <c r="T326" s="58" t="s">
        <v>95</v>
      </c>
      <c r="V326" s="58"/>
      <c r="W326" s="58"/>
      <c r="X326" s="58"/>
      <c r="Y326" s="58"/>
      <c r="AA326" s="1122"/>
      <c r="AB326" s="1122"/>
      <c r="AC326" s="1122"/>
      <c r="AD326" s="1122"/>
      <c r="AE326" s="1122"/>
      <c r="AF326" s="1122"/>
      <c r="AG326" s="7" t="s">
        <v>219</v>
      </c>
      <c r="AH326" s="7"/>
      <c r="AI326" s="1220"/>
      <c r="AJ326" s="1220"/>
      <c r="AK326" s="1220"/>
      <c r="AL326" s="39"/>
    </row>
    <row r="327" spans="1:53" ht="12.75" customHeight="1">
      <c r="A327" s="39"/>
      <c r="B327" s="58" t="s">
        <v>96</v>
      </c>
      <c r="C327" s="58"/>
      <c r="D327" s="58"/>
      <c r="E327" s="58"/>
      <c r="F327" s="58"/>
      <c r="G327" s="58"/>
      <c r="H327" s="1102"/>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0"/>
      <c r="I328" s="1120"/>
      <c r="J328" s="1120"/>
      <c r="K328" s="1120"/>
      <c r="L328" s="1120"/>
      <c r="M328" s="1120"/>
      <c r="N328" s="1098"/>
      <c r="O328" s="1098"/>
      <c r="P328" s="1098"/>
      <c r="Q328" s="1098"/>
      <c r="R328" s="1098"/>
      <c r="S328" s="58"/>
      <c r="T328" s="58" t="s">
        <v>82</v>
      </c>
      <c r="V328" s="58"/>
      <c r="W328" s="58"/>
      <c r="X328" s="58"/>
      <c r="Y328" s="58"/>
      <c r="AA328" s="1120"/>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6" t="s">
        <v>1702</v>
      </c>
      <c r="I330" s="1098"/>
      <c r="J330" s="1098"/>
      <c r="K330" s="1098"/>
      <c r="L330" s="1098"/>
      <c r="M330" s="1098"/>
      <c r="N330" s="1098"/>
      <c r="O330" s="1098"/>
      <c r="P330" s="1098"/>
      <c r="Q330" s="1098"/>
      <c r="R330" s="1098"/>
      <c r="T330" s="422" t="s">
        <v>981</v>
      </c>
      <c r="V330" s="58"/>
      <c r="W330" s="58"/>
      <c r="X330" s="58"/>
      <c r="Y330" s="58"/>
      <c r="AA330" s="1096" t="s">
        <v>1738</v>
      </c>
      <c r="AB330" s="1098"/>
      <c r="AC330" s="1098"/>
      <c r="AD330" s="1098"/>
      <c r="AE330" s="1098"/>
      <c r="AF330" s="1098"/>
      <c r="AG330" s="1098"/>
      <c r="AH330" s="1098"/>
      <c r="AI330" s="1098"/>
      <c r="AJ330" s="1098"/>
      <c r="AK330" s="1098"/>
      <c r="AL330" s="39"/>
    </row>
    <row r="331" spans="1:53" ht="12.75" customHeight="1">
      <c r="B331" s="58" t="s">
        <v>517</v>
      </c>
      <c r="C331" s="248"/>
      <c r="D331" s="248"/>
      <c r="E331" s="248"/>
      <c r="F331" s="248"/>
      <c r="G331" s="3"/>
      <c r="H331" s="1123" t="s">
        <v>1703</v>
      </c>
      <c r="I331" s="1120"/>
      <c r="J331" s="1120"/>
      <c r="K331" s="1120"/>
      <c r="L331" s="1120"/>
      <c r="M331" s="1120"/>
      <c r="N331" s="1120"/>
      <c r="O331" s="1120"/>
      <c r="P331" s="1120"/>
      <c r="Q331" s="1120"/>
      <c r="R331" s="1120"/>
      <c r="T331" s="58" t="s">
        <v>517</v>
      </c>
      <c r="V331" s="58"/>
      <c r="W331" s="58"/>
      <c r="X331" s="58"/>
      <c r="Y331" s="58"/>
      <c r="AA331" s="1123" t="s">
        <v>1675</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3" t="s">
        <v>1704</v>
      </c>
      <c r="I332" s="1120"/>
      <c r="J332" s="1120"/>
      <c r="K332" s="1120"/>
      <c r="L332" s="1120"/>
      <c r="M332" s="1120"/>
      <c r="N332" s="1120"/>
      <c r="O332" s="1120"/>
      <c r="P332" s="1120"/>
      <c r="Q332" s="1120"/>
      <c r="R332" s="1120"/>
      <c r="T332" s="58" t="s">
        <v>81</v>
      </c>
      <c r="V332" s="58"/>
      <c r="W332" s="58"/>
      <c r="X332" s="58"/>
      <c r="Y332" s="58"/>
      <c r="AA332" s="1123" t="s">
        <v>1681</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3" t="s">
        <v>1705</v>
      </c>
      <c r="I333" s="1120"/>
      <c r="J333" s="1120"/>
      <c r="K333" s="1120"/>
      <c r="L333" s="1120"/>
      <c r="M333" s="1120"/>
      <c r="N333" s="1120"/>
      <c r="O333" s="1120"/>
      <c r="P333" s="1120"/>
      <c r="Q333" s="1120"/>
      <c r="R333" s="1120"/>
      <c r="T333" s="58" t="s">
        <v>94</v>
      </c>
      <c r="V333" s="58"/>
      <c r="W333" s="58"/>
      <c r="X333" s="58"/>
      <c r="Y333" s="58"/>
      <c r="AA333" s="1123" t="s">
        <v>1739</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1706</v>
      </c>
      <c r="I334" s="1122"/>
      <c r="J334" s="1122"/>
      <c r="K334" s="1122"/>
      <c r="L334" s="1122"/>
      <c r="M334" s="1122"/>
      <c r="N334" s="7" t="s">
        <v>219</v>
      </c>
      <c r="O334" s="7"/>
      <c r="P334" s="1220"/>
      <c r="Q334" s="1220"/>
      <c r="R334" s="1220"/>
      <c r="S334" s="58"/>
      <c r="T334" s="58" t="s">
        <v>95</v>
      </c>
      <c r="V334" s="58"/>
      <c r="W334" s="58"/>
      <c r="X334" s="58"/>
      <c r="Y334" s="58"/>
      <c r="AA334" s="1121" t="s">
        <v>1740</v>
      </c>
      <c r="AB334" s="1122"/>
      <c r="AC334" s="1122"/>
      <c r="AD334" s="1122"/>
      <c r="AE334" s="1122"/>
      <c r="AF334" s="1122"/>
      <c r="AG334" s="7" t="s">
        <v>219</v>
      </c>
      <c r="AH334" s="7"/>
      <c r="AI334" s="1220"/>
      <c r="AJ334" s="1220"/>
      <c r="AK334" s="1220"/>
      <c r="AL334" s="39"/>
    </row>
    <row r="335" spans="1:53" ht="12.75" customHeight="1">
      <c r="A335" s="39"/>
      <c r="B335" s="58" t="s">
        <v>96</v>
      </c>
      <c r="C335" s="248"/>
      <c r="D335" s="248"/>
      <c r="E335" s="248"/>
      <c r="F335" s="248"/>
      <c r="G335" s="248"/>
      <c r="H335" s="1102"/>
      <c r="I335" s="1102"/>
      <c r="J335" s="1102"/>
      <c r="K335" s="1102"/>
      <c r="L335" s="1102"/>
      <c r="M335" s="1102"/>
      <c r="N335" s="60"/>
      <c r="O335" s="60"/>
      <c r="P335" s="62"/>
      <c r="Q335" s="62"/>
      <c r="R335" s="62"/>
      <c r="S335" s="58"/>
      <c r="T335" s="58" t="s">
        <v>96</v>
      </c>
      <c r="V335" s="58"/>
      <c r="W335" s="58"/>
      <c r="X335" s="58"/>
      <c r="Y335" s="58"/>
      <c r="AA335" s="1101" t="s">
        <v>1741</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3" t="s">
        <v>1707</v>
      </c>
      <c r="I336" s="1120"/>
      <c r="J336" s="1120"/>
      <c r="K336" s="1120"/>
      <c r="L336" s="1120"/>
      <c r="M336" s="1120"/>
      <c r="N336" s="1098"/>
      <c r="O336" s="1098"/>
      <c r="P336" s="1098"/>
      <c r="Q336" s="1098"/>
      <c r="R336" s="1098"/>
      <c r="S336" s="58"/>
      <c r="T336" s="58" t="s">
        <v>82</v>
      </c>
      <c r="V336" s="58"/>
      <c r="W336" s="58"/>
      <c r="X336" s="58"/>
      <c r="Y336" s="58"/>
      <c r="AA336" s="1123" t="s">
        <v>1742</v>
      </c>
      <c r="AB336" s="1120"/>
      <c r="AC336" s="1120"/>
      <c r="AD336" s="1120"/>
      <c r="AE336" s="1120"/>
      <c r="AF336" s="1120"/>
      <c r="AG336" s="1098"/>
      <c r="AH336" s="1098"/>
      <c r="AI336" s="1098"/>
      <c r="AJ336" s="1098"/>
      <c r="AK336" s="109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591</v>
      </c>
    </row>
    <row r="339" spans="1:53" ht="12.75">
      <c r="A339" s="3"/>
      <c r="B339" s="60"/>
      <c r="C339" s="60"/>
      <c r="D339" s="60"/>
      <c r="E339" s="60"/>
      <c r="F339" s="60"/>
      <c r="G339" s="3"/>
      <c r="H339" s="88"/>
      <c r="I339" s="7" t="s">
        <v>517</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219</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588</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9" t="s">
        <v>591</v>
      </c>
      <c r="N350" s="1099"/>
      <c r="P350" s="12" t="s">
        <v>598</v>
      </c>
      <c r="AJ350" s="1099" t="s">
        <v>591</v>
      </c>
      <c r="AK350" s="1099"/>
    </row>
    <row r="351" spans="1:53" ht="12.75" customHeight="1">
      <c r="D351" s="7" t="s">
        <v>955</v>
      </c>
      <c r="R351" s="12" t="s">
        <v>599</v>
      </c>
      <c r="AJ351" s="1099" t="s">
        <v>722</v>
      </c>
      <c r="AK351" s="1099"/>
    </row>
    <row r="352" spans="1:53" ht="12.75" customHeight="1">
      <c r="D352" s="12" t="s">
        <v>765</v>
      </c>
      <c r="M352" s="1099" t="s">
        <v>641</v>
      </c>
      <c r="N352" s="1099"/>
      <c r="P352" s="7" t="s">
        <v>952</v>
      </c>
      <c r="AJ352" s="1099" t="s">
        <v>722</v>
      </c>
      <c r="AK352" s="1099"/>
    </row>
    <row r="353" spans="1:34" ht="12.75" customHeight="1">
      <c r="D353" s="12" t="s">
        <v>766</v>
      </c>
      <c r="M353" s="1099" t="s">
        <v>641</v>
      </c>
      <c r="N353" s="1099"/>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9" t="s">
        <v>641</v>
      </c>
      <c r="O358" s="1099"/>
      <c r="P358" s="69"/>
      <c r="Q358" s="69"/>
      <c r="R358" s="69"/>
      <c r="S358" s="69"/>
      <c r="T358" s="69"/>
      <c r="U358" s="69"/>
      <c r="V358" s="69"/>
      <c r="W358" s="69"/>
      <c r="X358" s="69"/>
      <c r="Y358" s="70"/>
      <c r="Z358" s="70"/>
      <c r="AC358" s="69"/>
      <c r="AD358" s="69"/>
      <c r="AE358" s="69"/>
    </row>
    <row r="359" spans="1:34" ht="12.75" customHeight="1">
      <c r="E359" s="12" t="s">
        <v>394</v>
      </c>
      <c r="Y359" s="1099" t="s">
        <v>641</v>
      </c>
      <c r="Z359" s="1099"/>
    </row>
    <row r="360" spans="1:34" ht="12.75" customHeight="1">
      <c r="D360" s="7" t="s">
        <v>1091</v>
      </c>
      <c r="Q360" s="1098" t="s">
        <v>641</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9" t="s">
        <v>722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492</v>
      </c>
      <c r="F365" s="7"/>
      <c r="G365" s="7"/>
      <c r="H365" s="7"/>
      <c r="I365" s="7"/>
      <c r="J365" s="7"/>
      <c r="K365" s="7"/>
      <c r="L365" s="7"/>
      <c r="N365" s="1418">
        <v>20</v>
      </c>
      <c r="O365" s="1418"/>
      <c r="P365" s="1418"/>
      <c r="Q365" s="1418"/>
      <c r="R365" s="7"/>
      <c r="U365" s="7" t="s">
        <v>493</v>
      </c>
      <c r="V365" s="7"/>
      <c r="W365" s="7"/>
      <c r="X365" s="7"/>
      <c r="Y365" s="7"/>
      <c r="Z365" s="7"/>
      <c r="AA365" s="7"/>
      <c r="AB365" s="7"/>
      <c r="AC365" s="1418">
        <v>1</v>
      </c>
      <c r="AD365" s="1418"/>
      <c r="AE365" s="1418"/>
      <c r="AF365" s="1418"/>
    </row>
    <row r="366" spans="1:34" ht="12.75" customHeight="1">
      <c r="E366" s="7" t="s">
        <v>494</v>
      </c>
      <c r="F366" s="7"/>
      <c r="G366" s="7"/>
      <c r="H366" s="7"/>
      <c r="I366" s="7"/>
      <c r="J366" s="7"/>
      <c r="K366" s="7"/>
      <c r="L366" s="7"/>
      <c r="N366" s="1521" t="s">
        <v>1787</v>
      </c>
      <c r="O366" s="1418"/>
      <c r="P366" s="1418"/>
      <c r="Q366" s="1418"/>
      <c r="R366" s="7"/>
      <c r="U366" s="7" t="s">
        <v>0</v>
      </c>
      <c r="V366" s="7"/>
      <c r="W366" s="7"/>
      <c r="X366" s="7"/>
      <c r="Y366" s="7"/>
      <c r="Z366" s="7"/>
      <c r="AA366" s="7"/>
      <c r="AB366" s="7"/>
      <c r="AC366" s="1521" t="s">
        <v>1787</v>
      </c>
      <c r="AD366" s="1418"/>
      <c r="AE366" s="1418"/>
      <c r="AF366" s="1418"/>
    </row>
    <row r="367" spans="1:34" ht="12.75" customHeight="1">
      <c r="E367" s="7" t="s">
        <v>1</v>
      </c>
      <c r="F367" s="7"/>
      <c r="G367" s="7"/>
      <c r="H367" s="7"/>
      <c r="I367" s="7"/>
      <c r="J367" s="7"/>
      <c r="K367" s="7"/>
      <c r="L367" s="7"/>
      <c r="N367" s="1418">
        <v>1</v>
      </c>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319" t="s">
        <v>1743</v>
      </c>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24"/>
      <c r="T372" s="1124"/>
      <c r="U372" s="4" t="s">
        <v>327</v>
      </c>
      <c r="V372" s="1124"/>
      <c r="W372" s="1124"/>
      <c r="Y372" s="25" t="s">
        <v>325</v>
      </c>
      <c r="AA372" s="25"/>
      <c r="AB372" s="25" t="s">
        <v>326</v>
      </c>
      <c r="AD372" s="1124"/>
      <c r="AE372" s="1124"/>
      <c r="AF372" s="4" t="s">
        <v>327</v>
      </c>
      <c r="AG372" s="1124"/>
      <c r="AH372" s="1124"/>
    </row>
    <row r="373" spans="1:38" ht="12.75" customHeight="1">
      <c r="E373" s="7" t="s">
        <v>1126</v>
      </c>
      <c r="F373" s="7"/>
      <c r="G373" s="7"/>
      <c r="H373" s="7"/>
      <c r="I373" s="7"/>
      <c r="J373" s="7"/>
      <c r="K373" s="7"/>
      <c r="L373" s="7"/>
      <c r="N373" s="1124"/>
      <c r="O373" s="1124"/>
      <c r="P373" s="1124"/>
    </row>
    <row r="374" spans="1:38" ht="12.75" customHeight="1">
      <c r="E374" s="399" t="s">
        <v>1128</v>
      </c>
      <c r="F374" s="7"/>
      <c r="G374" s="7"/>
      <c r="H374" s="7"/>
      <c r="I374" s="7"/>
      <c r="J374" s="7"/>
      <c r="K374" s="7"/>
      <c r="L374" s="7"/>
      <c r="AG374" s="1118" t="s">
        <v>641</v>
      </c>
      <c r="AH374" s="1118"/>
    </row>
    <row r="375" spans="1:38" ht="12.75" customHeight="1">
      <c r="E375" s="7"/>
      <c r="F375" s="7"/>
      <c r="G375" s="7" t="s">
        <v>1149</v>
      </c>
      <c r="H375" s="7"/>
      <c r="I375" s="7"/>
      <c r="J375" s="7"/>
      <c r="K375" s="7"/>
      <c r="L375" s="7"/>
      <c r="AG375" s="1118" t="s">
        <v>641</v>
      </c>
      <c r="AH375" s="1118"/>
    </row>
    <row r="376" spans="1:38" ht="12.75" customHeight="1">
      <c r="E376" s="7"/>
      <c r="F376" s="7"/>
      <c r="G376" s="530" t="s">
        <v>1129</v>
      </c>
      <c r="H376" s="7"/>
      <c r="I376" s="7"/>
      <c r="J376" s="7"/>
      <c r="K376" s="7"/>
      <c r="L376" s="7"/>
      <c r="V376" s="1099" t="s">
        <v>641</v>
      </c>
      <c r="W376" s="1099"/>
      <c r="Y376" s="35" t="s">
        <v>1093</v>
      </c>
    </row>
    <row r="377" spans="1:38" ht="12.75" customHeight="1">
      <c r="E377" s="7" t="s">
        <v>1094</v>
      </c>
      <c r="F377" s="7"/>
      <c r="G377" s="7"/>
      <c r="H377" s="7"/>
      <c r="I377" s="7"/>
      <c r="J377" s="7"/>
      <c r="K377" s="7"/>
      <c r="L377" s="7"/>
      <c r="V377" s="1099" t="s">
        <v>641</v>
      </c>
      <c r="W377" s="1099"/>
      <c r="Y377" s="7" t="s">
        <v>1095</v>
      </c>
    </row>
    <row r="378" spans="1:38" ht="12.75" customHeight="1"/>
    <row r="379" spans="1:38" ht="12.75" customHeight="1">
      <c r="A379" s="50" t="s">
        <v>84</v>
      </c>
      <c r="B379" s="50"/>
    </row>
    <row r="380" spans="1:38" ht="12.75" customHeight="1">
      <c r="D380" s="12" t="s">
        <v>462</v>
      </c>
      <c r="J380" s="1096" t="s">
        <v>1744</v>
      </c>
      <c r="K380" s="1098"/>
      <c r="L380" s="1098"/>
      <c r="M380" s="1098"/>
      <c r="N380" s="1098"/>
      <c r="O380" s="1098"/>
      <c r="P380" s="1098"/>
      <c r="Q380" s="1098"/>
      <c r="R380" s="1098"/>
      <c r="S380" s="1098"/>
      <c r="T380" s="1098"/>
      <c r="U380" s="1098"/>
      <c r="V380" s="14" t="s">
        <v>90</v>
      </c>
      <c r="W380" s="14"/>
      <c r="X380" s="14"/>
      <c r="Y380" s="14"/>
      <c r="Z380" s="14"/>
      <c r="AA380" s="14"/>
      <c r="AB380" s="14"/>
      <c r="AC380" s="1098"/>
      <c r="AD380" s="1098"/>
      <c r="AE380" s="1098"/>
      <c r="AF380" s="1098"/>
      <c r="AG380" s="1098"/>
      <c r="AH380" s="1098"/>
      <c r="AI380" s="1098"/>
      <c r="AJ380" s="1098"/>
    </row>
    <row r="381" spans="1:38" ht="12.75" customHeight="1">
      <c r="A381" s="743"/>
      <c r="B381" s="743"/>
      <c r="C381" s="743"/>
      <c r="D381" s="58" t="s">
        <v>1421</v>
      </c>
      <c r="E381" s="743"/>
      <c r="F381" s="743"/>
      <c r="G381" s="743"/>
      <c r="H381" s="743"/>
      <c r="I381" s="743"/>
      <c r="J381" s="1120"/>
      <c r="K381" s="1120"/>
      <c r="L381" s="1120"/>
      <c r="M381" s="1120"/>
      <c r="N381" s="1120"/>
      <c r="O381" s="1120"/>
      <c r="P381" s="1120"/>
      <c r="Q381" s="1120"/>
      <c r="R381" s="1120"/>
      <c r="S381" s="1120"/>
      <c r="T381" s="1120"/>
      <c r="U381" s="1120"/>
      <c r="V381" s="58" t="s">
        <v>1421</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477</v>
      </c>
      <c r="E382" s="743"/>
      <c r="F382" s="743"/>
      <c r="G382" s="743"/>
      <c r="H382" s="743"/>
      <c r="I382" s="743"/>
      <c r="J382" s="1120"/>
      <c r="K382" s="1120"/>
      <c r="L382" s="1120"/>
      <c r="M382" s="1120"/>
      <c r="N382" s="1120"/>
      <c r="O382" s="1120"/>
      <c r="P382" s="1120"/>
      <c r="Q382" s="1120"/>
      <c r="R382" s="1120"/>
      <c r="S382" s="1120"/>
      <c r="T382" s="1120"/>
      <c r="U382" s="1120"/>
      <c r="V382" s="58" t="s">
        <v>477</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1417</v>
      </c>
      <c r="E383" s="743"/>
      <c r="F383" s="743"/>
      <c r="G383" s="743"/>
      <c r="H383" s="743"/>
      <c r="I383" s="88"/>
      <c r="J383" s="1225"/>
      <c r="K383" s="1225"/>
      <c r="L383" s="1225"/>
      <c r="M383" s="1225"/>
      <c r="N383" s="1225"/>
      <c r="O383" s="1225"/>
      <c r="P383" s="1225"/>
      <c r="Q383" s="1225"/>
      <c r="R383" s="1225"/>
      <c r="S383" s="1225"/>
      <c r="T383" s="1225"/>
      <c r="U383" s="1225"/>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53"/>
      <c r="R384" s="1553"/>
      <c r="S384" s="1553"/>
      <c r="T384" s="1553"/>
      <c r="U384" s="1553"/>
      <c r="V384" s="12" t="s">
        <v>330</v>
      </c>
      <c r="AI384" s="1099" t="s">
        <v>722</v>
      </c>
      <c r="AJ384" s="1099"/>
    </row>
    <row r="385" spans="1:38" ht="12.75" customHeight="1">
      <c r="D385" s="12" t="s">
        <v>5</v>
      </c>
      <c r="Q385" s="1214"/>
      <c r="R385" s="1215"/>
      <c r="S385" s="1215"/>
      <c r="T385" s="1215"/>
      <c r="U385" s="1215"/>
      <c r="W385" s="33" t="s">
        <v>80</v>
      </c>
      <c r="AG385" s="1551"/>
      <c r="AH385" s="1551"/>
      <c r="AI385" s="1551"/>
      <c r="AJ385" s="1551"/>
    </row>
    <row r="386" spans="1:38" ht="12.75" customHeight="1">
      <c r="D386" s="12" t="s">
        <v>461</v>
      </c>
      <c r="Q386" s="1581"/>
      <c r="R386" s="1581"/>
      <c r="S386" s="1581"/>
      <c r="T386" s="1581"/>
      <c r="U386" s="1581"/>
      <c r="V386" s="58" t="s">
        <v>1420</v>
      </c>
      <c r="AG386" s="1552"/>
      <c r="AH386" s="1552"/>
      <c r="AI386" s="1552"/>
      <c r="AJ386" s="1552"/>
    </row>
    <row r="387" spans="1:38" ht="12.75" customHeight="1">
      <c r="D387" s="12" t="s">
        <v>95</v>
      </c>
      <c r="I387" s="1122"/>
      <c r="J387" s="1122"/>
      <c r="K387" s="1122"/>
      <c r="L387" s="1122"/>
      <c r="M387" s="1122"/>
      <c r="N387" s="1122"/>
      <c r="Q387" s="57" t="s">
        <v>219</v>
      </c>
      <c r="S387" s="1578"/>
      <c r="T387" s="1578"/>
      <c r="U387" s="1578"/>
      <c r="V387" s="12" t="s">
        <v>79</v>
      </c>
      <c r="AI387" s="1099" t="s">
        <v>722</v>
      </c>
      <c r="AJ387" s="1099"/>
    </row>
    <row r="388" spans="1:38" ht="12.75">
      <c r="D388" s="12" t="s">
        <v>331</v>
      </c>
      <c r="Q388" s="1189"/>
      <c r="R388" s="1189"/>
      <c r="S388" s="1189"/>
      <c r="T388" s="1189"/>
      <c r="U388" s="1189"/>
      <c r="V388" s="12" t="s">
        <v>332</v>
      </c>
      <c r="AG388" s="1551"/>
      <c r="AH388" s="1551"/>
      <c r="AI388" s="1551"/>
      <c r="AJ388" s="1551"/>
    </row>
    <row r="389" spans="1:38" ht="12.75">
      <c r="D389" s="12" t="s">
        <v>333</v>
      </c>
      <c r="Q389" s="1549"/>
      <c r="R389" s="1549"/>
      <c r="S389" s="1549"/>
      <c r="T389" s="1549"/>
      <c r="U389" s="1549"/>
      <c r="V389" s="743" t="s">
        <v>1397</v>
      </c>
      <c r="AG389" s="1551"/>
      <c r="AH389" s="1551"/>
      <c r="AI389" s="1551"/>
      <c r="AJ389" s="1551"/>
    </row>
    <row r="390" spans="1:38" ht="12.75">
      <c r="D390" s="743" t="s">
        <v>1396</v>
      </c>
      <c r="V390" s="743"/>
      <c r="AG390" s="1551"/>
      <c r="AH390" s="1551"/>
      <c r="AI390" s="1551"/>
      <c r="AJ390" s="155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6" t="s">
        <v>1491</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641</v>
      </c>
      <c r="S394" s="1099"/>
      <c r="T394" s="12" t="s">
        <v>619</v>
      </c>
      <c r="U394" s="743"/>
      <c r="V394" s="743"/>
      <c r="W394" s="743"/>
      <c r="X394" s="743"/>
      <c r="Y394" s="743"/>
      <c r="Z394" s="743"/>
      <c r="AA394" s="743"/>
      <c r="AB394" s="743"/>
      <c r="AC394" s="743"/>
      <c r="AD394" s="1418">
        <v>0</v>
      </c>
      <c r="AE394" s="1418"/>
      <c r="AF394" s="743"/>
    </row>
    <row r="395" spans="1:38" ht="12.75" customHeight="1">
      <c r="C395" s="25"/>
      <c r="E395" s="12" t="s">
        <v>114</v>
      </c>
      <c r="F395" s="743"/>
      <c r="G395" s="743"/>
      <c r="H395" s="743"/>
      <c r="I395" s="743"/>
      <c r="J395" s="743"/>
      <c r="K395" s="743"/>
      <c r="L395" s="743"/>
      <c r="M395" s="743"/>
      <c r="N395" s="25"/>
      <c r="O395" s="25"/>
      <c r="P395" s="743"/>
      <c r="Q395" s="743"/>
      <c r="R395" s="1099" t="s">
        <v>641</v>
      </c>
      <c r="S395" s="1099"/>
      <c r="T395" s="12" t="s">
        <v>619</v>
      </c>
      <c r="U395" s="743"/>
      <c r="V395" s="743"/>
      <c r="W395" s="743"/>
      <c r="X395" s="743"/>
      <c r="Y395" s="743"/>
      <c r="Z395" s="743"/>
      <c r="AA395" s="743"/>
      <c r="AB395" s="743"/>
      <c r="AC395" s="743"/>
      <c r="AD395" s="1418">
        <v>0</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641</v>
      </c>
      <c r="T396" s="1099"/>
      <c r="U396" s="743"/>
      <c r="V396" s="743"/>
      <c r="W396" s="743"/>
      <c r="X396" s="743"/>
      <c r="Y396" s="743"/>
      <c r="Z396" s="743"/>
      <c r="AA396" s="743"/>
      <c r="AB396" s="743"/>
      <c r="AC396" s="743"/>
      <c r="AD396" s="743"/>
      <c r="AE396" s="743"/>
      <c r="AF396" s="743"/>
    </row>
    <row r="397" spans="1:38" ht="12.75" customHeight="1">
      <c r="E397" s="12" t="s">
        <v>176</v>
      </c>
      <c r="F397" s="743"/>
      <c r="G397" s="743"/>
      <c r="H397" s="1576" t="s">
        <v>356</v>
      </c>
      <c r="I397" s="1576"/>
      <c r="J397" s="1576"/>
      <c r="K397" s="1576"/>
      <c r="L397" s="1576"/>
      <c r="M397" s="1576"/>
      <c r="N397" s="1576"/>
      <c r="O397" s="1576"/>
      <c r="P397" s="1576"/>
      <c r="Q397" s="1576"/>
      <c r="R397" s="1576"/>
      <c r="S397" s="1576"/>
      <c r="T397" s="1576"/>
      <c r="U397" s="1576"/>
      <c r="V397" s="1576"/>
      <c r="W397" s="1576"/>
      <c r="X397" s="1576"/>
      <c r="Y397" s="1576"/>
      <c r="Z397" s="1576"/>
      <c r="AA397" s="1576"/>
      <c r="AB397" s="1576"/>
      <c r="AC397" s="1576"/>
      <c r="AD397" s="1576"/>
      <c r="AE397" s="1576"/>
      <c r="AF397" s="743"/>
    </row>
    <row r="398" spans="1:38" ht="12.75" customHeight="1">
      <c r="E398" s="25"/>
      <c r="F398" s="743"/>
      <c r="G398" s="743"/>
      <c r="H398" s="1577"/>
      <c r="I398" s="1577"/>
      <c r="J398" s="1577"/>
      <c r="K398" s="1577"/>
      <c r="L398" s="1577"/>
      <c r="M398" s="1577"/>
      <c r="N398" s="1577"/>
      <c r="O398" s="1577"/>
      <c r="P398" s="1577"/>
      <c r="Q398" s="1577"/>
      <c r="R398" s="1577"/>
      <c r="S398" s="1577"/>
      <c r="T398" s="1577"/>
      <c r="U398" s="1577"/>
      <c r="V398" s="1577"/>
      <c r="W398" s="1577"/>
      <c r="X398" s="1577"/>
      <c r="Y398" s="1577"/>
      <c r="Z398" s="1577"/>
      <c r="AA398" s="1577"/>
      <c r="AB398" s="1577"/>
      <c r="AC398" s="1577"/>
      <c r="AD398" s="1577"/>
      <c r="AE398" s="157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4">
        <v>197</v>
      </c>
      <c r="F406" s="1124"/>
      <c r="G406" s="1124"/>
      <c r="H406" s="23" t="s">
        <v>122</v>
      </c>
      <c r="I406" s="1124">
        <v>80</v>
      </c>
      <c r="J406" s="1124"/>
      <c r="K406" s="1124"/>
      <c r="L406" s="12" t="s">
        <v>123</v>
      </c>
      <c r="N406" s="144" t="s">
        <v>625</v>
      </c>
      <c r="P406" s="1119">
        <v>0.36</v>
      </c>
      <c r="Q406" s="1119"/>
      <c r="R406" s="1119"/>
      <c r="S406" s="12" t="s">
        <v>124</v>
      </c>
      <c r="W406" s="1580">
        <f>IF(E406&gt;0,(E406*I406),(P406*43560))</f>
        <v>15760</v>
      </c>
      <c r="X406" s="1580"/>
      <c r="Y406" s="1580"/>
      <c r="Z406" s="12" t="s">
        <v>125</v>
      </c>
      <c r="AF406" s="1119">
        <f>AG424/P406</f>
        <v>405.55555555555554</v>
      </c>
      <c r="AG406" s="1119"/>
      <c r="AH406" s="1119"/>
    </row>
    <row r="407" spans="1:36" ht="12.75">
      <c r="E407" s="12" t="s">
        <v>56</v>
      </c>
    </row>
    <row r="408" spans="1:36" ht="12.75">
      <c r="E408" s="1584"/>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1584"/>
      <c r="AH408" s="1584"/>
      <c r="AI408" s="1584"/>
      <c r="AJ408" s="1584"/>
    </row>
    <row r="409" spans="1:36" ht="12.75"/>
    <row r="410" spans="1:36" ht="12.75">
      <c r="A410" s="50" t="s">
        <v>642</v>
      </c>
      <c r="B410" s="50"/>
      <c r="C410" s="50"/>
      <c r="D410" s="50" t="s">
        <v>127</v>
      </c>
    </row>
    <row r="411" spans="1:36" ht="12.75">
      <c r="E411" s="12" t="s">
        <v>128</v>
      </c>
      <c r="P411" s="1099">
        <v>1</v>
      </c>
      <c r="Q411" s="1099"/>
      <c r="S411" s="12" t="s">
        <v>202</v>
      </c>
      <c r="AE411" s="1099">
        <v>1</v>
      </c>
      <c r="AF411" s="1099"/>
    </row>
    <row r="412" spans="1:36" ht="12.75">
      <c r="E412" s="12" t="s">
        <v>203</v>
      </c>
      <c r="P412" s="1099">
        <v>0</v>
      </c>
      <c r="Q412" s="1099"/>
      <c r="S412" s="12" t="s">
        <v>138</v>
      </c>
      <c r="AE412" s="1099" t="s">
        <v>591</v>
      </c>
      <c r="AF412" s="1099"/>
    </row>
    <row r="413" spans="1:36" ht="12.75" customHeight="1">
      <c r="F413" s="67" t="s">
        <v>139</v>
      </c>
    </row>
    <row r="414" spans="1:36" ht="12.75" customHeight="1">
      <c r="F414" s="1319" t="s">
        <v>1648</v>
      </c>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658</v>
      </c>
      <c r="N416" s="39"/>
      <c r="O416" s="39"/>
      <c r="P416" s="243"/>
      <c r="Q416" s="1099" t="s">
        <v>591</v>
      </c>
      <c r="R416" s="1099"/>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9" t="s">
        <v>641</v>
      </c>
      <c r="AG417" s="1589"/>
    </row>
    <row r="418" spans="1:96" ht="12.75" customHeight="1">
      <c r="S418" s="25"/>
      <c r="T418" s="25"/>
    </row>
    <row r="419" spans="1:96" ht="12.75" customHeight="1">
      <c r="A419" s="50"/>
      <c r="B419" s="50"/>
      <c r="C419" s="50"/>
      <c r="E419" s="7" t="s">
        <v>329</v>
      </c>
      <c r="Z419" s="1099" t="s">
        <v>722</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9" t="s">
        <v>641</v>
      </c>
      <c r="AA421" s="1099"/>
    </row>
    <row r="422" spans="1:96" ht="12.75" customHeight="1"/>
    <row r="423" spans="1:96" ht="12.75" customHeight="1">
      <c r="A423" s="50" t="s">
        <v>513</v>
      </c>
      <c r="B423" s="50"/>
      <c r="C423" s="50"/>
      <c r="D423" s="50" t="s">
        <v>842</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5"/>
      <c r="AG424" s="1531">
        <v>146</v>
      </c>
      <c r="AH424" s="1531"/>
      <c r="AI424" s="1531"/>
      <c r="AJ424" s="1531"/>
    </row>
    <row r="425" spans="1:96" ht="12.75" customHeight="1">
      <c r="D425" s="1509" t="s">
        <v>1489</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9">
        <v>0</v>
      </c>
      <c r="AH425" s="1173"/>
      <c r="AI425" s="1173"/>
      <c r="AJ425" s="1173"/>
    </row>
    <row r="426" spans="1:96" ht="12.75" customHeight="1">
      <c r="D426" s="1509" t="s">
        <v>1183</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31">
        <v>145</v>
      </c>
      <c r="AH426" s="1531"/>
      <c r="AI426" s="1531"/>
      <c r="AJ426" s="1531"/>
    </row>
    <row r="427" spans="1:96" ht="12.75" customHeight="1">
      <c r="D427" s="1509" t="s">
        <v>1184</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31">
        <v>145</v>
      </c>
      <c r="AH427" s="1531"/>
      <c r="AI427" s="1531"/>
      <c r="AJ427" s="1531"/>
    </row>
    <row r="428" spans="1:96" ht="12.75" customHeight="1">
      <c r="D428" s="1509" t="s">
        <v>1186</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79">
        <f>IF(ISERROR(AG427/AG426),"",AG427/AG426)</f>
        <v>1</v>
      </c>
      <c r="AH428" s="1579"/>
      <c r="AI428" s="1579"/>
      <c r="AJ428" s="1579"/>
    </row>
    <row r="429" spans="1:96" ht="12.75" customHeight="1">
      <c r="D429" s="1509" t="s">
        <v>1185</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452">
        <f>262*145</f>
        <v>37990</v>
      </c>
      <c r="AH429" s="1452"/>
      <c r="AI429" s="1452"/>
      <c r="AJ429" s="1452"/>
    </row>
    <row r="430" spans="1:96" ht="12.75" customHeight="1">
      <c r="D430" s="1509" t="s">
        <v>1187</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2">
        <f>AG429</f>
        <v>37990</v>
      </c>
      <c r="AH430" s="1452"/>
      <c r="AI430" s="1452"/>
      <c r="AJ430" s="1452"/>
    </row>
    <row r="431" spans="1:96" ht="12.75" customHeight="1">
      <c r="D431" s="1509" t="s">
        <v>1188</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79">
        <f>IF(ISERROR(AG430/AG429),"",AG430/AG429)</f>
        <v>1</v>
      </c>
      <c r="AH431" s="1579"/>
      <c r="AI431" s="1579"/>
      <c r="AJ431" s="1579"/>
    </row>
    <row r="432" spans="1:96" ht="12.75" customHeight="1">
      <c r="D432" s="1509" t="s">
        <v>1189</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9" t="s">
        <v>1460</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5"/>
      <c r="AG433" s="1452">
        <f>(43660-AG429)+7020+1030+3180</f>
        <v>16900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2" t="s">
        <v>617</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5"/>
      <c r="AG434" s="1452">
        <v>600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1461</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5"/>
      <c r="AG435" s="1452">
        <v>6859</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1190</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5"/>
      <c r="AG436" s="1451" t="s">
        <v>1787</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6" t="s">
        <v>1191</v>
      </c>
      <c r="E437" s="1567"/>
      <c r="F437" s="1567"/>
      <c r="G437" s="1567"/>
      <c r="H437" s="1567"/>
      <c r="I437" s="1567"/>
      <c r="J437" s="1567"/>
      <c r="K437" s="1567"/>
      <c r="L437" s="1567"/>
      <c r="M437" s="1567"/>
      <c r="N437" s="1567"/>
      <c r="O437" s="1567"/>
      <c r="P437" s="1567"/>
      <c r="Q437" s="1567"/>
      <c r="R437" s="1567"/>
      <c r="S437" s="1567"/>
      <c r="T437" s="1567"/>
      <c r="U437" s="1567"/>
      <c r="V437" s="1567"/>
      <c r="W437" s="1567"/>
      <c r="X437" s="1567"/>
      <c r="Y437" s="1567"/>
      <c r="Z437" s="1567"/>
      <c r="AA437" s="1567"/>
      <c r="AB437" s="1567"/>
      <c r="AC437" s="1567"/>
      <c r="AD437" s="1567"/>
      <c r="AE437" s="1567"/>
      <c r="AF437" s="1568"/>
      <c r="AG437" s="1532">
        <f>AG429+AG433+AG435+AG436</f>
        <v>61749</v>
      </c>
      <c r="AH437" s="1532"/>
      <c r="AI437" s="1532"/>
      <c r="AJ437" s="153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9" t="s">
        <v>1462</v>
      </c>
      <c r="E438" s="1569"/>
      <c r="F438" s="1569"/>
      <c r="G438" s="1569"/>
      <c r="H438" s="1569"/>
      <c r="I438" s="1569"/>
      <c r="J438" s="1569"/>
      <c r="K438" s="1569"/>
      <c r="L438" s="1569"/>
      <c r="M438" s="1569"/>
      <c r="N438" s="1569"/>
      <c r="O438" s="1569"/>
      <c r="P438" s="1569"/>
      <c r="Q438" s="1569"/>
      <c r="R438" s="1569"/>
      <c r="S438" s="1569"/>
      <c r="T438" s="1569"/>
      <c r="U438" s="1569"/>
      <c r="V438" s="1569"/>
      <c r="W438" s="1569"/>
      <c r="X438" s="1569"/>
      <c r="Y438" s="1569"/>
      <c r="Z438" s="1569"/>
      <c r="AA438" s="1569"/>
      <c r="AB438" s="1569"/>
      <c r="AC438" s="1569"/>
      <c r="AD438" s="1569"/>
      <c r="AE438" s="1569"/>
      <c r="AF438" s="1569"/>
      <c r="AG438" s="1569"/>
      <c r="AH438" s="1569"/>
      <c r="AI438" s="1569"/>
      <c r="AJ438" s="15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0"/>
      <c r="E439" s="1570"/>
      <c r="F439" s="1570"/>
      <c r="G439" s="1570"/>
      <c r="H439" s="1570"/>
      <c r="I439" s="1570"/>
      <c r="J439" s="1570"/>
      <c r="K439" s="1570"/>
      <c r="L439" s="1570"/>
      <c r="M439" s="1570"/>
      <c r="N439" s="1570"/>
      <c r="O439" s="1570"/>
      <c r="P439" s="1570"/>
      <c r="Q439" s="1570"/>
      <c r="R439" s="1570"/>
      <c r="S439" s="1570"/>
      <c r="T439" s="1570"/>
      <c r="U439" s="1570"/>
      <c r="V439" s="1570"/>
      <c r="W439" s="1570"/>
      <c r="X439" s="1570"/>
      <c r="Y439" s="1570"/>
      <c r="Z439" s="1570"/>
      <c r="AA439" s="1570"/>
      <c r="AB439" s="1570"/>
      <c r="AC439" s="1570"/>
      <c r="AD439" s="1570"/>
      <c r="AE439" s="1570"/>
      <c r="AF439" s="1570"/>
      <c r="AG439" s="1570"/>
      <c r="AH439" s="1570"/>
      <c r="AI439" s="1570"/>
      <c r="AJ439" s="15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486519.87671232875</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484317.17123287672</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393643.21232876711</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3" t="s">
        <v>749</v>
      </c>
      <c r="E452" s="1454"/>
      <c r="F452" s="1454"/>
      <c r="G452" s="1454"/>
      <c r="H452" s="1454"/>
      <c r="I452" s="1454"/>
      <c r="J452" s="1454"/>
      <c r="K452" s="1454"/>
      <c r="L452" s="1454"/>
      <c r="M452" s="1454"/>
      <c r="N452" s="1454"/>
      <c r="O452" s="1454"/>
      <c r="P452" s="1454"/>
      <c r="Q452" s="1454"/>
      <c r="R452" s="1454"/>
      <c r="S452" s="1454"/>
      <c r="T452" s="1454"/>
      <c r="U452" s="1454"/>
      <c r="V452" s="1455"/>
      <c r="W452" s="1256">
        <v>145</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750</v>
      </c>
      <c r="E453" s="1454"/>
      <c r="F453" s="1454"/>
      <c r="G453" s="1454"/>
      <c r="H453" s="1454"/>
      <c r="I453" s="1454"/>
      <c r="J453" s="1454"/>
      <c r="K453" s="1454"/>
      <c r="L453" s="1454"/>
      <c r="M453" s="1454"/>
      <c r="N453" s="1454"/>
      <c r="O453" s="1454"/>
      <c r="P453" s="1454"/>
      <c r="Q453" s="1454"/>
      <c r="R453" s="1454"/>
      <c r="S453" s="1454"/>
      <c r="T453" s="1454"/>
      <c r="U453" s="1454"/>
      <c r="V453" s="1455"/>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751</v>
      </c>
      <c r="E454" s="1454"/>
      <c r="F454" s="1454"/>
      <c r="G454" s="1454"/>
      <c r="H454" s="1454"/>
      <c r="I454" s="1454"/>
      <c r="J454" s="1454"/>
      <c r="K454" s="1454"/>
      <c r="L454" s="1454"/>
      <c r="M454" s="1454"/>
      <c r="N454" s="1454"/>
      <c r="O454" s="1454"/>
      <c r="P454" s="1454"/>
      <c r="Q454" s="1454"/>
      <c r="R454" s="1454"/>
      <c r="S454" s="1454"/>
      <c r="T454" s="1454"/>
      <c r="U454" s="1454"/>
      <c r="V454" s="1455"/>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3" t="s">
        <v>752</v>
      </c>
      <c r="E455" s="1454"/>
      <c r="F455" s="1454"/>
      <c r="G455" s="1454"/>
      <c r="H455" s="1454"/>
      <c r="I455" s="1454"/>
      <c r="J455" s="1454"/>
      <c r="K455" s="1454"/>
      <c r="L455" s="1454"/>
      <c r="M455" s="1454"/>
      <c r="N455" s="1454"/>
      <c r="O455" s="1454"/>
      <c r="P455" s="1454"/>
      <c r="Q455" s="1454"/>
      <c r="R455" s="1454"/>
      <c r="S455" s="1454"/>
      <c r="T455" s="1454"/>
      <c r="U455" s="1454"/>
      <c r="V455" s="1455"/>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3" t="s">
        <v>975</v>
      </c>
      <c r="E456" s="1454"/>
      <c r="F456" s="1454"/>
      <c r="G456" s="1454"/>
      <c r="H456" s="1454"/>
      <c r="I456" s="1454"/>
      <c r="J456" s="1454"/>
      <c r="K456" s="1454"/>
      <c r="L456" s="1454"/>
      <c r="M456" s="1454"/>
      <c r="N456" s="1454"/>
      <c r="O456" s="1454"/>
      <c r="P456" s="1454"/>
      <c r="Q456" s="1454"/>
      <c r="R456" s="1454"/>
      <c r="S456" s="1454"/>
      <c r="T456" s="1454"/>
      <c r="U456" s="1454"/>
      <c r="V456" s="1455"/>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3" t="s">
        <v>753</v>
      </c>
      <c r="E457" s="1454"/>
      <c r="F457" s="1454"/>
      <c r="G457" s="1454"/>
      <c r="H457" s="1454"/>
      <c r="I457" s="1454"/>
      <c r="J457" s="1454"/>
      <c r="K457" s="1454"/>
      <c r="L457" s="1454"/>
      <c r="M457" s="1454"/>
      <c r="N457" s="1454"/>
      <c r="O457" s="1454"/>
      <c r="P457" s="1454"/>
      <c r="Q457" s="1454"/>
      <c r="R457" s="1454"/>
      <c r="S457" s="1454"/>
      <c r="T457" s="1454"/>
      <c r="U457" s="1454"/>
      <c r="V457" s="1455"/>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3" t="s">
        <v>1156</v>
      </c>
      <c r="E458" s="1454"/>
      <c r="F458" s="1454"/>
      <c r="G458" s="1454"/>
      <c r="H458" s="1454"/>
      <c r="I458" s="1454"/>
      <c r="J458" s="1454"/>
      <c r="K458" s="1454"/>
      <c r="L458" s="1454"/>
      <c r="M458" s="1454"/>
      <c r="N458" s="1454"/>
      <c r="O458" s="1454"/>
      <c r="P458" s="1454"/>
      <c r="Q458" s="1454"/>
      <c r="R458" s="1454"/>
      <c r="S458" s="1454"/>
      <c r="T458" s="1454"/>
      <c r="U458" s="1454"/>
      <c r="V458" s="1455"/>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8"/>
      <c r="H459" s="1529"/>
      <c r="I459" s="1529"/>
      <c r="J459" s="1529"/>
      <c r="K459" s="1529"/>
      <c r="L459" s="1529"/>
      <c r="M459" s="1529"/>
      <c r="N459" s="1529"/>
      <c r="O459" s="1529"/>
      <c r="P459" s="1529"/>
      <c r="Q459" s="1529"/>
      <c r="R459" s="1529"/>
      <c r="S459" s="1529"/>
      <c r="T459" s="1529"/>
      <c r="U459" s="1529"/>
      <c r="V459" s="1530"/>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8" t="s">
        <v>754</v>
      </c>
      <c r="E463" s="1459"/>
      <c r="F463" s="1459"/>
      <c r="G463" s="1459"/>
      <c r="H463" s="1459"/>
      <c r="I463" s="1459"/>
      <c r="J463" s="1459"/>
      <c r="K463" s="1459"/>
      <c r="L463" s="1459"/>
      <c r="M463" s="1459"/>
      <c r="N463" s="1459"/>
      <c r="O463" s="1459"/>
      <c r="P463" s="1459"/>
      <c r="Q463" s="1459"/>
      <c r="R463" s="1459"/>
      <c r="S463" s="1459"/>
      <c r="T463" s="1459"/>
      <c r="U463" s="1459"/>
      <c r="V463" s="1459"/>
      <c r="W463" s="1571"/>
      <c r="X463" s="1571"/>
      <c r="Y463" s="15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3" t="s">
        <v>755</v>
      </c>
      <c r="E464" s="1454"/>
      <c r="F464" s="1454"/>
      <c r="G464" s="1454"/>
      <c r="H464" s="1454"/>
      <c r="I464" s="1454"/>
      <c r="J464" s="1454"/>
      <c r="K464" s="1454"/>
      <c r="L464" s="1454"/>
      <c r="M464" s="1454"/>
      <c r="N464" s="1454"/>
      <c r="O464" s="1454"/>
      <c r="P464" s="1454"/>
      <c r="Q464" s="1454"/>
      <c r="R464" s="1454"/>
      <c r="S464" s="1454"/>
      <c r="T464" s="1454"/>
      <c r="U464" s="1454"/>
      <c r="V464" s="1455"/>
      <c r="W464" s="1256" t="s">
        <v>641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892</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893</v>
      </c>
      <c r="U471" s="1466"/>
      <c r="V471" s="1466"/>
      <c r="W471" s="1466"/>
      <c r="X471" s="1466"/>
      <c r="Y471" s="1466"/>
      <c r="Z471" s="1466"/>
      <c r="AA471" s="1466"/>
      <c r="AB471" s="1466"/>
      <c r="AC471" s="1466"/>
      <c r="AD471" s="1466"/>
      <c r="AE471" s="1466"/>
      <c r="AF471" s="1466"/>
      <c r="AG471" s="1466"/>
      <c r="AH471" s="152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0" t="s">
        <v>38</v>
      </c>
      <c r="U472" s="1460"/>
      <c r="V472" s="1460"/>
      <c r="W472" s="1460"/>
      <c r="X472" s="1460"/>
      <c r="Y472" s="1460" t="s">
        <v>39</v>
      </c>
      <c r="Z472" s="1460"/>
      <c r="AA472" s="1460"/>
      <c r="AB472" s="1460"/>
      <c r="AC472" s="1460"/>
      <c r="AD472" s="1460" t="s">
        <v>361</v>
      </c>
      <c r="AE472" s="1460"/>
      <c r="AF472" s="1460"/>
      <c r="AG472" s="1460"/>
      <c r="AH472" s="146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0"/>
      <c r="U473" s="1460"/>
      <c r="V473" s="1460"/>
      <c r="W473" s="1460"/>
      <c r="X473" s="1460"/>
      <c r="Y473" s="1460"/>
      <c r="Z473" s="1460"/>
      <c r="AA473" s="1460"/>
      <c r="AB473" s="1460"/>
      <c r="AC473" s="1460"/>
      <c r="AD473" s="1460"/>
      <c r="AE473" s="1460"/>
      <c r="AF473" s="1460"/>
      <c r="AG473" s="1460"/>
      <c r="AH473" s="146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6" t="s">
        <v>1745</v>
      </c>
      <c r="U474" s="1457"/>
      <c r="V474" s="1457"/>
      <c r="W474" s="1457"/>
      <c r="X474" s="1457"/>
      <c r="Y474" s="1457">
        <v>0</v>
      </c>
      <c r="Z474" s="1457"/>
      <c r="AA474" s="1457"/>
      <c r="AB474" s="1457"/>
      <c r="AC474" s="1457"/>
      <c r="AD474" s="1457">
        <v>0</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6" t="s">
        <v>1745</v>
      </c>
      <c r="U475" s="1457"/>
      <c r="V475" s="1457"/>
      <c r="W475" s="1457"/>
      <c r="X475" s="1457"/>
      <c r="Y475" s="1457">
        <v>0</v>
      </c>
      <c r="Z475" s="1457"/>
      <c r="AA475" s="1457"/>
      <c r="AB475" s="1457"/>
      <c r="AC475" s="1457"/>
      <c r="AD475" s="1457">
        <v>0</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7">
        <v>43819</v>
      </c>
      <c r="U476" s="1457"/>
      <c r="V476" s="1457"/>
      <c r="W476" s="1457"/>
      <c r="X476" s="1457"/>
      <c r="Y476" s="1457">
        <v>43862</v>
      </c>
      <c r="Z476" s="1457"/>
      <c r="AA476" s="1457"/>
      <c r="AB476" s="1457"/>
      <c r="AC476" s="1457"/>
      <c r="AD476" s="1457">
        <v>0</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7">
        <f>T480</f>
        <v>43437</v>
      </c>
      <c r="U477" s="1457"/>
      <c r="V477" s="1457"/>
      <c r="W477" s="1457"/>
      <c r="X477" s="1457"/>
      <c r="Y477" s="1457">
        <v>43862</v>
      </c>
      <c r="Z477" s="1457"/>
      <c r="AA477" s="1457"/>
      <c r="AB477" s="1457"/>
      <c r="AC477" s="1457"/>
      <c r="AD477" s="1457">
        <v>0</v>
      </c>
      <c r="AE477" s="1457"/>
      <c r="AF477" s="1457"/>
      <c r="AG477" s="1457"/>
      <c r="AH477" s="145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6" t="s">
        <v>1745</v>
      </c>
      <c r="U478" s="1457"/>
      <c r="V478" s="1457"/>
      <c r="W478" s="1457"/>
      <c r="X478" s="1457"/>
      <c r="Y478" s="1457">
        <v>0</v>
      </c>
      <c r="Z478" s="1457"/>
      <c r="AA478" s="1457"/>
      <c r="AB478" s="1457"/>
      <c r="AC478" s="1457"/>
      <c r="AD478" s="1457">
        <v>0</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7">
        <v>43800</v>
      </c>
      <c r="U479" s="1457"/>
      <c r="V479" s="1457"/>
      <c r="W479" s="1457"/>
      <c r="X479" s="1457"/>
      <c r="Y479" s="1457">
        <v>43862</v>
      </c>
      <c r="Z479" s="1457"/>
      <c r="AA479" s="1457"/>
      <c r="AB479" s="1457"/>
      <c r="AC479" s="1457"/>
      <c r="AD479" s="1457">
        <v>0</v>
      </c>
      <c r="AE479" s="1457"/>
      <c r="AF479" s="1457"/>
      <c r="AG479" s="1457"/>
      <c r="AH479" s="14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7">
        <v>43437</v>
      </c>
      <c r="U480" s="1457"/>
      <c r="V480" s="1457"/>
      <c r="W480" s="1457"/>
      <c r="X480" s="1457"/>
      <c r="Y480" s="1457">
        <v>0</v>
      </c>
      <c r="Z480" s="1457"/>
      <c r="AA480" s="1457"/>
      <c r="AB480" s="1457"/>
      <c r="AC480" s="1457"/>
      <c r="AD480" s="1457">
        <v>43570</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6" t="s">
        <v>1745</v>
      </c>
      <c r="U481" s="1457"/>
      <c r="V481" s="1457"/>
      <c r="W481" s="1457"/>
      <c r="X481" s="1457"/>
      <c r="Y481" s="1457">
        <v>0</v>
      </c>
      <c r="Z481" s="1457"/>
      <c r="AA481" s="1457"/>
      <c r="AB481" s="1457"/>
      <c r="AC481" s="1457"/>
      <c r="AD481" s="1457">
        <v>0</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6" t="s">
        <v>1745</v>
      </c>
      <c r="U482" s="1457"/>
      <c r="V482" s="1457"/>
      <c r="W482" s="1457"/>
      <c r="X482" s="1457"/>
      <c r="Y482" s="1457">
        <v>0</v>
      </c>
      <c r="Z482" s="1457"/>
      <c r="AA482" s="1457"/>
      <c r="AB482" s="1457"/>
      <c r="AC482" s="1457"/>
      <c r="AD482" s="1457">
        <v>0</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6" t="s">
        <v>1745</v>
      </c>
      <c r="U483" s="1457"/>
      <c r="V483" s="1457"/>
      <c r="W483" s="1457"/>
      <c r="X483" s="1457"/>
      <c r="Y483" s="1457">
        <v>0</v>
      </c>
      <c r="Z483" s="1457"/>
      <c r="AA483" s="1457"/>
      <c r="AB483" s="1457"/>
      <c r="AC483" s="1457"/>
      <c r="AD483" s="1457">
        <v>0</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427</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9" t="s">
        <v>1786</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9" t="s">
        <v>1649</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9" t="s">
        <v>1650</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7" t="s">
        <v>431</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0"/>
      <c r="C490" s="1471"/>
      <c r="D490" s="1471"/>
      <c r="E490" s="1471"/>
      <c r="F490" s="1471"/>
      <c r="G490" s="1471"/>
      <c r="H490" s="1471"/>
      <c r="I490" s="1471"/>
      <c r="J490" s="1471"/>
      <c r="K490" s="1471"/>
      <c r="L490" s="1471"/>
      <c r="M490" s="1471"/>
      <c r="N490" s="1471"/>
      <c r="O490" s="1471"/>
      <c r="P490" s="1472"/>
      <c r="Q490" s="1476" t="s">
        <v>591</v>
      </c>
      <c r="R490" s="1477"/>
      <c r="S490" s="1090" t="s">
        <v>1651</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9" t="s">
        <v>1652</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9" t="s">
        <v>1746</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435</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436</v>
      </c>
      <c r="AD499" s="1466"/>
      <c r="AE499" s="1466"/>
      <c r="AF499" s="1466"/>
      <c r="AG499" s="82" t="s">
        <v>437</v>
      </c>
      <c r="AH499" s="1466" t="s">
        <v>438</v>
      </c>
      <c r="AI499" s="1466"/>
      <c r="AJ499" s="1466"/>
      <c r="AK499" s="152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0" t="s">
        <v>439</v>
      </c>
      <c r="C500" s="1481"/>
      <c r="D500" s="1481"/>
      <c r="E500" s="1481"/>
      <c r="F500" s="1481"/>
      <c r="G500" s="1481"/>
      <c r="H500" s="1482"/>
      <c r="I500" s="72" t="s">
        <v>440</v>
      </c>
      <c r="J500" s="72"/>
      <c r="K500" s="72"/>
      <c r="L500" s="72"/>
      <c r="M500" s="72"/>
      <c r="N500" s="72"/>
      <c r="O500" s="72"/>
      <c r="P500" s="72"/>
      <c r="Q500" s="72"/>
      <c r="R500" s="72"/>
      <c r="S500" s="72"/>
      <c r="T500" s="72"/>
      <c r="U500" s="72"/>
      <c r="V500" s="72"/>
      <c r="W500" s="72"/>
      <c r="X500" s="25"/>
      <c r="Y500" s="25"/>
      <c r="AC500" s="1461" t="s">
        <v>641</v>
      </c>
      <c r="AD500" s="1418"/>
      <c r="AE500" s="1418"/>
      <c r="AF500" s="1418"/>
      <c r="AG500" s="75" t="s">
        <v>437</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3"/>
      <c r="C501" s="1484"/>
      <c r="D501" s="1484"/>
      <c r="E501" s="1484"/>
      <c r="F501" s="1484"/>
      <c r="G501" s="1484"/>
      <c r="H501" s="1485"/>
      <c r="I501" s="80" t="s">
        <v>441</v>
      </c>
      <c r="J501" s="80"/>
      <c r="K501" s="80"/>
      <c r="L501" s="80"/>
      <c r="M501" s="80"/>
      <c r="N501" s="80"/>
      <c r="O501" s="80"/>
      <c r="P501" s="80"/>
      <c r="Q501" s="80"/>
      <c r="R501" s="80"/>
      <c r="S501" s="80"/>
      <c r="T501" s="80"/>
      <c r="U501" s="80"/>
      <c r="V501" s="80"/>
      <c r="W501" s="80"/>
      <c r="X501" s="80"/>
      <c r="Y501" s="80"/>
      <c r="Z501" s="80"/>
      <c r="AA501" s="80"/>
      <c r="AB501" s="80"/>
      <c r="AC501" s="1461">
        <v>10</v>
      </c>
      <c r="AD501" s="1418"/>
      <c r="AE501" s="1418"/>
      <c r="AF501" s="1418"/>
      <c r="AG501" s="65" t="s">
        <v>437</v>
      </c>
      <c r="AH501" s="1225">
        <v>2018</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442</v>
      </c>
      <c r="C502" s="1481"/>
      <c r="D502" s="1481"/>
      <c r="E502" s="1481"/>
      <c r="F502" s="1481"/>
      <c r="G502" s="1481"/>
      <c r="H502" s="1482"/>
      <c r="I502" s="72" t="s">
        <v>443</v>
      </c>
      <c r="J502" s="72"/>
      <c r="K502" s="72"/>
      <c r="L502" s="72"/>
      <c r="M502" s="72"/>
      <c r="N502" s="72"/>
      <c r="O502" s="72"/>
      <c r="P502" s="72"/>
      <c r="Q502" s="72"/>
      <c r="R502" s="72"/>
      <c r="S502" s="72"/>
      <c r="T502" s="72"/>
      <c r="U502" s="72"/>
      <c r="V502" s="72"/>
      <c r="W502" s="72"/>
      <c r="X502" s="25"/>
      <c r="Y502" s="25"/>
      <c r="AC502" s="1461" t="s">
        <v>641</v>
      </c>
      <c r="AD502" s="1418"/>
      <c r="AE502" s="1418"/>
      <c r="AF502" s="1418"/>
      <c r="AG502" s="75" t="s">
        <v>437</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3"/>
      <c r="C503" s="1484"/>
      <c r="D503" s="1484"/>
      <c r="E503" s="1484"/>
      <c r="F503" s="1484"/>
      <c r="G503" s="1484"/>
      <c r="H503" s="1485"/>
      <c r="I503" s="25" t="s">
        <v>444</v>
      </c>
      <c r="J503" s="25"/>
      <c r="K503" s="25"/>
      <c r="L503" s="25"/>
      <c r="M503" s="25"/>
      <c r="N503" s="25"/>
      <c r="O503" s="25"/>
      <c r="P503" s="25"/>
      <c r="Q503" s="25"/>
      <c r="R503" s="25"/>
      <c r="S503" s="25"/>
      <c r="T503" s="25"/>
      <c r="U503" s="25"/>
      <c r="V503" s="25"/>
      <c r="W503" s="25"/>
      <c r="X503" s="25"/>
      <c r="Y503" s="25"/>
      <c r="AC503" s="1461" t="s">
        <v>641</v>
      </c>
      <c r="AD503" s="1418"/>
      <c r="AE503" s="1418"/>
      <c r="AF503" s="1418"/>
      <c r="AG503" s="75" t="s">
        <v>437</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3"/>
      <c r="C504" s="1484"/>
      <c r="D504" s="1484"/>
      <c r="E504" s="1484"/>
      <c r="F504" s="1484"/>
      <c r="G504" s="1484"/>
      <c r="H504" s="1485"/>
      <c r="I504" s="25" t="s">
        <v>445</v>
      </c>
      <c r="J504" s="25"/>
      <c r="K504" s="25"/>
      <c r="L504" s="25"/>
      <c r="M504" s="25"/>
      <c r="N504" s="25"/>
      <c r="O504" s="25"/>
      <c r="P504" s="25"/>
      <c r="Q504" s="25"/>
      <c r="R504" s="25"/>
      <c r="S504" s="25"/>
      <c r="T504" s="25"/>
      <c r="U504" s="25"/>
      <c r="V504" s="25"/>
      <c r="W504" s="25"/>
      <c r="X504" s="25"/>
      <c r="Y504" s="25"/>
      <c r="AC504" s="1461">
        <v>5</v>
      </c>
      <c r="AD504" s="1418"/>
      <c r="AE504" s="1418"/>
      <c r="AF504" s="1418"/>
      <c r="AG504" s="75" t="s">
        <v>437</v>
      </c>
      <c r="AH504" s="1225">
        <v>2019</v>
      </c>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446</v>
      </c>
      <c r="J505" s="25"/>
      <c r="K505" s="25"/>
      <c r="L505" s="25"/>
      <c r="M505" s="25"/>
      <c r="N505" s="25"/>
      <c r="O505" s="25"/>
      <c r="P505" s="25"/>
      <c r="Q505" s="25"/>
      <c r="R505" s="25"/>
      <c r="S505" s="25"/>
      <c r="T505" s="25"/>
      <c r="U505" s="25"/>
      <c r="V505" s="25"/>
      <c r="W505" s="25"/>
      <c r="X505" s="25"/>
      <c r="Y505" s="25"/>
      <c r="AC505" s="1461">
        <v>2</v>
      </c>
      <c r="AD505" s="1418"/>
      <c r="AE505" s="1418"/>
      <c r="AF505" s="1418"/>
      <c r="AG505" s="75" t="s">
        <v>437</v>
      </c>
      <c r="AH505" s="1225">
        <v>2020</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3"/>
      <c r="C506" s="1484"/>
      <c r="D506" s="1484"/>
      <c r="E506" s="1484"/>
      <c r="F506" s="1484"/>
      <c r="G506" s="1484"/>
      <c r="H506" s="1485"/>
      <c r="I506" s="80" t="s">
        <v>447</v>
      </c>
      <c r="J506" s="80"/>
      <c r="K506" s="80"/>
      <c r="L506" s="80"/>
      <c r="M506" s="80"/>
      <c r="N506" s="80"/>
      <c r="O506" s="80"/>
      <c r="P506" s="80"/>
      <c r="Q506" s="80"/>
      <c r="R506" s="80"/>
      <c r="S506" s="80"/>
      <c r="T506" s="80"/>
      <c r="U506" s="80"/>
      <c r="V506" s="80"/>
      <c r="W506" s="80"/>
      <c r="X506" s="80"/>
      <c r="Y506" s="80"/>
      <c r="Z506" s="80"/>
      <c r="AA506" s="80"/>
      <c r="AB506" s="80"/>
      <c r="AC506" s="1461">
        <v>2</v>
      </c>
      <c r="AD506" s="1418"/>
      <c r="AE506" s="1418"/>
      <c r="AF506" s="1418"/>
      <c r="AG506" s="65" t="s">
        <v>437</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0" t="s">
        <v>448</v>
      </c>
      <c r="C507" s="1481"/>
      <c r="D507" s="1481"/>
      <c r="E507" s="1481"/>
      <c r="F507" s="1481"/>
      <c r="G507" s="1481"/>
      <c r="H507" s="1482"/>
      <c r="I507" s="72" t="s">
        <v>449</v>
      </c>
      <c r="J507" s="72"/>
      <c r="K507" s="72"/>
      <c r="L507" s="72"/>
      <c r="M507" s="72"/>
      <c r="N507" s="72"/>
      <c r="O507" s="72"/>
      <c r="P507" s="72"/>
      <c r="Q507" s="72"/>
      <c r="R507" s="72"/>
      <c r="S507" s="72"/>
      <c r="T507" s="72"/>
      <c r="U507" s="72"/>
      <c r="V507" s="72"/>
      <c r="W507" s="72"/>
      <c r="X507" s="25"/>
      <c r="Y507" s="25"/>
      <c r="AC507" s="1461">
        <v>9</v>
      </c>
      <c r="AD507" s="1418"/>
      <c r="AE507" s="1418"/>
      <c r="AF507" s="1418"/>
      <c r="AG507" s="75" t="s">
        <v>437</v>
      </c>
      <c r="AH507" s="1225">
        <v>2019</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3"/>
      <c r="C508" s="1484"/>
      <c r="D508" s="1484"/>
      <c r="E508" s="1484"/>
      <c r="F508" s="1484"/>
      <c r="G508" s="1484"/>
      <c r="H508" s="1485"/>
      <c r="I508" s="25" t="s">
        <v>450</v>
      </c>
      <c r="J508" s="25"/>
      <c r="K508" s="25"/>
      <c r="L508" s="25"/>
      <c r="M508" s="25"/>
      <c r="N508" s="25"/>
      <c r="O508" s="25"/>
      <c r="P508" s="25"/>
      <c r="Q508" s="25"/>
      <c r="R508" s="25"/>
      <c r="S508" s="25"/>
      <c r="T508" s="25"/>
      <c r="U508" s="25"/>
      <c r="V508" s="25"/>
      <c r="W508" s="25"/>
      <c r="X508" s="25"/>
      <c r="Y508" s="25"/>
      <c r="AC508" s="1461">
        <v>12</v>
      </c>
      <c r="AD508" s="1418"/>
      <c r="AE508" s="1418"/>
      <c r="AF508" s="1418"/>
      <c r="AG508" s="75" t="s">
        <v>437</v>
      </c>
      <c r="AH508" s="1225">
        <v>2019</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3"/>
      <c r="C509" s="1484"/>
      <c r="D509" s="1484"/>
      <c r="E509" s="1484"/>
      <c r="F509" s="1484"/>
      <c r="G509" s="1484"/>
      <c r="H509" s="1485"/>
      <c r="I509" s="80" t="s">
        <v>451</v>
      </c>
      <c r="J509" s="80"/>
      <c r="K509" s="80"/>
      <c r="L509" s="80"/>
      <c r="M509" s="80"/>
      <c r="N509" s="80"/>
      <c r="O509" s="80"/>
      <c r="P509" s="80"/>
      <c r="Q509" s="80"/>
      <c r="R509" s="80"/>
      <c r="S509" s="80"/>
      <c r="T509" s="80"/>
      <c r="U509" s="80"/>
      <c r="V509" s="80"/>
      <c r="W509" s="80"/>
      <c r="X509" s="80"/>
      <c r="Y509" s="80"/>
      <c r="Z509" s="80"/>
      <c r="AA509" s="80"/>
      <c r="AB509" s="80"/>
      <c r="AC509" s="1461">
        <v>2</v>
      </c>
      <c r="AD509" s="1418"/>
      <c r="AE509" s="1418"/>
      <c r="AF509" s="1418"/>
      <c r="AG509" s="65" t="s">
        <v>437</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0" t="s">
        <v>452</v>
      </c>
      <c r="C510" s="1481"/>
      <c r="D510" s="1481"/>
      <c r="E510" s="1481"/>
      <c r="F510" s="1481"/>
      <c r="G510" s="1481"/>
      <c r="H510" s="1482"/>
      <c r="I510" s="72" t="s">
        <v>449</v>
      </c>
      <c r="J510" s="72"/>
      <c r="K510" s="72"/>
      <c r="L510" s="72"/>
      <c r="M510" s="72"/>
      <c r="N510" s="72"/>
      <c r="O510" s="72"/>
      <c r="P510" s="72"/>
      <c r="Q510" s="72"/>
      <c r="R510" s="72"/>
      <c r="S510" s="72"/>
      <c r="T510" s="72"/>
      <c r="U510" s="72"/>
      <c r="V510" s="72"/>
      <c r="W510" s="72"/>
      <c r="X510" s="72"/>
      <c r="Y510" s="72"/>
      <c r="Z510" s="72"/>
      <c r="AA510" s="72"/>
      <c r="AB510" s="72"/>
      <c r="AC510" s="1170">
        <v>9</v>
      </c>
      <c r="AD510" s="1171"/>
      <c r="AE510" s="1171"/>
      <c r="AF510" s="1171"/>
      <c r="AG510" s="204" t="s">
        <v>437</v>
      </c>
      <c r="AH510" s="1225">
        <v>2019</v>
      </c>
      <c r="AI510" s="1225"/>
      <c r="AJ510" s="1225"/>
      <c r="AK510" s="122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3"/>
      <c r="C511" s="1484"/>
      <c r="D511" s="1484"/>
      <c r="E511" s="1484"/>
      <c r="F511" s="1484"/>
      <c r="G511" s="1484"/>
      <c r="H511" s="1485"/>
      <c r="I511" s="25" t="s">
        <v>450</v>
      </c>
      <c r="J511" s="25"/>
      <c r="K511" s="25"/>
      <c r="L511" s="25"/>
      <c r="M511" s="25"/>
      <c r="N511" s="25"/>
      <c r="O511" s="25"/>
      <c r="P511" s="25"/>
      <c r="Q511" s="25"/>
      <c r="R511" s="25"/>
      <c r="S511" s="25"/>
      <c r="T511" s="25"/>
      <c r="U511" s="25"/>
      <c r="V511" s="25"/>
      <c r="W511" s="25"/>
      <c r="X511" s="25"/>
      <c r="Y511" s="25"/>
      <c r="Z511" s="25"/>
      <c r="AA511" s="25"/>
      <c r="AB511" s="25"/>
      <c r="AC511" s="1461">
        <v>12</v>
      </c>
      <c r="AD511" s="1418"/>
      <c r="AE511" s="1418"/>
      <c r="AF511" s="1418"/>
      <c r="AG511" s="75" t="s">
        <v>437</v>
      </c>
      <c r="AH511" s="1225">
        <v>2019</v>
      </c>
      <c r="AI511" s="1225"/>
      <c r="AJ511" s="1225"/>
      <c r="AK511" s="122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6"/>
      <c r="C512" s="1487"/>
      <c r="D512" s="1487"/>
      <c r="E512" s="1487"/>
      <c r="F512" s="1487"/>
      <c r="G512" s="1487"/>
      <c r="H512" s="1488"/>
      <c r="I512" s="80" t="s">
        <v>451</v>
      </c>
      <c r="J512" s="80"/>
      <c r="K512" s="80"/>
      <c r="L512" s="80"/>
      <c r="M512" s="80"/>
      <c r="N512" s="80"/>
      <c r="O512" s="80"/>
      <c r="P512" s="80"/>
      <c r="Q512" s="80"/>
      <c r="R512" s="80"/>
      <c r="S512" s="80"/>
      <c r="T512" s="80"/>
      <c r="U512" s="80"/>
      <c r="V512" s="80"/>
      <c r="W512" s="80"/>
      <c r="X512" s="80"/>
      <c r="Y512" s="80"/>
      <c r="Z512" s="80"/>
      <c r="AA512" s="80"/>
      <c r="AB512" s="80"/>
      <c r="AC512" s="1461">
        <v>4</v>
      </c>
      <c r="AD512" s="1418"/>
      <c r="AE512" s="1418"/>
      <c r="AF512" s="1418"/>
      <c r="AG512" s="65" t="s">
        <v>437</v>
      </c>
      <c r="AH512" s="1225">
        <v>2022</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0" t="s">
        <v>453</v>
      </c>
      <c r="C513" s="1481"/>
      <c r="D513" s="1481"/>
      <c r="E513" s="1481"/>
      <c r="F513" s="1481"/>
      <c r="G513" s="1481"/>
      <c r="H513" s="1482"/>
      <c r="I513" s="71" t="s">
        <v>454</v>
      </c>
      <c r="J513" s="72"/>
      <c r="K513" s="72"/>
      <c r="L513" s="72"/>
      <c r="M513" s="72"/>
      <c r="N513" s="72"/>
      <c r="O513" s="1123" t="s">
        <v>1747</v>
      </c>
      <c r="P513" s="1120"/>
      <c r="Q513" s="1120"/>
      <c r="R513" s="1120"/>
      <c r="S513" s="1120"/>
      <c r="T513" s="1120"/>
      <c r="U513" s="1120"/>
      <c r="V513" s="1120"/>
      <c r="W513" s="1120"/>
      <c r="X513" s="1120"/>
      <c r="Y513" s="1120"/>
      <c r="Z513" s="1120"/>
      <c r="AA513" s="1120"/>
      <c r="AB513" s="94"/>
      <c r="AC513" s="1170" t="s">
        <v>641</v>
      </c>
      <c r="AD513" s="1171"/>
      <c r="AE513" s="1171"/>
      <c r="AF513" s="1171"/>
      <c r="AG513" s="204" t="s">
        <v>437</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3"/>
      <c r="C514" s="1484"/>
      <c r="D514" s="1484"/>
      <c r="E514" s="1484"/>
      <c r="F514" s="1484"/>
      <c r="G514" s="1484"/>
      <c r="H514" s="1485"/>
      <c r="I514" s="175" t="s">
        <v>455</v>
      </c>
      <c r="J514" s="25"/>
      <c r="K514" s="25"/>
      <c r="L514" s="25"/>
      <c r="M514" s="25"/>
      <c r="N514" s="25"/>
      <c r="O514" s="25"/>
      <c r="P514" s="25"/>
      <c r="Q514" s="25"/>
      <c r="R514" s="25"/>
      <c r="S514" s="25"/>
      <c r="T514" s="25"/>
      <c r="U514" s="25"/>
      <c r="V514" s="25"/>
      <c r="W514" s="25"/>
      <c r="X514" s="25"/>
      <c r="Y514" s="25"/>
      <c r="Z514" s="25"/>
      <c r="AA514" s="25"/>
      <c r="AB514" s="101"/>
      <c r="AC514" s="1461">
        <v>11</v>
      </c>
      <c r="AD514" s="1418"/>
      <c r="AE514" s="1418"/>
      <c r="AF514" s="1418"/>
      <c r="AG514" s="75" t="s">
        <v>437</v>
      </c>
      <c r="AH514" s="1225">
        <v>2019</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3"/>
      <c r="C515" s="1484"/>
      <c r="D515" s="1484"/>
      <c r="E515" s="1484"/>
      <c r="F515" s="1484"/>
      <c r="G515" s="1484"/>
      <c r="H515" s="1485"/>
      <c r="I515" s="79" t="s">
        <v>456</v>
      </c>
      <c r="J515" s="80"/>
      <c r="K515" s="80"/>
      <c r="L515" s="80"/>
      <c r="M515" s="80"/>
      <c r="N515" s="80"/>
      <c r="O515" s="80"/>
      <c r="P515" s="80"/>
      <c r="Q515" s="80"/>
      <c r="R515" s="80"/>
      <c r="S515" s="80"/>
      <c r="T515" s="80"/>
      <c r="U515" s="80"/>
      <c r="V515" s="80"/>
      <c r="W515" s="80"/>
      <c r="X515" s="80"/>
      <c r="Y515" s="80"/>
      <c r="Z515" s="80"/>
      <c r="AA515" s="80"/>
      <c r="AB515" s="81"/>
      <c r="AC515" s="1461">
        <v>8</v>
      </c>
      <c r="AD515" s="1418"/>
      <c r="AE515" s="1418"/>
      <c r="AF515" s="1418"/>
      <c r="AG515" s="65" t="s">
        <v>437</v>
      </c>
      <c r="AH515" s="1225">
        <v>2020</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3"/>
      <c r="C516" s="1484"/>
      <c r="D516" s="1484"/>
      <c r="E516" s="1484"/>
      <c r="F516" s="1484"/>
      <c r="G516" s="1484"/>
      <c r="H516" s="1485"/>
      <c r="I516" s="72" t="s">
        <v>457</v>
      </c>
      <c r="J516" s="72"/>
      <c r="K516" s="72"/>
      <c r="L516" s="72"/>
      <c r="M516" s="72"/>
      <c r="N516" s="72"/>
      <c r="O516" s="1098" t="s">
        <v>356</v>
      </c>
      <c r="P516" s="1098"/>
      <c r="Q516" s="1098"/>
      <c r="R516" s="1098"/>
      <c r="S516" s="1098"/>
      <c r="T516" s="1098"/>
      <c r="U516" s="1098"/>
      <c r="V516" s="1098"/>
      <c r="W516" s="1098"/>
      <c r="X516" s="1098"/>
      <c r="Y516" s="1098"/>
      <c r="Z516" s="1098"/>
      <c r="AA516" s="1098"/>
      <c r="AC516" s="1461" t="s">
        <v>641</v>
      </c>
      <c r="AD516" s="1418"/>
      <c r="AE516" s="1418"/>
      <c r="AF516" s="1418"/>
      <c r="AG516" s="75" t="s">
        <v>437</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3"/>
      <c r="C517" s="1484"/>
      <c r="D517" s="1484"/>
      <c r="E517" s="1484"/>
      <c r="F517" s="1484"/>
      <c r="G517" s="1484"/>
      <c r="H517" s="1485"/>
      <c r="I517" s="25" t="s">
        <v>455</v>
      </c>
      <c r="J517" s="25"/>
      <c r="K517" s="25"/>
      <c r="L517" s="25"/>
      <c r="M517" s="25"/>
      <c r="N517" s="25"/>
      <c r="O517" s="25"/>
      <c r="P517" s="25"/>
      <c r="Q517" s="25"/>
      <c r="R517" s="25"/>
      <c r="S517" s="25"/>
      <c r="T517" s="25"/>
      <c r="U517" s="25"/>
      <c r="V517" s="25"/>
      <c r="W517" s="25"/>
      <c r="X517" s="25"/>
      <c r="Y517" s="25"/>
      <c r="AC517" s="1461" t="s">
        <v>641</v>
      </c>
      <c r="AD517" s="1418"/>
      <c r="AE517" s="1418"/>
      <c r="AF517" s="1418"/>
      <c r="AG517" s="75" t="s">
        <v>437</v>
      </c>
      <c r="AH517" s="1225"/>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3"/>
      <c r="C518" s="1484"/>
      <c r="D518" s="1484"/>
      <c r="E518" s="1484"/>
      <c r="F518" s="1484"/>
      <c r="G518" s="1484"/>
      <c r="H518" s="1485"/>
      <c r="I518" s="80" t="s">
        <v>456</v>
      </c>
      <c r="J518" s="80"/>
      <c r="K518" s="80"/>
      <c r="L518" s="80"/>
      <c r="M518" s="80"/>
      <c r="N518" s="80"/>
      <c r="O518" s="80"/>
      <c r="P518" s="80"/>
      <c r="Q518" s="80"/>
      <c r="R518" s="80"/>
      <c r="S518" s="80"/>
      <c r="T518" s="80"/>
      <c r="U518" s="80"/>
      <c r="V518" s="80"/>
      <c r="W518" s="80"/>
      <c r="X518" s="80"/>
      <c r="Y518" s="80"/>
      <c r="Z518" s="80"/>
      <c r="AA518" s="80"/>
      <c r="AB518" s="80"/>
      <c r="AC518" s="1461" t="s">
        <v>641</v>
      </c>
      <c r="AD518" s="1418"/>
      <c r="AE518" s="1418"/>
      <c r="AF518" s="1418"/>
      <c r="AG518" s="65" t="s">
        <v>437</v>
      </c>
      <c r="AH518" s="1225"/>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3"/>
      <c r="C519" s="1484"/>
      <c r="D519" s="1484"/>
      <c r="E519" s="1484"/>
      <c r="F519" s="1484"/>
      <c r="G519" s="1484"/>
      <c r="H519" s="1485"/>
      <c r="I519" s="72" t="s">
        <v>457</v>
      </c>
      <c r="J519" s="72"/>
      <c r="K519" s="72"/>
      <c r="L519" s="72"/>
      <c r="M519" s="72"/>
      <c r="N519" s="72"/>
      <c r="O519" s="1098" t="s">
        <v>356</v>
      </c>
      <c r="P519" s="1098"/>
      <c r="Q519" s="1098"/>
      <c r="R519" s="1098"/>
      <c r="S519" s="1098"/>
      <c r="T519" s="1098"/>
      <c r="U519" s="1098"/>
      <c r="V519" s="1098"/>
      <c r="W519" s="1098"/>
      <c r="X519" s="1098"/>
      <c r="Y519" s="1098"/>
      <c r="Z519" s="1098"/>
      <c r="AA519" s="1098"/>
      <c r="AC519" s="1461" t="s">
        <v>641</v>
      </c>
      <c r="AD519" s="1418"/>
      <c r="AE519" s="1418"/>
      <c r="AF519" s="1418"/>
      <c r="AG519" s="75" t="s">
        <v>437</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3"/>
      <c r="C520" s="1484"/>
      <c r="D520" s="1484"/>
      <c r="E520" s="1484"/>
      <c r="F520" s="1484"/>
      <c r="G520" s="1484"/>
      <c r="H520" s="1485"/>
      <c r="I520" s="25" t="s">
        <v>455</v>
      </c>
      <c r="J520" s="25"/>
      <c r="K520" s="25"/>
      <c r="L520" s="25"/>
      <c r="M520" s="25"/>
      <c r="N520" s="25"/>
      <c r="O520" s="25"/>
      <c r="P520" s="25"/>
      <c r="Q520" s="25"/>
      <c r="R520" s="25"/>
      <c r="S520" s="25"/>
      <c r="T520" s="25"/>
      <c r="U520" s="25"/>
      <c r="V520" s="25"/>
      <c r="W520" s="25"/>
      <c r="X520" s="25"/>
      <c r="Y520" s="25"/>
      <c r="AC520" s="1461" t="s">
        <v>641</v>
      </c>
      <c r="AD520" s="1418"/>
      <c r="AE520" s="1418"/>
      <c r="AF520" s="1418"/>
      <c r="AG520" s="75" t="s">
        <v>437</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3"/>
      <c r="C521" s="1484"/>
      <c r="D521" s="1484"/>
      <c r="E521" s="1484"/>
      <c r="F521" s="1484"/>
      <c r="G521" s="1484"/>
      <c r="H521" s="1485"/>
      <c r="I521" s="80" t="s">
        <v>456</v>
      </c>
      <c r="J521" s="80"/>
      <c r="K521" s="80"/>
      <c r="L521" s="80"/>
      <c r="M521" s="80"/>
      <c r="N521" s="80"/>
      <c r="O521" s="80"/>
      <c r="P521" s="80"/>
      <c r="Q521" s="80"/>
      <c r="R521" s="80"/>
      <c r="S521" s="80"/>
      <c r="T521" s="80"/>
      <c r="U521" s="80"/>
      <c r="V521" s="80"/>
      <c r="W521" s="80"/>
      <c r="X521" s="80"/>
      <c r="Y521" s="80"/>
      <c r="Z521" s="80"/>
      <c r="AA521" s="80"/>
      <c r="AB521" s="80"/>
      <c r="AC521" s="1461" t="s">
        <v>641</v>
      </c>
      <c r="AD521" s="1418"/>
      <c r="AE521" s="1418"/>
      <c r="AF521" s="1418"/>
      <c r="AG521" s="65" t="s">
        <v>437</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3"/>
      <c r="C522" s="1484"/>
      <c r="D522" s="1484"/>
      <c r="E522" s="1484"/>
      <c r="F522" s="1484"/>
      <c r="G522" s="1484"/>
      <c r="H522" s="1485"/>
      <c r="I522" s="72" t="s">
        <v>457</v>
      </c>
      <c r="J522" s="72"/>
      <c r="K522" s="72"/>
      <c r="L522" s="72"/>
      <c r="M522" s="72"/>
      <c r="N522" s="72"/>
      <c r="O522" s="1098" t="s">
        <v>356</v>
      </c>
      <c r="P522" s="1098"/>
      <c r="Q522" s="1098"/>
      <c r="R522" s="1098"/>
      <c r="S522" s="1098"/>
      <c r="T522" s="1098"/>
      <c r="U522" s="1098"/>
      <c r="V522" s="1098"/>
      <c r="W522" s="1098"/>
      <c r="X522" s="1098"/>
      <c r="Y522" s="1098"/>
      <c r="Z522" s="1098"/>
      <c r="AA522" s="1098"/>
      <c r="AC522" s="1461" t="s">
        <v>641</v>
      </c>
      <c r="AD522" s="1418"/>
      <c r="AE522" s="1418"/>
      <c r="AF522" s="1418"/>
      <c r="AG522" s="75" t="s">
        <v>437</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3"/>
      <c r="C523" s="1484"/>
      <c r="D523" s="1484"/>
      <c r="E523" s="1484"/>
      <c r="F523" s="1484"/>
      <c r="G523" s="1484"/>
      <c r="H523" s="1485"/>
      <c r="I523" s="25" t="s">
        <v>455</v>
      </c>
      <c r="J523" s="25"/>
      <c r="K523" s="25"/>
      <c r="L523" s="25"/>
      <c r="M523" s="25"/>
      <c r="N523" s="25"/>
      <c r="O523" s="25"/>
      <c r="P523" s="25"/>
      <c r="Q523" s="25"/>
      <c r="R523" s="25"/>
      <c r="S523" s="25"/>
      <c r="T523" s="25"/>
      <c r="U523" s="25"/>
      <c r="V523" s="25"/>
      <c r="W523" s="25"/>
      <c r="X523" s="25"/>
      <c r="Y523" s="25"/>
      <c r="AC523" s="1461" t="s">
        <v>641</v>
      </c>
      <c r="AD523" s="1418"/>
      <c r="AE523" s="1418"/>
      <c r="AF523" s="1418"/>
      <c r="AG523" s="75" t="s">
        <v>437</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3"/>
      <c r="C524" s="1484"/>
      <c r="D524" s="1484"/>
      <c r="E524" s="1484"/>
      <c r="F524" s="1484"/>
      <c r="G524" s="1484"/>
      <c r="H524" s="1485"/>
      <c r="I524" s="80" t="s">
        <v>456</v>
      </c>
      <c r="J524" s="80"/>
      <c r="K524" s="80"/>
      <c r="L524" s="80"/>
      <c r="M524" s="80"/>
      <c r="N524" s="80"/>
      <c r="O524" s="80"/>
      <c r="P524" s="80"/>
      <c r="Q524" s="80"/>
      <c r="R524" s="80"/>
      <c r="S524" s="80"/>
      <c r="T524" s="80"/>
      <c r="U524" s="80"/>
      <c r="V524" s="80"/>
      <c r="W524" s="80"/>
      <c r="X524" s="80"/>
      <c r="Y524" s="80"/>
      <c r="Z524" s="80"/>
      <c r="AA524" s="80"/>
      <c r="AB524" s="80"/>
      <c r="AC524" s="1461" t="s">
        <v>641</v>
      </c>
      <c r="AD524" s="1418"/>
      <c r="AE524" s="1418"/>
      <c r="AF524" s="1418"/>
      <c r="AG524" s="65" t="s">
        <v>437</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3"/>
      <c r="C525" s="1484"/>
      <c r="D525" s="1484"/>
      <c r="E525" s="1484"/>
      <c r="F525" s="1484"/>
      <c r="G525" s="1484"/>
      <c r="H525" s="1485"/>
      <c r="I525" s="72" t="s">
        <v>457</v>
      </c>
      <c r="J525" s="72"/>
      <c r="K525" s="72"/>
      <c r="L525" s="72"/>
      <c r="M525" s="72"/>
      <c r="N525" s="72"/>
      <c r="O525" s="1098" t="s">
        <v>356</v>
      </c>
      <c r="P525" s="1098"/>
      <c r="Q525" s="1098"/>
      <c r="R525" s="1098"/>
      <c r="S525" s="1098"/>
      <c r="T525" s="1098"/>
      <c r="U525" s="1098"/>
      <c r="V525" s="1098"/>
      <c r="W525" s="1098"/>
      <c r="X525" s="1098"/>
      <c r="Y525" s="1098"/>
      <c r="Z525" s="1098"/>
      <c r="AA525" s="1098"/>
      <c r="AC525" s="1461" t="s">
        <v>641</v>
      </c>
      <c r="AD525" s="1418"/>
      <c r="AE525" s="1418"/>
      <c r="AF525" s="1418"/>
      <c r="AG525" s="75" t="s">
        <v>437</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3"/>
      <c r="C526" s="1484"/>
      <c r="D526" s="1484"/>
      <c r="E526" s="1484"/>
      <c r="F526" s="1484"/>
      <c r="G526" s="1484"/>
      <c r="H526" s="1485"/>
      <c r="I526" s="25" t="s">
        <v>455</v>
      </c>
      <c r="J526" s="25"/>
      <c r="K526" s="25"/>
      <c r="L526" s="25"/>
      <c r="M526" s="25"/>
      <c r="N526" s="25"/>
      <c r="O526" s="25"/>
      <c r="P526" s="25"/>
      <c r="Q526" s="25"/>
      <c r="R526" s="25"/>
      <c r="S526" s="25"/>
      <c r="T526" s="25"/>
      <c r="U526" s="25"/>
      <c r="V526" s="25"/>
      <c r="W526" s="25"/>
      <c r="X526" s="25"/>
      <c r="Y526" s="25"/>
      <c r="AC526" s="1461" t="s">
        <v>641</v>
      </c>
      <c r="AD526" s="1418"/>
      <c r="AE526" s="1418"/>
      <c r="AF526" s="1418"/>
      <c r="AG526" s="65" t="s">
        <v>437</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3"/>
      <c r="C527" s="1484"/>
      <c r="D527" s="1484"/>
      <c r="E527" s="1484"/>
      <c r="F527" s="1484"/>
      <c r="G527" s="1484"/>
      <c r="H527" s="1485"/>
      <c r="I527" s="80" t="s">
        <v>456</v>
      </c>
      <c r="J527" s="80"/>
      <c r="K527" s="80"/>
      <c r="L527" s="80"/>
      <c r="M527" s="80"/>
      <c r="N527" s="80"/>
      <c r="O527" s="80"/>
      <c r="P527" s="80"/>
      <c r="Q527" s="80"/>
      <c r="R527" s="80"/>
      <c r="S527" s="80"/>
      <c r="T527" s="80"/>
      <c r="U527" s="80"/>
      <c r="V527" s="80"/>
      <c r="W527" s="80"/>
      <c r="X527" s="80"/>
      <c r="Y527" s="80"/>
      <c r="Z527" s="80"/>
      <c r="AA527" s="80"/>
      <c r="AB527" s="80"/>
      <c r="AC527" s="1461" t="s">
        <v>641</v>
      </c>
      <c r="AD527" s="1418"/>
      <c r="AE527" s="1418"/>
      <c r="AF527" s="1418"/>
      <c r="AG527" s="75" t="s">
        <v>437</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3"/>
      <c r="C528" s="1484"/>
      <c r="D528" s="1484"/>
      <c r="E528" s="1484"/>
      <c r="F528" s="1484"/>
      <c r="G528" s="1484"/>
      <c r="H528" s="1485"/>
      <c r="I528" s="72" t="s">
        <v>457</v>
      </c>
      <c r="J528" s="72"/>
      <c r="K528" s="72"/>
      <c r="L528" s="72"/>
      <c r="M528" s="72"/>
      <c r="N528" s="72"/>
      <c r="O528" s="1098" t="s">
        <v>356</v>
      </c>
      <c r="P528" s="1098"/>
      <c r="Q528" s="1098"/>
      <c r="R528" s="1098"/>
      <c r="S528" s="1098"/>
      <c r="T528" s="1098"/>
      <c r="U528" s="1098"/>
      <c r="V528" s="1098"/>
      <c r="W528" s="1098"/>
      <c r="X528" s="1098"/>
      <c r="Y528" s="1098"/>
      <c r="Z528" s="1098"/>
      <c r="AA528" s="1098"/>
      <c r="AC528" s="1461" t="s">
        <v>641</v>
      </c>
      <c r="AD528" s="1418"/>
      <c r="AE528" s="1418"/>
      <c r="AF528" s="1418"/>
      <c r="AG528" s="65" t="s">
        <v>437</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3"/>
      <c r="C529" s="1484"/>
      <c r="D529" s="1484"/>
      <c r="E529" s="1484"/>
      <c r="F529" s="1484"/>
      <c r="G529" s="1484"/>
      <c r="H529" s="1485"/>
      <c r="I529" s="25" t="s">
        <v>455</v>
      </c>
      <c r="J529" s="25"/>
      <c r="K529" s="25"/>
      <c r="L529" s="25"/>
      <c r="M529" s="25"/>
      <c r="N529" s="25"/>
      <c r="O529" s="25"/>
      <c r="P529" s="25"/>
      <c r="Q529" s="25"/>
      <c r="R529" s="25"/>
      <c r="S529" s="25"/>
      <c r="T529" s="25"/>
      <c r="U529" s="25"/>
      <c r="V529" s="25"/>
      <c r="W529" s="25"/>
      <c r="X529" s="25"/>
      <c r="Y529" s="25"/>
      <c r="AC529" s="1461" t="s">
        <v>641</v>
      </c>
      <c r="AD529" s="1418"/>
      <c r="AE529" s="1418"/>
      <c r="AF529" s="1418"/>
      <c r="AG529" s="75" t="s">
        <v>437</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3"/>
      <c r="C530" s="1484"/>
      <c r="D530" s="1484"/>
      <c r="E530" s="1484"/>
      <c r="F530" s="1484"/>
      <c r="G530" s="1484"/>
      <c r="H530" s="1485"/>
      <c r="I530" s="80" t="s">
        <v>456</v>
      </c>
      <c r="J530" s="80"/>
      <c r="K530" s="80"/>
      <c r="L530" s="80"/>
      <c r="M530" s="80"/>
      <c r="N530" s="80"/>
      <c r="O530" s="80"/>
      <c r="P530" s="80"/>
      <c r="Q530" s="80"/>
      <c r="R530" s="80"/>
      <c r="S530" s="80"/>
      <c r="T530" s="80"/>
      <c r="U530" s="80"/>
      <c r="V530" s="80"/>
      <c r="W530" s="80"/>
      <c r="X530" s="80"/>
      <c r="Y530" s="80"/>
      <c r="Z530" s="80"/>
      <c r="AA530" s="80"/>
      <c r="AB530" s="80"/>
      <c r="AC530" s="1461" t="s">
        <v>641</v>
      </c>
      <c r="AD530" s="1418"/>
      <c r="AE530" s="1418"/>
      <c r="AF530" s="1418"/>
      <c r="AG530" s="65" t="s">
        <v>437</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3"/>
      <c r="C531" s="1484"/>
      <c r="D531" s="1484"/>
      <c r="E531" s="1484"/>
      <c r="F531" s="1484"/>
      <c r="G531" s="1484"/>
      <c r="H531" s="1485"/>
      <c r="I531" s="72" t="s">
        <v>610</v>
      </c>
      <c r="J531" s="72"/>
      <c r="K531" s="72"/>
      <c r="L531" s="72"/>
      <c r="M531" s="72"/>
      <c r="N531" s="72"/>
      <c r="O531" s="72"/>
      <c r="P531" s="72"/>
      <c r="Q531" s="72"/>
      <c r="R531" s="72"/>
      <c r="S531" s="72"/>
      <c r="T531" s="72"/>
      <c r="U531" s="72"/>
      <c r="V531" s="72"/>
      <c r="W531" s="72"/>
      <c r="X531" s="25"/>
      <c r="Y531" s="25"/>
      <c r="AC531" s="1461" t="s">
        <v>641</v>
      </c>
      <c r="AD531" s="1418"/>
      <c r="AE531" s="1418"/>
      <c r="AF531" s="1418"/>
      <c r="AG531" s="65" t="s">
        <v>437</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3"/>
      <c r="C532" s="1484"/>
      <c r="D532" s="1484"/>
      <c r="E532" s="1484"/>
      <c r="F532" s="1484"/>
      <c r="G532" s="1484"/>
      <c r="H532" s="1485"/>
      <c r="I532" s="25" t="s">
        <v>611</v>
      </c>
      <c r="J532" s="25"/>
      <c r="K532" s="25"/>
      <c r="L532" s="25"/>
      <c r="M532" s="25"/>
      <c r="N532" s="25"/>
      <c r="O532" s="25"/>
      <c r="P532" s="25"/>
      <c r="Q532" s="25"/>
      <c r="R532" s="25"/>
      <c r="S532" s="25"/>
      <c r="T532" s="25"/>
      <c r="U532" s="25"/>
      <c r="V532" s="25"/>
      <c r="W532" s="25"/>
      <c r="X532" s="25"/>
      <c r="Y532" s="25"/>
      <c r="AC532" s="1461" t="s">
        <v>641</v>
      </c>
      <c r="AD532" s="1418"/>
      <c r="AE532" s="1418"/>
      <c r="AF532" s="1418"/>
      <c r="AG532" s="75" t="s">
        <v>437</v>
      </c>
      <c r="AH532" s="1225"/>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3"/>
      <c r="C533" s="1484"/>
      <c r="D533" s="1484"/>
      <c r="E533" s="1484"/>
      <c r="F533" s="1484"/>
      <c r="G533" s="1484"/>
      <c r="H533" s="1485"/>
      <c r="I533" s="25" t="s">
        <v>612</v>
      </c>
      <c r="J533" s="25"/>
      <c r="K533" s="25"/>
      <c r="L533" s="25"/>
      <c r="M533" s="25"/>
      <c r="N533" s="25"/>
      <c r="O533" s="25"/>
      <c r="P533" s="25"/>
      <c r="Q533" s="25"/>
      <c r="R533" s="25"/>
      <c r="S533" s="25"/>
      <c r="T533" s="25"/>
      <c r="U533" s="25"/>
      <c r="V533" s="25"/>
      <c r="W533" s="25"/>
      <c r="X533" s="25"/>
      <c r="Y533" s="25"/>
      <c r="AC533" s="1461" t="s">
        <v>641</v>
      </c>
      <c r="AD533" s="1418"/>
      <c r="AE533" s="1418"/>
      <c r="AF533" s="1418"/>
      <c r="AG533" s="65" t="s">
        <v>437</v>
      </c>
      <c r="AH533" s="1225"/>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3"/>
      <c r="C534" s="1484"/>
      <c r="D534" s="1484"/>
      <c r="E534" s="1484"/>
      <c r="F534" s="1484"/>
      <c r="G534" s="1484"/>
      <c r="H534" s="1485"/>
      <c r="I534" s="25" t="s">
        <v>613</v>
      </c>
      <c r="J534" s="25"/>
      <c r="K534" s="25"/>
      <c r="L534" s="25"/>
      <c r="M534" s="25"/>
      <c r="N534" s="25"/>
      <c r="O534" s="25"/>
      <c r="P534" s="25"/>
      <c r="Q534" s="25"/>
      <c r="R534" s="25"/>
      <c r="S534" s="25"/>
      <c r="T534" s="25"/>
      <c r="U534" s="25"/>
      <c r="V534" s="25"/>
      <c r="W534" s="25"/>
      <c r="X534" s="25"/>
      <c r="Y534" s="25"/>
      <c r="AC534" s="1461" t="s">
        <v>641</v>
      </c>
      <c r="AD534" s="1418"/>
      <c r="AE534" s="1418"/>
      <c r="AF534" s="1418"/>
      <c r="AG534" s="65" t="s">
        <v>437</v>
      </c>
      <c r="AH534" s="1225"/>
      <c r="AI534" s="1225"/>
      <c r="AJ534" s="1225"/>
      <c r="AK534" s="1226"/>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6"/>
      <c r="C535" s="1487"/>
      <c r="D535" s="1487"/>
      <c r="E535" s="1487"/>
      <c r="F535" s="1487"/>
      <c r="G535" s="1487"/>
      <c r="H535" s="1488"/>
      <c r="I535" s="80" t="s">
        <v>495</v>
      </c>
      <c r="J535" s="80"/>
      <c r="K535" s="80"/>
      <c r="L535" s="80"/>
      <c r="M535" s="80"/>
      <c r="N535" s="80"/>
      <c r="O535" s="80"/>
      <c r="P535" s="80"/>
      <c r="Q535" s="80"/>
      <c r="R535" s="80"/>
      <c r="S535" s="80"/>
      <c r="T535" s="80"/>
      <c r="U535" s="80"/>
      <c r="V535" s="80"/>
      <c r="W535" s="80"/>
      <c r="X535" s="80"/>
      <c r="Y535" s="80"/>
      <c r="Z535" s="80"/>
      <c r="AA535" s="80"/>
      <c r="AB535" s="80"/>
      <c r="AC535" s="1461" t="s">
        <v>641</v>
      </c>
      <c r="AD535" s="1418"/>
      <c r="AE535" s="1418"/>
      <c r="AF535" s="1418"/>
      <c r="AG535" s="65" t="s">
        <v>437</v>
      </c>
      <c r="AH535" s="1225"/>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589</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497</v>
      </c>
      <c r="C544" s="1463"/>
      <c r="D544" s="1463"/>
      <c r="E544" s="1463"/>
      <c r="F544" s="1463"/>
      <c r="G544" s="1463"/>
      <c r="H544" s="1463"/>
      <c r="I544" s="1463"/>
      <c r="J544" s="1463"/>
      <c r="K544" s="1463"/>
      <c r="L544" s="1463"/>
      <c r="M544" s="1463"/>
      <c r="N544" s="1463"/>
      <c r="O544" s="1464"/>
      <c r="P544" s="1462" t="s">
        <v>345</v>
      </c>
      <c r="Q544" s="1463"/>
      <c r="R544" s="1463"/>
      <c r="S544" s="1463"/>
      <c r="T544" s="1464"/>
      <c r="U544" s="1462" t="s">
        <v>498</v>
      </c>
      <c r="V544" s="1463"/>
      <c r="W544" s="1463"/>
      <c r="X544" s="1463"/>
      <c r="Y544" s="1464"/>
      <c r="Z544" s="1522" t="s">
        <v>1423</v>
      </c>
      <c r="AA544" s="1523"/>
      <c r="AB544" s="1523"/>
      <c r="AC544" s="1523"/>
      <c r="AD544" s="1524"/>
      <c r="AE544" s="1462" t="s">
        <v>499</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3" t="s">
        <v>1653</v>
      </c>
      <c r="D545" s="1103"/>
      <c r="E545" s="1103"/>
      <c r="F545" s="1103"/>
      <c r="G545" s="1103"/>
      <c r="H545" s="1103"/>
      <c r="I545" s="1103"/>
      <c r="J545" s="1103"/>
      <c r="K545" s="1103"/>
      <c r="L545" s="1103"/>
      <c r="M545" s="1103"/>
      <c r="N545" s="1103"/>
      <c r="O545" s="1227"/>
      <c r="P545" s="1224">
        <v>21</v>
      </c>
      <c r="Q545" s="1225"/>
      <c r="R545" s="1225"/>
      <c r="S545" s="1225"/>
      <c r="T545" s="1226"/>
      <c r="U545" s="1427">
        <v>3.95E-2</v>
      </c>
      <c r="V545" s="1428"/>
      <c r="W545" s="1428"/>
      <c r="X545" s="1428"/>
      <c r="Y545" s="1429"/>
      <c r="Z545" s="1222" t="s">
        <v>1748</v>
      </c>
      <c r="AA545" s="1222"/>
      <c r="AB545" s="1222"/>
      <c r="AC545" s="1222"/>
      <c r="AD545" s="1223"/>
      <c r="AE545" s="1142">
        <v>38930000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3" t="s">
        <v>1769</v>
      </c>
      <c r="D546" s="1103"/>
      <c r="E546" s="1103"/>
      <c r="F546" s="1103"/>
      <c r="G546" s="1103"/>
      <c r="H546" s="1103"/>
      <c r="I546" s="1103"/>
      <c r="J546" s="1103"/>
      <c r="K546" s="1103"/>
      <c r="L546" s="1103"/>
      <c r="M546" s="1103"/>
      <c r="N546" s="1103"/>
      <c r="O546" s="1227"/>
      <c r="P546" s="1224">
        <v>21</v>
      </c>
      <c r="Q546" s="1225"/>
      <c r="R546" s="1225"/>
      <c r="S546" s="1225"/>
      <c r="T546" s="1226"/>
      <c r="U546" s="1427">
        <v>7.4999999999999997E-3</v>
      </c>
      <c r="V546" s="1428"/>
      <c r="W546" s="1428"/>
      <c r="X546" s="1428"/>
      <c r="Y546" s="1429"/>
      <c r="Z546" s="1222" t="s">
        <v>1748</v>
      </c>
      <c r="AA546" s="1222"/>
      <c r="AB546" s="1222"/>
      <c r="AC546" s="1222"/>
      <c r="AD546" s="1223"/>
      <c r="AE546" s="1142">
        <v>21435638</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3" t="s">
        <v>1753</v>
      </c>
      <c r="D547" s="1103"/>
      <c r="E547" s="1103"/>
      <c r="F547" s="1103"/>
      <c r="G547" s="1103"/>
      <c r="H547" s="1103"/>
      <c r="I547" s="1103"/>
      <c r="J547" s="1103"/>
      <c r="K547" s="1103"/>
      <c r="L547" s="1103"/>
      <c r="M547" s="1103"/>
      <c r="N547" s="1103"/>
      <c r="O547" s="1227"/>
      <c r="P547" s="1224"/>
      <c r="Q547" s="1225"/>
      <c r="R547" s="1225"/>
      <c r="S547" s="1225"/>
      <c r="T547" s="1226"/>
      <c r="U547" s="1427"/>
      <c r="V547" s="1428"/>
      <c r="W547" s="1428"/>
      <c r="X547" s="1428"/>
      <c r="Y547" s="1429"/>
      <c r="Z547" s="1222" t="s">
        <v>641</v>
      </c>
      <c r="AA547" s="1222"/>
      <c r="AB547" s="1222"/>
      <c r="AC547" s="1222"/>
      <c r="AD547" s="1223"/>
      <c r="AE547" s="1142">
        <v>5139970</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3" t="s">
        <v>1754</v>
      </c>
      <c r="D548" s="1103"/>
      <c r="E548" s="1103"/>
      <c r="F548" s="1103"/>
      <c r="G548" s="1103"/>
      <c r="H548" s="1103"/>
      <c r="I548" s="1103"/>
      <c r="J548" s="1103"/>
      <c r="K548" s="1103"/>
      <c r="L548" s="1103"/>
      <c r="M548" s="1103"/>
      <c r="N548" s="1103"/>
      <c r="O548" s="1227"/>
      <c r="P548" s="1224"/>
      <c r="Q548" s="1225"/>
      <c r="R548" s="1225"/>
      <c r="S548" s="1225"/>
      <c r="T548" s="1226"/>
      <c r="U548" s="1427"/>
      <c r="V548" s="1428"/>
      <c r="W548" s="1428"/>
      <c r="X548" s="1428"/>
      <c r="Y548" s="1429"/>
      <c r="Z548" s="1222" t="s">
        <v>641</v>
      </c>
      <c r="AA548" s="1222"/>
      <c r="AB548" s="1222"/>
      <c r="AC548" s="1222"/>
      <c r="AD548" s="1223"/>
      <c r="AE548" s="1142">
        <v>2173372</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3" t="s">
        <v>1755</v>
      </c>
      <c r="D549" s="1103"/>
      <c r="E549" s="1103"/>
      <c r="F549" s="1103"/>
      <c r="G549" s="1103"/>
      <c r="H549" s="1103"/>
      <c r="I549" s="1103"/>
      <c r="J549" s="1103"/>
      <c r="K549" s="1103"/>
      <c r="L549" s="1103"/>
      <c r="M549" s="1103"/>
      <c r="N549" s="1103"/>
      <c r="O549" s="1227"/>
      <c r="P549" s="1224"/>
      <c r="Q549" s="1225"/>
      <c r="R549" s="1225"/>
      <c r="S549" s="1225"/>
      <c r="T549" s="1226"/>
      <c r="U549" s="1427"/>
      <c r="V549" s="1428"/>
      <c r="W549" s="1428"/>
      <c r="X549" s="1428"/>
      <c r="Y549" s="1429"/>
      <c r="Z549" s="1222" t="s">
        <v>641</v>
      </c>
      <c r="AA549" s="1222"/>
      <c r="AB549" s="1222"/>
      <c r="AC549" s="1222"/>
      <c r="AD549" s="1223"/>
      <c r="AE549" s="1142">
        <v>3352922</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3"/>
      <c r="D550" s="1103"/>
      <c r="E550" s="1103"/>
      <c r="F550" s="1103"/>
      <c r="G550" s="1103"/>
      <c r="H550" s="1103"/>
      <c r="I550" s="1103"/>
      <c r="J550" s="1103"/>
      <c r="K550" s="1103"/>
      <c r="L550" s="1103"/>
      <c r="M550" s="1103"/>
      <c r="N550" s="1103"/>
      <c r="O550" s="1227"/>
      <c r="P550" s="1224"/>
      <c r="Q550" s="1225"/>
      <c r="R550" s="1225"/>
      <c r="S550" s="1225"/>
      <c r="T550" s="1226"/>
      <c r="U550" s="1427"/>
      <c r="V550" s="1428"/>
      <c r="W550" s="1428"/>
      <c r="X550" s="1428"/>
      <c r="Y550" s="1429"/>
      <c r="Z550" s="1222" t="s">
        <v>1424</v>
      </c>
      <c r="AA550" s="1222"/>
      <c r="AB550" s="1222"/>
      <c r="AC550" s="1222"/>
      <c r="AD550" s="1223"/>
      <c r="AE550" s="1142"/>
      <c r="AF550" s="1143"/>
      <c r="AG550" s="1143"/>
      <c r="AH550" s="1143"/>
      <c r="AI550" s="1143"/>
      <c r="AJ550" s="1143"/>
      <c r="AK550" s="114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3"/>
      <c r="D551" s="1103"/>
      <c r="E551" s="1103"/>
      <c r="F551" s="1103"/>
      <c r="G551" s="1103"/>
      <c r="H551" s="1103"/>
      <c r="I551" s="1103"/>
      <c r="J551" s="1103"/>
      <c r="K551" s="1103"/>
      <c r="L551" s="1103"/>
      <c r="M551" s="1103"/>
      <c r="N551" s="1103"/>
      <c r="O551" s="1227"/>
      <c r="P551" s="1224"/>
      <c r="Q551" s="1225"/>
      <c r="R551" s="1225"/>
      <c r="S551" s="1225"/>
      <c r="T551" s="1226"/>
      <c r="U551" s="1427"/>
      <c r="V551" s="1428"/>
      <c r="W551" s="1428"/>
      <c r="X551" s="1428"/>
      <c r="Y551" s="1429"/>
      <c r="Z551" s="1222" t="s">
        <v>1424</v>
      </c>
      <c r="AA551" s="1222"/>
      <c r="AB551" s="1222"/>
      <c r="AC551" s="1222"/>
      <c r="AD551" s="1223"/>
      <c r="AE551" s="1142"/>
      <c r="AF551" s="1143"/>
      <c r="AG551" s="1143"/>
      <c r="AH551" s="1143"/>
      <c r="AI551" s="1143"/>
      <c r="AJ551" s="1143"/>
      <c r="AK551" s="114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3"/>
      <c r="D552" s="1103"/>
      <c r="E552" s="1103"/>
      <c r="F552" s="1103"/>
      <c r="G552" s="1103"/>
      <c r="H552" s="1103"/>
      <c r="I552" s="1103"/>
      <c r="J552" s="1103"/>
      <c r="K552" s="1103"/>
      <c r="L552" s="1103"/>
      <c r="M552" s="1103"/>
      <c r="N552" s="1103"/>
      <c r="O552" s="1227"/>
      <c r="P552" s="1224"/>
      <c r="Q552" s="1225"/>
      <c r="R552" s="1225"/>
      <c r="S552" s="1225"/>
      <c r="T552" s="1226"/>
      <c r="U552" s="1427"/>
      <c r="V552" s="1428"/>
      <c r="W552" s="1428"/>
      <c r="X552" s="1428"/>
      <c r="Y552" s="1429"/>
      <c r="Z552" s="1222" t="s">
        <v>1424</v>
      </c>
      <c r="AA552" s="1222"/>
      <c r="AB552" s="1222"/>
      <c r="AC552" s="1222"/>
      <c r="AD552" s="1223"/>
      <c r="AE552" s="1142"/>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3"/>
      <c r="D553" s="1103"/>
      <c r="E553" s="1103"/>
      <c r="F553" s="1103"/>
      <c r="G553" s="1103"/>
      <c r="H553" s="1103"/>
      <c r="I553" s="1103"/>
      <c r="J553" s="1103"/>
      <c r="K553" s="1103"/>
      <c r="L553" s="1103"/>
      <c r="M553" s="1103"/>
      <c r="N553" s="1103"/>
      <c r="O553" s="1227"/>
      <c r="P553" s="1224"/>
      <c r="Q553" s="1225"/>
      <c r="R553" s="1225"/>
      <c r="S553" s="1225"/>
      <c r="T553" s="1226"/>
      <c r="U553" s="1427"/>
      <c r="V553" s="1428"/>
      <c r="W553" s="1428"/>
      <c r="X553" s="1428"/>
      <c r="Y553" s="1429"/>
      <c r="Z553" s="1222" t="s">
        <v>1424</v>
      </c>
      <c r="AA553" s="1222"/>
      <c r="AB553" s="1222"/>
      <c r="AC553" s="1222"/>
      <c r="AD553" s="1223"/>
      <c r="AE553" s="1142"/>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3"/>
      <c r="D554" s="1103"/>
      <c r="E554" s="1103"/>
      <c r="F554" s="1103"/>
      <c r="G554" s="1103"/>
      <c r="H554" s="1103"/>
      <c r="I554" s="1103"/>
      <c r="J554" s="1103"/>
      <c r="K554" s="1103"/>
      <c r="L554" s="1103"/>
      <c r="M554" s="1103"/>
      <c r="N554" s="1103"/>
      <c r="O554" s="1227"/>
      <c r="P554" s="1224"/>
      <c r="Q554" s="1225"/>
      <c r="R554" s="1225"/>
      <c r="S554" s="1225"/>
      <c r="T554" s="1226"/>
      <c r="U554" s="1427"/>
      <c r="V554" s="1428"/>
      <c r="W554" s="1428"/>
      <c r="X554" s="1428"/>
      <c r="Y554" s="1429"/>
      <c r="Z554" s="1222" t="s">
        <v>1424</v>
      </c>
      <c r="AA554" s="1222"/>
      <c r="AB554" s="1222"/>
      <c r="AC554" s="1222"/>
      <c r="AD554" s="1223"/>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3"/>
      <c r="D555" s="1103"/>
      <c r="E555" s="1103"/>
      <c r="F555" s="1103"/>
      <c r="G555" s="1103"/>
      <c r="H555" s="1103"/>
      <c r="I555" s="1103"/>
      <c r="J555" s="1103"/>
      <c r="K555" s="1103"/>
      <c r="L555" s="1103"/>
      <c r="M555" s="1103"/>
      <c r="N555" s="1103"/>
      <c r="O555" s="1227"/>
      <c r="P555" s="1224"/>
      <c r="Q555" s="1225"/>
      <c r="R555" s="1225"/>
      <c r="S555" s="1225"/>
      <c r="T555" s="1226"/>
      <c r="U555" s="1427"/>
      <c r="V555" s="1428"/>
      <c r="W555" s="1428"/>
      <c r="X555" s="1428"/>
      <c r="Y555" s="1429"/>
      <c r="Z555" s="1222" t="s">
        <v>1424</v>
      </c>
      <c r="AA555" s="1222"/>
      <c r="AB555" s="1222"/>
      <c r="AC555" s="1222"/>
      <c r="AD555" s="1223"/>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3"/>
      <c r="D556" s="1103"/>
      <c r="E556" s="1103"/>
      <c r="F556" s="1103"/>
      <c r="G556" s="1103"/>
      <c r="H556" s="1103"/>
      <c r="I556" s="1103"/>
      <c r="J556" s="1103"/>
      <c r="K556" s="1103"/>
      <c r="L556" s="1103"/>
      <c r="M556" s="1103"/>
      <c r="N556" s="1103"/>
      <c r="O556" s="1227"/>
      <c r="P556" s="1224"/>
      <c r="Q556" s="1225"/>
      <c r="R556" s="1225"/>
      <c r="S556" s="1225"/>
      <c r="T556" s="1226"/>
      <c r="U556" s="1427"/>
      <c r="V556" s="1428"/>
      <c r="W556" s="1428"/>
      <c r="X556" s="1428"/>
      <c r="Y556" s="1429"/>
      <c r="Z556" s="1222" t="s">
        <v>1424</v>
      </c>
      <c r="AA556" s="1222"/>
      <c r="AB556" s="1222"/>
      <c r="AC556" s="1222"/>
      <c r="AD556" s="1223"/>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71031902</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0" t="str">
        <f>C545</f>
        <v xml:space="preserve">Citibank, N.A. </v>
      </c>
      <c r="H559" s="1100"/>
      <c r="I559" s="1100"/>
      <c r="J559" s="1100"/>
      <c r="K559" s="1100"/>
      <c r="L559" s="1100"/>
      <c r="M559" s="1100"/>
      <c r="N559" s="1100"/>
      <c r="O559" s="1100"/>
      <c r="P559" s="1100"/>
      <c r="Q559" s="1100"/>
      <c r="R559" s="1100"/>
      <c r="S559" s="14"/>
      <c r="T559" s="87" t="s">
        <v>120</v>
      </c>
      <c r="U559" s="12" t="s">
        <v>509</v>
      </c>
      <c r="Z559" s="1100" t="str">
        <f>C546</f>
        <v>Homes for the Homeless Fund (HHF) Construction Loan</v>
      </c>
      <c r="AA559" s="1100"/>
      <c r="AB559" s="1100"/>
      <c r="AC559" s="1100"/>
      <c r="AD559" s="1100"/>
      <c r="AE559" s="1100"/>
      <c r="AF559" s="1100"/>
      <c r="AG559" s="1100"/>
      <c r="AH559" s="1100"/>
      <c r="AI559" s="1100"/>
      <c r="AJ559" s="1100"/>
      <c r="AK559" s="1100"/>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1727</v>
      </c>
      <c r="H560" s="1098"/>
      <c r="I560" s="1098"/>
      <c r="J560" s="1098"/>
      <c r="K560" s="1098"/>
      <c r="L560" s="1098"/>
      <c r="M560" s="1098"/>
      <c r="N560" s="1098"/>
      <c r="O560" s="1098"/>
      <c r="P560" s="1098"/>
      <c r="Q560" s="1098"/>
      <c r="R560" s="1098"/>
      <c r="S560" s="14"/>
      <c r="T560" s="35"/>
      <c r="U560" s="12" t="s">
        <v>92</v>
      </c>
      <c r="Z560" s="1096" t="s">
        <v>1749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3" t="s">
        <v>1751</v>
      </c>
      <c r="H561" s="1120"/>
      <c r="I561" s="1120"/>
      <c r="J561" s="1120"/>
      <c r="K561" s="1120"/>
      <c r="L561" s="1120"/>
      <c r="M561" s="1120"/>
      <c r="N561" s="1120"/>
      <c r="O561" s="1120"/>
      <c r="P561" s="1120"/>
      <c r="Q561" s="1120"/>
      <c r="R561" s="1120"/>
      <c r="S561" s="88"/>
      <c r="T561" s="35"/>
      <c r="U561" s="12" t="s">
        <v>630</v>
      </c>
      <c r="Z561" s="1096" t="s">
        <v>791</v>
      </c>
      <c r="AA561" s="1098"/>
      <c r="AB561" s="1098"/>
      <c r="AC561" s="1098"/>
      <c r="AD561" s="1098"/>
      <c r="AE561" s="1098"/>
      <c r="AF561" s="1098"/>
      <c r="AG561" s="1098"/>
      <c r="AH561" s="1098"/>
      <c r="AI561" s="1098"/>
      <c r="AJ561" s="1098"/>
      <c r="AK561" s="109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3" t="s">
        <v>1654</v>
      </c>
      <c r="H562" s="1120"/>
      <c r="I562" s="1120"/>
      <c r="J562" s="1120"/>
      <c r="K562" s="1120"/>
      <c r="L562" s="1120"/>
      <c r="M562" s="1120"/>
      <c r="N562" s="1120"/>
      <c r="O562" s="1120"/>
      <c r="P562" s="1120"/>
      <c r="Q562" s="1120"/>
      <c r="R562" s="1120"/>
      <c r="S562" s="14"/>
      <c r="T562" s="35"/>
      <c r="U562" s="12" t="s">
        <v>19</v>
      </c>
      <c r="Z562" s="1096" t="s">
        <v>1784</v>
      </c>
      <c r="AA562" s="1098"/>
      <c r="AB562" s="1098"/>
      <c r="AC562" s="1098"/>
      <c r="AD562" s="1098"/>
      <c r="AE562" s="1098"/>
      <c r="AF562" s="1098"/>
      <c r="AG562" s="1098"/>
      <c r="AH562" s="1098"/>
      <c r="AI562" s="1098"/>
      <c r="AJ562" s="1098"/>
      <c r="AK562" s="109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1" t="s">
        <v>1729</v>
      </c>
      <c r="H563" s="1122"/>
      <c r="I563" s="1122"/>
      <c r="J563" s="1122"/>
      <c r="K563" s="1122"/>
      <c r="L563" s="1122"/>
      <c r="O563" s="140" t="s">
        <v>219</v>
      </c>
      <c r="P563" s="1103"/>
      <c r="Q563" s="1103"/>
      <c r="R563" s="1103"/>
      <c r="S563" s="16"/>
      <c r="T563" s="35"/>
      <c r="U563" s="12" t="s">
        <v>337</v>
      </c>
      <c r="Z563" s="1121"/>
      <c r="AA563" s="1122"/>
      <c r="AB563" s="1122"/>
      <c r="AC563" s="1122"/>
      <c r="AD563" s="1122"/>
      <c r="AE563" s="1122"/>
      <c r="AH563" s="140" t="s">
        <v>219</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1750</v>
      </c>
      <c r="I564" s="1098"/>
      <c r="J564" s="1098"/>
      <c r="K564" s="1098"/>
      <c r="L564" s="1098"/>
      <c r="M564" s="1098"/>
      <c r="N564" s="1098"/>
      <c r="O564" s="1098"/>
      <c r="P564" s="1098"/>
      <c r="Q564" s="1098"/>
      <c r="R564" s="1098"/>
      <c r="S564" s="14"/>
      <c r="T564" s="35"/>
      <c r="U564" s="12" t="s">
        <v>20</v>
      </c>
      <c r="AA564" s="1096" t="s">
        <v>1750</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7"/>
      <c r="N565" s="1527"/>
      <c r="O565" s="1527"/>
      <c r="P565" s="1527"/>
      <c r="Q565" s="1527"/>
      <c r="R565" s="1527"/>
      <c r="S565" s="14"/>
      <c r="T565" s="35"/>
      <c r="U565" s="530" t="s">
        <v>1425</v>
      </c>
      <c r="V565" s="743"/>
      <c r="W565" s="743"/>
      <c r="X565" s="743"/>
      <c r="Y565" s="743"/>
      <c r="Z565" s="743"/>
      <c r="AA565" s="14"/>
      <c r="AB565" s="14"/>
      <c r="AC565" s="14"/>
      <c r="AD565" s="14"/>
      <c r="AE565" s="14"/>
      <c r="AF565" s="1533" t="s">
        <v>1752</v>
      </c>
      <c r="AG565" s="1527"/>
      <c r="AH565" s="1527"/>
      <c r="AI565" s="1527"/>
      <c r="AJ565" s="1527"/>
      <c r="AK565" s="152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591</v>
      </c>
      <c r="O566" s="1099"/>
      <c r="T566" s="35"/>
      <c r="U566" s="12" t="s">
        <v>22</v>
      </c>
      <c r="AG566" s="1099" t="s">
        <v>722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0" t="str">
        <f>C547</f>
        <v>General Partner Capital</v>
      </c>
      <c r="H568" s="1100"/>
      <c r="I568" s="1100"/>
      <c r="J568" s="1100"/>
      <c r="K568" s="1100"/>
      <c r="L568" s="1100"/>
      <c r="M568" s="1100"/>
      <c r="N568" s="1100"/>
      <c r="O568" s="1100"/>
      <c r="P568" s="1100"/>
      <c r="Q568" s="1100"/>
      <c r="R568" s="1100"/>
      <c r="T568" s="87" t="s">
        <v>631</v>
      </c>
      <c r="U568" s="12" t="s">
        <v>509</v>
      </c>
      <c r="Z568" s="1100" t="str">
        <f>C548</f>
        <v xml:space="preserve">Limited Partner Tax Credit Equity </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1675</v>
      </c>
      <c r="H569" s="1098"/>
      <c r="I569" s="1098"/>
      <c r="J569" s="1098"/>
      <c r="K569" s="1098"/>
      <c r="L569" s="1098"/>
      <c r="M569" s="1098"/>
      <c r="N569" s="1098"/>
      <c r="O569" s="1098"/>
      <c r="P569" s="1098"/>
      <c r="Q569" s="1098"/>
      <c r="R569" s="1098"/>
      <c r="T569" s="35"/>
      <c r="U569" s="12" t="s">
        <v>92</v>
      </c>
      <c r="Z569" s="1096" t="s">
        <v>1759</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3" t="s">
        <v>1662</v>
      </c>
      <c r="H570" s="1120"/>
      <c r="I570" s="1120"/>
      <c r="J570" s="1120"/>
      <c r="K570" s="1120"/>
      <c r="L570" s="1120"/>
      <c r="M570" s="1120"/>
      <c r="N570" s="1120"/>
      <c r="O570" s="1120"/>
      <c r="P570" s="1120"/>
      <c r="Q570" s="1120"/>
      <c r="R570" s="1120"/>
      <c r="T570" s="35"/>
      <c r="U570" s="12" t="s">
        <v>630</v>
      </c>
      <c r="Z570" s="1123" t="s">
        <v>1758</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3" t="s">
        <v>1668</v>
      </c>
      <c r="H571" s="1120"/>
      <c r="I571" s="1120"/>
      <c r="J571" s="1120"/>
      <c r="K571" s="1120"/>
      <c r="L571" s="1120"/>
      <c r="M571" s="1120"/>
      <c r="N571" s="1120"/>
      <c r="O571" s="1120"/>
      <c r="P571" s="1120"/>
      <c r="Q571" s="1120"/>
      <c r="R571" s="1120"/>
      <c r="T571" s="35"/>
      <c r="U571" s="12" t="s">
        <v>19</v>
      </c>
      <c r="Z571" s="1123" t="s">
        <v>1654</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1" t="s">
        <v>1756</v>
      </c>
      <c r="H572" s="1102"/>
      <c r="I572" s="1102"/>
      <c r="J572" s="1102"/>
      <c r="K572" s="1102"/>
      <c r="L572" s="1102"/>
      <c r="O572" s="140" t="s">
        <v>219</v>
      </c>
      <c r="P572" s="1103"/>
      <c r="Q572" s="1103"/>
      <c r="R572" s="1103"/>
      <c r="T572" s="35"/>
      <c r="U572" s="12" t="s">
        <v>337</v>
      </c>
      <c r="Z572" s="1101" t="s">
        <v>1729</v>
      </c>
      <c r="AA572" s="1102"/>
      <c r="AB572" s="1102"/>
      <c r="AC572" s="1102"/>
      <c r="AD572" s="1102"/>
      <c r="AE572" s="1102"/>
      <c r="AH572" s="140" t="s">
        <v>219</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1757</v>
      </c>
      <c r="I573" s="1098"/>
      <c r="J573" s="1098"/>
      <c r="K573" s="1098"/>
      <c r="L573" s="1098"/>
      <c r="M573" s="1098"/>
      <c r="N573" s="1098"/>
      <c r="O573" s="1098"/>
      <c r="P573" s="1098"/>
      <c r="Q573" s="1098"/>
      <c r="R573" s="1098"/>
      <c r="T573" s="35"/>
      <c r="U573" s="12" t="s">
        <v>20</v>
      </c>
      <c r="AA573" s="1096" t="s">
        <v>1757</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722</v>
      </c>
      <c r="O574" s="1099"/>
      <c r="T574" s="35"/>
      <c r="U574" s="12" t="s">
        <v>22</v>
      </c>
      <c r="AG574" s="1099" t="s">
        <v>722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0" t="str">
        <f>C549</f>
        <v xml:space="preserve">Costs Deferred Unit Perm Conversion </v>
      </c>
      <c r="H576" s="1100"/>
      <c r="I576" s="1100"/>
      <c r="J576" s="1100"/>
      <c r="K576" s="1100"/>
      <c r="L576" s="1100"/>
      <c r="M576" s="1100"/>
      <c r="N576" s="1100"/>
      <c r="O576" s="1100"/>
      <c r="P576" s="1100"/>
      <c r="Q576" s="1100"/>
      <c r="R576" s="1100"/>
      <c r="T576" s="87" t="s">
        <v>634</v>
      </c>
      <c r="U576" s="12" t="s">
        <v>509</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6"/>
      <c r="H578" s="1098"/>
      <c r="I578" s="1098"/>
      <c r="J578" s="1098"/>
      <c r="K578" s="1098"/>
      <c r="L578" s="1098"/>
      <c r="M578" s="1098"/>
      <c r="N578" s="1098"/>
      <c r="O578" s="1098"/>
      <c r="P578" s="1098"/>
      <c r="Q578" s="1098"/>
      <c r="R578" s="1098"/>
      <c r="T578" s="35"/>
      <c r="U578" s="12" t="s">
        <v>630</v>
      </c>
      <c r="Z578" s="1120"/>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c r="H579" s="1098"/>
      <c r="I579" s="1098"/>
      <c r="J579" s="1098"/>
      <c r="K579" s="1098"/>
      <c r="L579" s="1098"/>
      <c r="M579" s="1098"/>
      <c r="N579" s="1098"/>
      <c r="O579" s="1098"/>
      <c r="P579" s="1098"/>
      <c r="Q579" s="1098"/>
      <c r="R579" s="1098"/>
      <c r="T579" s="35"/>
      <c r="U579" s="12" t="s">
        <v>19</v>
      </c>
      <c r="Z579" s="1120"/>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2"/>
      <c r="H580" s="1102"/>
      <c r="I580" s="1102"/>
      <c r="J580" s="1102"/>
      <c r="K580" s="1102"/>
      <c r="L580" s="1102"/>
      <c r="O580" s="140" t="s">
        <v>219</v>
      </c>
      <c r="P580" s="1103"/>
      <c r="Q580" s="1103"/>
      <c r="R580" s="1103"/>
      <c r="T580" s="35"/>
      <c r="U580" s="12" t="s">
        <v>337</v>
      </c>
      <c r="Z580" s="1102"/>
      <c r="AA580" s="1102"/>
      <c r="AB580" s="1102"/>
      <c r="AC580" s="1102"/>
      <c r="AD580" s="1102"/>
      <c r="AE580" s="1102"/>
      <c r="AH580" s="140" t="s">
        <v>219</v>
      </c>
      <c r="AI580" s="1103"/>
      <c r="AJ580" s="1103"/>
      <c r="AK580" s="1103"/>
    </row>
    <row r="581" spans="1:112" ht="12.75">
      <c r="A581" s="35"/>
      <c r="B581" s="12" t="s">
        <v>20</v>
      </c>
      <c r="H581" s="1098"/>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722</v>
      </c>
      <c r="O582" s="1099"/>
      <c r="T582" s="35"/>
      <c r="U582" s="12" t="s">
        <v>22</v>
      </c>
      <c r="AG582" s="1099" t="s">
        <v>722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0">
        <f>C551</f>
        <v>0</v>
      </c>
      <c r="H584" s="1100"/>
      <c r="I584" s="1100"/>
      <c r="J584" s="1100"/>
      <c r="K584" s="1100"/>
      <c r="L584" s="1100"/>
      <c r="M584" s="1100"/>
      <c r="N584" s="1100"/>
      <c r="O584" s="1100"/>
      <c r="P584" s="1100"/>
      <c r="Q584" s="1100"/>
      <c r="R584" s="1100"/>
      <c r="T584" s="87" t="s">
        <v>501</v>
      </c>
      <c r="U584" s="12" t="s">
        <v>509</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8"/>
      <c r="H586" s="1098"/>
      <c r="I586" s="1098"/>
      <c r="J586" s="1098"/>
      <c r="K586" s="1098"/>
      <c r="L586" s="1098"/>
      <c r="M586" s="1098"/>
      <c r="N586" s="1098"/>
      <c r="O586" s="1098"/>
      <c r="P586" s="1098"/>
      <c r="Q586" s="1098"/>
      <c r="R586" s="1098"/>
      <c r="S586" s="12"/>
      <c r="T586" s="35"/>
      <c r="U586" s="12" t="s">
        <v>630</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2"/>
      <c r="H588" s="1102"/>
      <c r="I588" s="1102"/>
      <c r="J588" s="1102"/>
      <c r="K588" s="1102"/>
      <c r="L588" s="1102"/>
      <c r="M588" s="12"/>
      <c r="N588" s="12"/>
      <c r="O588" s="140" t="s">
        <v>219</v>
      </c>
      <c r="P588" s="1103"/>
      <c r="Q588" s="1103"/>
      <c r="R588" s="1103"/>
      <c r="S588" s="12"/>
      <c r="T588" s="35"/>
      <c r="U588" s="12" t="s">
        <v>337</v>
      </c>
      <c r="V588" s="12"/>
      <c r="W588" s="12"/>
      <c r="X588" s="12"/>
      <c r="Y588" s="12"/>
      <c r="Z588" s="1102"/>
      <c r="AA588" s="1102"/>
      <c r="AB588" s="1102"/>
      <c r="AC588" s="1102"/>
      <c r="AD588" s="1102"/>
      <c r="AE588" s="1102"/>
      <c r="AF588" s="12"/>
      <c r="AG588" s="12"/>
      <c r="AH588" s="140" t="s">
        <v>219</v>
      </c>
      <c r="AI588" s="1103"/>
      <c r="AJ588" s="1103"/>
      <c r="AK588" s="1103"/>
      <c r="AL588" s="12"/>
      <c r="AM588" s="7" t="s">
        <v>346</v>
      </c>
      <c r="AN588" s="58"/>
      <c r="AO588" s="58"/>
      <c r="AP588" s="58"/>
      <c r="AQ588" s="58"/>
      <c r="AR588" s="193" t="s">
        <v>520</v>
      </c>
      <c r="AS588" s="194"/>
      <c r="AT588" s="1134"/>
      <c r="AU588" s="1136"/>
      <c r="AV588" s="193" t="s">
        <v>521</v>
      </c>
      <c r="AW588" s="194"/>
      <c r="AX588" s="1134"/>
      <c r="AY588" s="1136"/>
      <c r="AZ588" s="58"/>
      <c r="BA588" s="1217" t="s">
        <v>683</v>
      </c>
      <c r="BB588" s="1218"/>
      <c r="BC588" s="1218"/>
      <c r="BD588" s="1218"/>
      <c r="BE588" s="1219"/>
      <c r="BF588" s="1203" t="s">
        <v>347</v>
      </c>
      <c r="BG588" s="1203"/>
      <c r="BH588" s="1203"/>
      <c r="BI588" s="1203"/>
      <c r="BJ588" s="1203"/>
      <c r="BK588" s="1203" t="s">
        <v>170</v>
      </c>
      <c r="BL588" s="1203"/>
      <c r="BM588" s="1203"/>
      <c r="BN588" s="1203"/>
      <c r="BO588" s="1203"/>
      <c r="BP588" s="1203" t="s">
        <v>171</v>
      </c>
      <c r="BQ588" s="1203"/>
      <c r="BR588" s="1203"/>
      <c r="BS588" s="1203"/>
      <c r="BT588" s="1203"/>
      <c r="BU588" s="1203" t="s">
        <v>506</v>
      </c>
      <c r="BV588" s="1203"/>
      <c r="BW588" s="1203"/>
      <c r="BX588" s="1203"/>
      <c r="BY588" s="1203"/>
      <c r="BZ588" s="1203" t="s">
        <v>33</v>
      </c>
      <c r="CA588" s="1203"/>
      <c r="CB588" s="1203"/>
      <c r="CC588" s="1203"/>
      <c r="CD588" s="1203"/>
      <c r="CE588" s="1203" t="s">
        <v>683</v>
      </c>
      <c r="CF588" s="1203"/>
      <c r="CG588" s="1203"/>
      <c r="CH588" s="1203"/>
      <c r="CI588" s="1203"/>
      <c r="CJ588" s="1203" t="s">
        <v>347</v>
      </c>
      <c r="CK588" s="1203"/>
      <c r="CL588" s="1203"/>
      <c r="CM588" s="1203"/>
      <c r="CN588" s="1203"/>
      <c r="CO588" s="1203" t="s">
        <v>170</v>
      </c>
      <c r="CP588" s="1203"/>
      <c r="CQ588" s="1203"/>
      <c r="CR588" s="1203"/>
      <c r="CS588" s="1203"/>
      <c r="CT588" s="1203" t="s">
        <v>171</v>
      </c>
      <c r="CU588" s="1203"/>
      <c r="CV588" s="1203"/>
      <c r="CW588" s="1203"/>
      <c r="CX588" s="1203"/>
      <c r="CY588" s="1203" t="s">
        <v>506</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347</v>
      </c>
      <c r="AN589" s="58"/>
      <c r="AO589" s="58"/>
      <c r="AP589" s="58"/>
      <c r="AQ589" s="58"/>
      <c r="AR589" s="1525">
        <f t="shared" ref="AR589:AR613" si="0">IF(AND(AD709&lt;=0.5,AD709&gt;=0.36),1,0)</f>
        <v>1</v>
      </c>
      <c r="AS589" s="1526"/>
      <c r="AT589" s="1134">
        <f t="shared" ref="AT589:AT613" si="1">IF(AR589=1,G709,0)</f>
        <v>44</v>
      </c>
      <c r="AU589" s="1136"/>
      <c r="AV589" s="1525">
        <f t="shared" ref="AV589:AV613" si="2">IF(AND(AD709&lt;=0.35,AD709&gt;0),1,0)</f>
        <v>0</v>
      </c>
      <c r="AW589" s="1526"/>
      <c r="AX589" s="1134">
        <f t="shared" ref="AX589:AX613" si="3">IF(AV589=1,G709,0)</f>
        <v>0</v>
      </c>
      <c r="AY589" s="1136"/>
      <c r="AZ589" s="58"/>
      <c r="BA589" s="1134">
        <f t="shared" ref="BA589:BA613" si="4">IF(B709="SRO/Studio",G709,0)</f>
        <v>44</v>
      </c>
      <c r="BB589" s="1135"/>
      <c r="BC589" s="1135"/>
      <c r="BD589" s="1135"/>
      <c r="BE589" s="1136"/>
      <c r="BF589" s="1200">
        <f t="shared" ref="BF589:BF613" si="5">IF(B709="1 Bedroom",G709,0)</f>
        <v>0</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9" t="s">
        <v>722</v>
      </c>
      <c r="O590" s="1099"/>
      <c r="P590" s="12"/>
      <c r="Q590" s="12"/>
      <c r="R590" s="12"/>
      <c r="S590" s="12"/>
      <c r="T590" s="35"/>
      <c r="U590" s="12" t="s">
        <v>22</v>
      </c>
      <c r="V590" s="12"/>
      <c r="W590" s="12"/>
      <c r="X590" s="12"/>
      <c r="Y590" s="12"/>
      <c r="Z590" s="12"/>
      <c r="AA590" s="12"/>
      <c r="AB590" s="12"/>
      <c r="AC590" s="12"/>
      <c r="AD590" s="12"/>
      <c r="AE590" s="12"/>
      <c r="AF590" s="12"/>
      <c r="AG590" s="1099" t="s">
        <v>722</v>
      </c>
      <c r="AH590" s="1099"/>
      <c r="AI590" s="12"/>
      <c r="AJ590" s="12"/>
      <c r="AK590" s="12"/>
      <c r="AL590" s="12"/>
      <c r="AM590" s="7" t="s">
        <v>170</v>
      </c>
      <c r="AN590" s="58"/>
      <c r="AO590" s="58"/>
      <c r="AP590" s="58"/>
      <c r="AQ590" s="58"/>
      <c r="AR590" s="1525">
        <f t="shared" si="0"/>
        <v>0</v>
      </c>
      <c r="AS590" s="1526"/>
      <c r="AT590" s="1134">
        <f t="shared" si="1"/>
        <v>0</v>
      </c>
      <c r="AU590" s="1136"/>
      <c r="AV590" s="1525">
        <f t="shared" si="2"/>
        <v>0</v>
      </c>
      <c r="AW590" s="1526"/>
      <c r="AX590" s="1134">
        <f t="shared" si="3"/>
        <v>0</v>
      </c>
      <c r="AY590" s="1136"/>
      <c r="AZ590" s="58"/>
      <c r="BA590" s="1134">
        <f t="shared" si="4"/>
        <v>101</v>
      </c>
      <c r="BB590" s="1135"/>
      <c r="BC590" s="1135"/>
      <c r="BD590" s="1135"/>
      <c r="BE590" s="1136"/>
      <c r="BF590" s="1200">
        <f t="shared" si="5"/>
        <v>0</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5">
        <f t="shared" si="0"/>
        <v>0</v>
      </c>
      <c r="AS591" s="1526"/>
      <c r="AT591" s="1134">
        <f t="shared" si="1"/>
        <v>0</v>
      </c>
      <c r="AU591" s="1136"/>
      <c r="AV591" s="1525">
        <f t="shared" si="2"/>
        <v>0</v>
      </c>
      <c r="AW591" s="1526"/>
      <c r="AX591" s="1134">
        <f t="shared" si="3"/>
        <v>0</v>
      </c>
      <c r="AY591" s="1136"/>
      <c r="AZ591" s="58"/>
      <c r="BA591" s="1134">
        <f t="shared" si="4"/>
        <v>0</v>
      </c>
      <c r="BB591" s="1135"/>
      <c r="BC591" s="1135"/>
      <c r="BD591" s="1135"/>
      <c r="BE591" s="1136"/>
      <c r="BF591" s="1200">
        <f t="shared" si="5"/>
        <v>0</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100">
        <f>C553</f>
        <v>0</v>
      </c>
      <c r="H592" s="1100"/>
      <c r="I592" s="1100"/>
      <c r="J592" s="1100"/>
      <c r="K592" s="1100"/>
      <c r="L592" s="1100"/>
      <c r="M592" s="1100"/>
      <c r="N592" s="1100"/>
      <c r="O592" s="1100"/>
      <c r="P592" s="1100"/>
      <c r="Q592" s="1100"/>
      <c r="R592" s="1100"/>
      <c r="T592" s="87" t="s">
        <v>696</v>
      </c>
      <c r="U592" s="12" t="s">
        <v>509</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25">
        <f t="shared" si="0"/>
        <v>0</v>
      </c>
      <c r="AS592" s="1526"/>
      <c r="AT592" s="1134">
        <f t="shared" si="1"/>
        <v>0</v>
      </c>
      <c r="AU592" s="1136"/>
      <c r="AV592" s="1525">
        <f t="shared" si="2"/>
        <v>0</v>
      </c>
      <c r="AW592" s="1526"/>
      <c r="AX592" s="1134">
        <f t="shared" si="3"/>
        <v>0</v>
      </c>
      <c r="AY592" s="1136"/>
      <c r="AZ592" s="58"/>
      <c r="BA592" s="1134">
        <f t="shared" si="4"/>
        <v>0</v>
      </c>
      <c r="BB592" s="1135"/>
      <c r="BC592" s="1135"/>
      <c r="BD592" s="1135"/>
      <c r="BE592" s="1136"/>
      <c r="BF592" s="1200">
        <f t="shared" si="5"/>
        <v>0</v>
      </c>
      <c r="BG592" s="1200"/>
      <c r="BH592" s="1200"/>
      <c r="BI592" s="1200"/>
      <c r="BJ592" s="1200"/>
      <c r="BK592" s="1200">
        <f t="shared" si="6"/>
        <v>0</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25">
        <f t="shared" si="0"/>
        <v>0</v>
      </c>
      <c r="AS593" s="1526"/>
      <c r="AT593" s="1134">
        <f t="shared" si="1"/>
        <v>0</v>
      </c>
      <c r="AU593" s="1136"/>
      <c r="AV593" s="1525">
        <f t="shared" si="2"/>
        <v>0</v>
      </c>
      <c r="AW593" s="1526"/>
      <c r="AX593" s="1134">
        <f t="shared" si="3"/>
        <v>0</v>
      </c>
      <c r="AY593" s="1136"/>
      <c r="AZ593" s="58"/>
      <c r="BA593" s="1134">
        <f t="shared" si="4"/>
        <v>0</v>
      </c>
      <c r="BB593" s="1135"/>
      <c r="BC593" s="1135"/>
      <c r="BD593" s="1135"/>
      <c r="BE593" s="1136"/>
      <c r="BF593" s="1200">
        <f t="shared" si="5"/>
        <v>0</v>
      </c>
      <c r="BG593" s="1200"/>
      <c r="BH593" s="1200"/>
      <c r="BI593" s="1200"/>
      <c r="BJ593" s="1200"/>
      <c r="BK593" s="1200">
        <f t="shared" si="6"/>
        <v>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8"/>
      <c r="H594" s="1098"/>
      <c r="I594" s="1098"/>
      <c r="J594" s="1098"/>
      <c r="K594" s="1098"/>
      <c r="L594" s="1098"/>
      <c r="M594" s="1098"/>
      <c r="N594" s="1098"/>
      <c r="O594" s="1098"/>
      <c r="P594" s="1098"/>
      <c r="Q594" s="1098"/>
      <c r="R594" s="1098"/>
      <c r="T594" s="35"/>
      <c r="U594" s="12" t="s">
        <v>630</v>
      </c>
      <c r="Z594" s="1120"/>
      <c r="AA594" s="1120"/>
      <c r="AB594" s="1120"/>
      <c r="AC594" s="1120"/>
      <c r="AD594" s="1120"/>
      <c r="AE594" s="1120"/>
      <c r="AF594" s="1120"/>
      <c r="AG594" s="1120"/>
      <c r="AH594" s="1120"/>
      <c r="AI594" s="1120"/>
      <c r="AJ594" s="1120"/>
      <c r="AK594" s="1120"/>
      <c r="AM594" s="58"/>
      <c r="AN594" s="58"/>
      <c r="AO594" s="58"/>
      <c r="AP594" s="58"/>
      <c r="AQ594" s="58"/>
      <c r="AR594" s="1525">
        <f t="shared" si="0"/>
        <v>0</v>
      </c>
      <c r="AS594" s="1526"/>
      <c r="AT594" s="1134">
        <f t="shared" si="1"/>
        <v>0</v>
      </c>
      <c r="AU594" s="1136"/>
      <c r="AV594" s="1525">
        <f t="shared" si="2"/>
        <v>0</v>
      </c>
      <c r="AW594" s="1526"/>
      <c r="AX594" s="1134">
        <f t="shared" si="3"/>
        <v>0</v>
      </c>
      <c r="AY594" s="1136"/>
      <c r="AZ594" s="58"/>
      <c r="BA594" s="1134">
        <f t="shared" si="4"/>
        <v>0</v>
      </c>
      <c r="BB594" s="1135"/>
      <c r="BC594" s="1135"/>
      <c r="BD594" s="1135"/>
      <c r="BE594" s="1136"/>
      <c r="BF594" s="1200">
        <f t="shared" si="5"/>
        <v>0</v>
      </c>
      <c r="BG594" s="1200"/>
      <c r="BH594" s="1200"/>
      <c r="BI594" s="1200"/>
      <c r="BJ594" s="1200"/>
      <c r="BK594" s="1200">
        <f t="shared" si="6"/>
        <v>0</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25">
        <f t="shared" si="0"/>
        <v>0</v>
      </c>
      <c r="AS595" s="1526"/>
      <c r="AT595" s="1134">
        <f t="shared" si="1"/>
        <v>0</v>
      </c>
      <c r="AU595" s="1136"/>
      <c r="AV595" s="1525">
        <f t="shared" si="2"/>
        <v>0</v>
      </c>
      <c r="AW595" s="1526"/>
      <c r="AX595" s="1134">
        <f t="shared" si="3"/>
        <v>0</v>
      </c>
      <c r="AY595" s="1136"/>
      <c r="AZ595" s="58"/>
      <c r="BA595" s="1134">
        <f t="shared" si="4"/>
        <v>0</v>
      </c>
      <c r="BB595" s="1135"/>
      <c r="BC595" s="1135"/>
      <c r="BD595" s="1135"/>
      <c r="BE595" s="1136"/>
      <c r="BF595" s="1200">
        <f t="shared" si="5"/>
        <v>0</v>
      </c>
      <c r="BG595" s="1200"/>
      <c r="BH595" s="1200"/>
      <c r="BI595" s="1200"/>
      <c r="BJ595" s="1200"/>
      <c r="BK595" s="1200">
        <f t="shared" si="6"/>
        <v>0</v>
      </c>
      <c r="BL595" s="1200"/>
      <c r="BM595" s="1200"/>
      <c r="BN595" s="1200"/>
      <c r="BO595" s="1200"/>
      <c r="BP595" s="1200">
        <f t="shared" si="7"/>
        <v>0</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337</v>
      </c>
      <c r="G596" s="1102"/>
      <c r="H596" s="1102"/>
      <c r="I596" s="1102"/>
      <c r="J596" s="1102"/>
      <c r="K596" s="1102"/>
      <c r="L596" s="1102"/>
      <c r="O596" s="140" t="s">
        <v>219</v>
      </c>
      <c r="P596" s="1103"/>
      <c r="Q596" s="1103"/>
      <c r="R596" s="1103"/>
      <c r="T596" s="35"/>
      <c r="U596" s="12" t="s">
        <v>337</v>
      </c>
      <c r="Z596" s="1102"/>
      <c r="AA596" s="1102"/>
      <c r="AB596" s="1102"/>
      <c r="AC596" s="1102"/>
      <c r="AD596" s="1102"/>
      <c r="AE596" s="1102"/>
      <c r="AH596" s="140" t="s">
        <v>219</v>
      </c>
      <c r="AI596" s="1103"/>
      <c r="AJ596" s="1103"/>
      <c r="AK596" s="1103"/>
      <c r="AM596" s="58"/>
      <c r="AN596" s="58"/>
      <c r="AO596" s="58"/>
      <c r="AP596" s="58"/>
      <c r="AQ596" s="58"/>
      <c r="AR596" s="1525">
        <f t="shared" si="0"/>
        <v>0</v>
      </c>
      <c r="AS596" s="1526"/>
      <c r="AT596" s="1134">
        <f t="shared" si="1"/>
        <v>0</v>
      </c>
      <c r="AU596" s="1136"/>
      <c r="AV596" s="1525">
        <f t="shared" si="2"/>
        <v>0</v>
      </c>
      <c r="AW596" s="1526"/>
      <c r="AX596" s="1134">
        <f t="shared" si="3"/>
        <v>0</v>
      </c>
      <c r="AY596" s="1136"/>
      <c r="AZ596" s="58"/>
      <c r="BA596" s="1134">
        <f t="shared" si="4"/>
        <v>0</v>
      </c>
      <c r="BB596" s="1135"/>
      <c r="BC596" s="1135"/>
      <c r="BD596" s="1135"/>
      <c r="BE596" s="1136"/>
      <c r="BF596" s="1200">
        <f t="shared" si="5"/>
        <v>0</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25">
        <f t="shared" si="0"/>
        <v>0</v>
      </c>
      <c r="AS597" s="1526"/>
      <c r="AT597" s="1134">
        <f t="shared" si="1"/>
        <v>0</v>
      </c>
      <c r="AU597" s="1136"/>
      <c r="AV597" s="1525">
        <f t="shared" si="2"/>
        <v>0</v>
      </c>
      <c r="AW597" s="1526"/>
      <c r="AX597" s="1134">
        <f t="shared" si="3"/>
        <v>0</v>
      </c>
      <c r="AY597" s="1136"/>
      <c r="AZ597" s="58"/>
      <c r="BA597" s="1134">
        <f t="shared" si="4"/>
        <v>0</v>
      </c>
      <c r="BB597" s="1135"/>
      <c r="BC597" s="1135"/>
      <c r="BD597" s="1135"/>
      <c r="BE597" s="1136"/>
      <c r="BF597" s="1200">
        <f t="shared" si="5"/>
        <v>0</v>
      </c>
      <c r="BG597" s="1200"/>
      <c r="BH597" s="1200"/>
      <c r="BI597" s="1200"/>
      <c r="BJ597" s="1200"/>
      <c r="BK597" s="1200">
        <f t="shared" si="6"/>
        <v>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9" t="s">
        <v>722</v>
      </c>
      <c r="O598" s="1099"/>
      <c r="P598" s="12"/>
      <c r="Q598" s="12"/>
      <c r="R598" s="12"/>
      <c r="S598" s="12"/>
      <c r="T598" s="35"/>
      <c r="U598" s="12" t="s">
        <v>22</v>
      </c>
      <c r="V598" s="12"/>
      <c r="W598" s="12"/>
      <c r="X598" s="12"/>
      <c r="Y598" s="12"/>
      <c r="Z598" s="12"/>
      <c r="AA598" s="12"/>
      <c r="AB598" s="12"/>
      <c r="AC598" s="12"/>
      <c r="AD598" s="12"/>
      <c r="AE598" s="12"/>
      <c r="AF598" s="12"/>
      <c r="AG598" s="1099" t="s">
        <v>722</v>
      </c>
      <c r="AH598" s="1099"/>
      <c r="AI598" s="12"/>
      <c r="AJ598" s="12"/>
      <c r="AK598" s="12"/>
      <c r="AL598" s="12"/>
      <c r="AM598" s="58"/>
      <c r="AN598" s="58"/>
      <c r="AO598" s="58"/>
      <c r="AP598" s="58"/>
      <c r="AQ598" s="58"/>
      <c r="AR598" s="1525">
        <f t="shared" si="0"/>
        <v>0</v>
      </c>
      <c r="AS598" s="1526"/>
      <c r="AT598" s="1134">
        <f t="shared" si="1"/>
        <v>0</v>
      </c>
      <c r="AU598" s="1136"/>
      <c r="AV598" s="1525">
        <f t="shared" si="2"/>
        <v>0</v>
      </c>
      <c r="AW598" s="1526"/>
      <c r="AX598" s="1134">
        <f t="shared" si="3"/>
        <v>0</v>
      </c>
      <c r="AY598" s="1136"/>
      <c r="AZ598" s="58"/>
      <c r="BA598" s="1134">
        <f t="shared" si="4"/>
        <v>0</v>
      </c>
      <c r="BB598" s="1135"/>
      <c r="BC598" s="1135"/>
      <c r="BD598" s="1135"/>
      <c r="BE598" s="1136"/>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5">
        <f t="shared" si="0"/>
        <v>0</v>
      </c>
      <c r="AS599" s="1526"/>
      <c r="AT599" s="1134">
        <f t="shared" si="1"/>
        <v>0</v>
      </c>
      <c r="AU599" s="1136"/>
      <c r="AV599" s="1525">
        <f t="shared" si="2"/>
        <v>0</v>
      </c>
      <c r="AW599" s="1526"/>
      <c r="AX599" s="1134">
        <f t="shared" si="3"/>
        <v>0</v>
      </c>
      <c r="AY599" s="1136"/>
      <c r="AZ599" s="58"/>
      <c r="BA599" s="1134">
        <f t="shared" si="4"/>
        <v>0</v>
      </c>
      <c r="BB599" s="1135"/>
      <c r="BC599" s="1135"/>
      <c r="BD599" s="1135"/>
      <c r="BE599" s="1136"/>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385</v>
      </c>
      <c r="B600" s="12" t="s">
        <v>509</v>
      </c>
      <c r="G600" s="1100">
        <f>C555</f>
        <v>0</v>
      </c>
      <c r="H600" s="1100"/>
      <c r="I600" s="1100"/>
      <c r="J600" s="1100"/>
      <c r="K600" s="1100"/>
      <c r="L600" s="1100"/>
      <c r="M600" s="1100"/>
      <c r="N600" s="1100"/>
      <c r="O600" s="1100"/>
      <c r="P600" s="1100"/>
      <c r="Q600" s="1100"/>
      <c r="R600" s="1100"/>
      <c r="T600" s="87" t="s">
        <v>386</v>
      </c>
      <c r="U600" s="12" t="s">
        <v>509</v>
      </c>
      <c r="Z600" s="1100">
        <f>C556</f>
        <v>0</v>
      </c>
      <c r="AA600" s="1100"/>
      <c r="AB600" s="1100"/>
      <c r="AC600" s="1100"/>
      <c r="AD600" s="1100"/>
      <c r="AE600" s="1100"/>
      <c r="AF600" s="1100"/>
      <c r="AG600" s="1100"/>
      <c r="AH600" s="1100"/>
      <c r="AI600" s="1100"/>
      <c r="AJ600" s="1100"/>
      <c r="AK600" s="1100"/>
      <c r="AM600" s="58"/>
      <c r="AN600" s="58"/>
      <c r="AO600" s="58"/>
      <c r="AP600" s="58"/>
      <c r="AQ600" s="58"/>
      <c r="AR600" s="1525">
        <f t="shared" si="0"/>
        <v>0</v>
      </c>
      <c r="AS600" s="1526"/>
      <c r="AT600" s="1134">
        <f t="shared" si="1"/>
        <v>0</v>
      </c>
      <c r="AU600" s="1136"/>
      <c r="AV600" s="1525">
        <f t="shared" si="2"/>
        <v>0</v>
      </c>
      <c r="AW600" s="1526"/>
      <c r="AX600" s="1134">
        <f t="shared" si="3"/>
        <v>0</v>
      </c>
      <c r="AY600" s="1136"/>
      <c r="AZ600" s="58"/>
      <c r="BA600" s="1134">
        <f t="shared" si="4"/>
        <v>0</v>
      </c>
      <c r="BB600" s="1135"/>
      <c r="BC600" s="1135"/>
      <c r="BD600" s="1135"/>
      <c r="BE600" s="1136"/>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25">
        <f t="shared" si="0"/>
        <v>0</v>
      </c>
      <c r="AS601" s="1526"/>
      <c r="AT601" s="1134">
        <f t="shared" si="1"/>
        <v>0</v>
      </c>
      <c r="AU601" s="1136"/>
      <c r="AV601" s="1525">
        <f t="shared" si="2"/>
        <v>0</v>
      </c>
      <c r="AW601" s="1526"/>
      <c r="AX601" s="1134">
        <f t="shared" si="3"/>
        <v>0</v>
      </c>
      <c r="AY601" s="1136"/>
      <c r="AZ601" s="58"/>
      <c r="BA601" s="1134">
        <f t="shared" si="4"/>
        <v>0</v>
      </c>
      <c r="BB601" s="1135"/>
      <c r="BC601" s="1135"/>
      <c r="BD601" s="1135"/>
      <c r="BE601" s="1136"/>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8"/>
      <c r="H602" s="1098"/>
      <c r="I602" s="1098"/>
      <c r="J602" s="1098"/>
      <c r="K602" s="1098"/>
      <c r="L602" s="1098"/>
      <c r="M602" s="1098"/>
      <c r="N602" s="1098"/>
      <c r="O602" s="1098"/>
      <c r="P602" s="1098"/>
      <c r="Q602" s="1098"/>
      <c r="R602" s="1098"/>
      <c r="U602" s="12" t="s">
        <v>630</v>
      </c>
      <c r="Z602" s="1120"/>
      <c r="AA602" s="1120"/>
      <c r="AB602" s="1120"/>
      <c r="AC602" s="1120"/>
      <c r="AD602" s="1120"/>
      <c r="AE602" s="1120"/>
      <c r="AF602" s="1120"/>
      <c r="AG602" s="1120"/>
      <c r="AH602" s="1120"/>
      <c r="AI602" s="1120"/>
      <c r="AJ602" s="1120"/>
      <c r="AK602" s="1120"/>
      <c r="AM602" s="58"/>
      <c r="AN602" s="58"/>
      <c r="AO602" s="58"/>
      <c r="AP602" s="58"/>
      <c r="AQ602" s="58"/>
      <c r="AR602" s="1525">
        <f t="shared" si="0"/>
        <v>0</v>
      </c>
      <c r="AS602" s="1526"/>
      <c r="AT602" s="1134">
        <f t="shared" si="1"/>
        <v>0</v>
      </c>
      <c r="AU602" s="1136"/>
      <c r="AV602" s="1525">
        <f t="shared" si="2"/>
        <v>0</v>
      </c>
      <c r="AW602" s="1526"/>
      <c r="AX602" s="1134">
        <f t="shared" si="3"/>
        <v>0</v>
      </c>
      <c r="AY602" s="1136"/>
      <c r="AZ602" s="58"/>
      <c r="BA602" s="1134">
        <f t="shared" si="4"/>
        <v>0</v>
      </c>
      <c r="BB602" s="1135"/>
      <c r="BC602" s="1135"/>
      <c r="BD602" s="1135"/>
      <c r="BE602" s="1136"/>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25">
        <f t="shared" si="0"/>
        <v>0</v>
      </c>
      <c r="AS603" s="1526"/>
      <c r="AT603" s="1134">
        <f t="shared" si="1"/>
        <v>0</v>
      </c>
      <c r="AU603" s="1136"/>
      <c r="AV603" s="1525">
        <f t="shared" si="2"/>
        <v>0</v>
      </c>
      <c r="AW603" s="1526"/>
      <c r="AX603" s="1134">
        <f t="shared" si="3"/>
        <v>0</v>
      </c>
      <c r="AY603" s="1136"/>
      <c r="AZ603" s="58"/>
      <c r="BA603" s="1134">
        <f t="shared" si="4"/>
        <v>0</v>
      </c>
      <c r="BB603" s="1135"/>
      <c r="BC603" s="1135"/>
      <c r="BD603" s="1135"/>
      <c r="BE603" s="1136"/>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337</v>
      </c>
      <c r="G604" s="1102"/>
      <c r="H604" s="1102"/>
      <c r="I604" s="1102"/>
      <c r="J604" s="1102"/>
      <c r="K604" s="1102"/>
      <c r="L604" s="1102"/>
      <c r="O604" s="140" t="s">
        <v>219</v>
      </c>
      <c r="P604" s="1103"/>
      <c r="Q604" s="1103"/>
      <c r="R604" s="1103"/>
      <c r="U604" s="12" t="s">
        <v>337</v>
      </c>
      <c r="Z604" s="1102"/>
      <c r="AA604" s="1102"/>
      <c r="AB604" s="1102"/>
      <c r="AC604" s="1102"/>
      <c r="AD604" s="1102"/>
      <c r="AE604" s="1102"/>
      <c r="AH604" s="140" t="s">
        <v>219</v>
      </c>
      <c r="AI604" s="1103"/>
      <c r="AJ604" s="1103"/>
      <c r="AK604" s="1103"/>
      <c r="AM604" s="58"/>
      <c r="AN604" s="58"/>
      <c r="AO604" s="58"/>
      <c r="AP604" s="58"/>
      <c r="AQ604" s="58"/>
      <c r="AR604" s="1525">
        <f t="shared" si="0"/>
        <v>0</v>
      </c>
      <c r="AS604" s="1526"/>
      <c r="AT604" s="1134">
        <f t="shared" si="1"/>
        <v>0</v>
      </c>
      <c r="AU604" s="1136"/>
      <c r="AV604" s="1525">
        <f t="shared" si="2"/>
        <v>0</v>
      </c>
      <c r="AW604" s="1526"/>
      <c r="AX604" s="1134">
        <f t="shared" si="3"/>
        <v>0</v>
      </c>
      <c r="AY604" s="1136"/>
      <c r="AZ604" s="58"/>
      <c r="BA604" s="1134">
        <f t="shared" si="4"/>
        <v>0</v>
      </c>
      <c r="BB604" s="1135"/>
      <c r="BC604" s="1135"/>
      <c r="BD604" s="1135"/>
      <c r="BE604" s="1136"/>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25">
        <f t="shared" si="0"/>
        <v>0</v>
      </c>
      <c r="AS605" s="1526"/>
      <c r="AT605" s="1134">
        <f t="shared" si="1"/>
        <v>0</v>
      </c>
      <c r="AU605" s="1136"/>
      <c r="AV605" s="1525">
        <f t="shared" si="2"/>
        <v>0</v>
      </c>
      <c r="AW605" s="1526"/>
      <c r="AX605" s="1134">
        <f t="shared" si="3"/>
        <v>0</v>
      </c>
      <c r="AY605" s="1136"/>
      <c r="AZ605" s="58"/>
      <c r="BA605" s="1134">
        <f t="shared" si="4"/>
        <v>0</v>
      </c>
      <c r="BB605" s="1135"/>
      <c r="BC605" s="1135"/>
      <c r="BD605" s="1135"/>
      <c r="BE605" s="1136"/>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9" t="s">
        <v>722</v>
      </c>
      <c r="O606" s="1099"/>
      <c r="U606" s="12" t="s">
        <v>22</v>
      </c>
      <c r="AG606" s="1099" t="s">
        <v>722</v>
      </c>
      <c r="AH606" s="1099"/>
      <c r="AM606" s="58"/>
      <c r="AN606" s="58"/>
      <c r="AO606" s="58"/>
      <c r="AP606" s="58"/>
      <c r="AQ606" s="58"/>
      <c r="AR606" s="1525">
        <f t="shared" si="0"/>
        <v>0</v>
      </c>
      <c r="AS606" s="1526"/>
      <c r="AT606" s="1134">
        <f t="shared" si="1"/>
        <v>0</v>
      </c>
      <c r="AU606" s="1136"/>
      <c r="AV606" s="1525">
        <f t="shared" si="2"/>
        <v>0</v>
      </c>
      <c r="AW606" s="1526"/>
      <c r="AX606" s="1134">
        <f t="shared" si="3"/>
        <v>0</v>
      </c>
      <c r="AY606" s="1136"/>
      <c r="AZ606" s="58"/>
      <c r="BA606" s="1134">
        <f t="shared" si="4"/>
        <v>0</v>
      </c>
      <c r="BB606" s="1135"/>
      <c r="BC606" s="1135"/>
      <c r="BD606" s="1135"/>
      <c r="BE606" s="1136"/>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5">
        <f t="shared" si="0"/>
        <v>0</v>
      </c>
      <c r="AS607" s="1526"/>
      <c r="AT607" s="1134">
        <f t="shared" si="1"/>
        <v>0</v>
      </c>
      <c r="AU607" s="1136"/>
      <c r="AV607" s="1525">
        <f t="shared" si="2"/>
        <v>0</v>
      </c>
      <c r="AW607" s="1526"/>
      <c r="AX607" s="1134">
        <f t="shared" si="3"/>
        <v>0</v>
      </c>
      <c r="AY607" s="1136"/>
      <c r="AZ607" s="58"/>
      <c r="BA607" s="1134">
        <f t="shared" si="4"/>
        <v>0</v>
      </c>
      <c r="BB607" s="1135"/>
      <c r="BC607" s="1135"/>
      <c r="BD607" s="1135"/>
      <c r="BE607" s="1136"/>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3" t="s">
        <v>590</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25">
        <f t="shared" si="0"/>
        <v>0</v>
      </c>
      <c r="AS608" s="1526"/>
      <c r="AT608" s="1134">
        <f t="shared" si="1"/>
        <v>0</v>
      </c>
      <c r="AU608" s="1136"/>
      <c r="AV608" s="1525">
        <f t="shared" si="2"/>
        <v>0</v>
      </c>
      <c r="AW608" s="1526"/>
      <c r="AX608" s="1134">
        <f t="shared" si="3"/>
        <v>0</v>
      </c>
      <c r="AY608" s="1136"/>
      <c r="AZ608" s="58"/>
      <c r="BA608" s="1134">
        <f t="shared" si="4"/>
        <v>0</v>
      </c>
      <c r="BB608" s="1135"/>
      <c r="BC608" s="1135"/>
      <c r="BD608" s="1135"/>
      <c r="BE608" s="1136"/>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5">
        <f t="shared" si="0"/>
        <v>0</v>
      </c>
      <c r="AS609" s="1526"/>
      <c r="AT609" s="1134">
        <f t="shared" si="1"/>
        <v>0</v>
      </c>
      <c r="AU609" s="1136"/>
      <c r="AV609" s="1525">
        <f t="shared" si="2"/>
        <v>0</v>
      </c>
      <c r="AW609" s="1526"/>
      <c r="AX609" s="1134">
        <f t="shared" si="3"/>
        <v>0</v>
      </c>
      <c r="AY609" s="1136"/>
      <c r="AZ609" s="58"/>
      <c r="BA609" s="1134">
        <f t="shared" si="4"/>
        <v>0</v>
      </c>
      <c r="BB609" s="1135"/>
      <c r="BC609" s="1135"/>
      <c r="BD609" s="1135"/>
      <c r="BE609" s="1136"/>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5">
        <f t="shared" si="0"/>
        <v>0</v>
      </c>
      <c r="AS610" s="1526"/>
      <c r="AT610" s="1134">
        <f t="shared" si="1"/>
        <v>0</v>
      </c>
      <c r="AU610" s="1136"/>
      <c r="AV610" s="1525">
        <f t="shared" si="2"/>
        <v>0</v>
      </c>
      <c r="AW610" s="1526"/>
      <c r="AX610" s="1134">
        <f t="shared" si="3"/>
        <v>0</v>
      </c>
      <c r="AY610" s="1136"/>
      <c r="AZ610" s="58"/>
      <c r="BA610" s="1134">
        <f t="shared" si="4"/>
        <v>0</v>
      </c>
      <c r="BB610" s="1135"/>
      <c r="BC610" s="1135"/>
      <c r="BD610" s="1135"/>
      <c r="BE610" s="1136"/>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340</v>
      </c>
      <c r="B611" s="50"/>
      <c r="C611" s="50" t="s">
        <v>23</v>
      </c>
      <c r="AM611" s="58"/>
      <c r="AN611" s="58"/>
      <c r="AO611" s="58"/>
      <c r="AP611" s="58"/>
      <c r="AQ611" s="58"/>
      <c r="AR611" s="1525">
        <f t="shared" si="0"/>
        <v>0</v>
      </c>
      <c r="AS611" s="1526"/>
      <c r="AT611" s="1134">
        <f t="shared" si="1"/>
        <v>0</v>
      </c>
      <c r="AU611" s="1136"/>
      <c r="AV611" s="1525">
        <f t="shared" si="2"/>
        <v>0</v>
      </c>
      <c r="AW611" s="1526"/>
      <c r="AX611" s="1134">
        <f t="shared" si="3"/>
        <v>0</v>
      </c>
      <c r="AY611" s="1136"/>
      <c r="AZ611" s="58"/>
      <c r="BA611" s="1134">
        <f t="shared" si="4"/>
        <v>0</v>
      </c>
      <c r="BB611" s="1135"/>
      <c r="BC611" s="1135"/>
      <c r="BD611" s="1135"/>
      <c r="BE611" s="1136"/>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5">
        <f t="shared" si="0"/>
        <v>0</v>
      </c>
      <c r="AS612" s="1526"/>
      <c r="AT612" s="1134">
        <f t="shared" si="1"/>
        <v>0</v>
      </c>
      <c r="AU612" s="1136"/>
      <c r="AV612" s="1525">
        <f t="shared" si="2"/>
        <v>0</v>
      </c>
      <c r="AW612" s="1526"/>
      <c r="AX612" s="1134">
        <f t="shared" si="3"/>
        <v>0</v>
      </c>
      <c r="AY612" s="1136"/>
      <c r="AZ612" s="58"/>
      <c r="BA612" s="1134">
        <f t="shared" si="4"/>
        <v>0</v>
      </c>
      <c r="BB612" s="1135"/>
      <c r="BC612" s="1135"/>
      <c r="BD612" s="1135"/>
      <c r="BE612" s="1136"/>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5">
        <f t="shared" si="0"/>
        <v>0</v>
      </c>
      <c r="AS613" s="1526"/>
      <c r="AT613" s="1134">
        <f t="shared" si="1"/>
        <v>0</v>
      </c>
      <c r="AU613" s="1136"/>
      <c r="AV613" s="1525">
        <f t="shared" si="2"/>
        <v>0</v>
      </c>
      <c r="AW613" s="1526"/>
      <c r="AX613" s="1134">
        <f t="shared" si="3"/>
        <v>0</v>
      </c>
      <c r="AY613" s="1136"/>
      <c r="AZ613" s="58"/>
      <c r="BA613" s="1134">
        <f t="shared" si="4"/>
        <v>0</v>
      </c>
      <c r="BB613" s="1135"/>
      <c r="BC613" s="1135"/>
      <c r="BD613" s="1135"/>
      <c r="BE613" s="1136"/>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5">
        <f>SUM(AT589:AU613)</f>
        <v>44</v>
      </c>
      <c r="AU614" s="1526"/>
      <c r="AV614" s="58"/>
      <c r="AW614" s="58"/>
      <c r="AX614" s="1525">
        <f>SUM(AX589:AY613)</f>
        <v>0</v>
      </c>
      <c r="AY614" s="1526"/>
      <c r="AZ614" s="58"/>
      <c r="BA614" s="1525">
        <f>SUM(BA589:BE613)</f>
        <v>145</v>
      </c>
      <c r="BB614" s="1534"/>
      <c r="BC614" s="1534"/>
      <c r="BD614" s="1534"/>
      <c r="BE614" s="1526"/>
      <c r="BF614" s="1213">
        <f>SUM(BF589:BJ613)</f>
        <v>0</v>
      </c>
      <c r="BG614" s="1213"/>
      <c r="BH614" s="1213"/>
      <c r="BI614" s="1213"/>
      <c r="BJ614" s="1213"/>
      <c r="BK614" s="1213">
        <f>SUM(BK589:BO613)</f>
        <v>0</v>
      </c>
      <c r="BL614" s="1213"/>
      <c r="BM614" s="1213"/>
      <c r="BN614" s="1213"/>
      <c r="BO614" s="1213"/>
      <c r="BP614" s="1213">
        <f>SUM(BP589:BT613)</f>
        <v>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3" t="s">
        <v>497</v>
      </c>
      <c r="C615" s="1434"/>
      <c r="D615" s="1434"/>
      <c r="E615" s="1434"/>
      <c r="F615" s="1434"/>
      <c r="G615" s="1434"/>
      <c r="H615" s="1434"/>
      <c r="I615" s="1434"/>
      <c r="J615" s="1434"/>
      <c r="K615" s="1434"/>
      <c r="L615" s="1434"/>
      <c r="M615" s="1434"/>
      <c r="N615" s="1434"/>
      <c r="O615" s="1435"/>
      <c r="P615" s="1442" t="s">
        <v>345</v>
      </c>
      <c r="Q615" s="1443"/>
      <c r="R615" s="1444"/>
      <c r="S615" s="1540" t="s">
        <v>498</v>
      </c>
      <c r="T615" s="1541"/>
      <c r="U615" s="1542"/>
      <c r="V615" s="1432" t="s">
        <v>18</v>
      </c>
      <c r="W615" s="1432"/>
      <c r="X615" s="1432"/>
      <c r="Y615" s="1432"/>
      <c r="Z615" s="1432"/>
      <c r="AA615" s="1432"/>
      <c r="AB615" s="1432" t="s">
        <v>17</v>
      </c>
      <c r="AC615" s="1432"/>
      <c r="AD615" s="1432"/>
      <c r="AE615" s="1432"/>
      <c r="AF615" s="1432"/>
      <c r="AG615" s="1432" t="s">
        <v>499</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43"/>
      <c r="T616" s="1544"/>
      <c r="U616" s="1545"/>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6"/>
      <c r="T617" s="1547"/>
      <c r="U617" s="1548"/>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1</v>
      </c>
      <c r="BG617" s="1200"/>
      <c r="BH617" s="1200"/>
      <c r="BI617" s="1200"/>
      <c r="BJ617" s="1200"/>
      <c r="BK617" s="1200">
        <f>IF(J754="2 Bedrooms",O754,0)</f>
        <v>0</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23" t="s">
        <v>1776</v>
      </c>
      <c r="D618" s="1430"/>
      <c r="E618" s="1430"/>
      <c r="F618" s="1430"/>
      <c r="G618" s="1430"/>
      <c r="H618" s="1430"/>
      <c r="I618" s="1430"/>
      <c r="J618" s="1430"/>
      <c r="K618" s="1430"/>
      <c r="L618" s="1430"/>
      <c r="M618" s="1430"/>
      <c r="N618" s="1430"/>
      <c r="O618" s="1431"/>
      <c r="P618" s="1224">
        <f>30*12</f>
        <v>360</v>
      </c>
      <c r="Q618" s="1225"/>
      <c r="R618" s="1226"/>
      <c r="S618" s="1221">
        <v>2.7E-2</v>
      </c>
      <c r="T618" s="1222"/>
      <c r="U618" s="1223"/>
      <c r="V618" s="1224"/>
      <c r="W618" s="1225"/>
      <c r="X618" s="1225"/>
      <c r="Y618" s="1225"/>
      <c r="Z618" s="1225"/>
      <c r="AA618" s="1226"/>
      <c r="AB618" s="1228">
        <v>1667298</v>
      </c>
      <c r="AC618" s="1228"/>
      <c r="AD618" s="1228"/>
      <c r="AE618" s="1228"/>
      <c r="AF618" s="1228"/>
      <c r="AG618" s="1228">
        <v>34256000</v>
      </c>
      <c r="AH618" s="1228"/>
      <c r="AI618" s="1228"/>
      <c r="AJ618" s="1228"/>
      <c r="AK618" s="1228"/>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23" t="s">
        <v>1770</v>
      </c>
      <c r="D619" s="1103"/>
      <c r="E619" s="1103"/>
      <c r="F619" s="1103"/>
      <c r="G619" s="1103"/>
      <c r="H619" s="1103"/>
      <c r="I619" s="1103"/>
      <c r="J619" s="1103"/>
      <c r="K619" s="1103"/>
      <c r="L619" s="1103"/>
      <c r="M619" s="1103"/>
      <c r="N619" s="1103"/>
      <c r="O619" s="1227"/>
      <c r="P619" s="1224">
        <f>55*12</f>
        <v>660</v>
      </c>
      <c r="Q619" s="1225"/>
      <c r="R619" s="1226"/>
      <c r="S619" s="1221">
        <v>1.0000000000000001E-17</v>
      </c>
      <c r="T619" s="1222"/>
      <c r="U619" s="1223"/>
      <c r="V619" s="1224" t="s">
        <v>503</v>
      </c>
      <c r="W619" s="1225"/>
      <c r="X619" s="1225"/>
      <c r="Y619" s="1225"/>
      <c r="Z619" s="1225"/>
      <c r="AA619" s="1226"/>
      <c r="AB619" s="1228"/>
      <c r="AC619" s="1228"/>
      <c r="AD619" s="1228"/>
      <c r="AE619" s="1228"/>
      <c r="AF619" s="1228"/>
      <c r="AG619" s="1228">
        <v>7787208</v>
      </c>
      <c r="AH619" s="1228"/>
      <c r="AI619" s="1228"/>
      <c r="AJ619" s="1228"/>
      <c r="AK619" s="1228"/>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03" t="str">
        <f>C547</f>
        <v>General Partner Capital</v>
      </c>
      <c r="D620" s="1103"/>
      <c r="E620" s="1103"/>
      <c r="F620" s="1103"/>
      <c r="G620" s="1103"/>
      <c r="H620" s="1103"/>
      <c r="I620" s="1103"/>
      <c r="J620" s="1103"/>
      <c r="K620" s="1103"/>
      <c r="L620" s="1103"/>
      <c r="M620" s="1103"/>
      <c r="N620" s="1103"/>
      <c r="O620" s="1227"/>
      <c r="P620" s="1224"/>
      <c r="Q620" s="1225"/>
      <c r="R620" s="1226"/>
      <c r="S620" s="1221"/>
      <c r="T620" s="1222"/>
      <c r="U620" s="1223"/>
      <c r="V620" s="1224"/>
      <c r="W620" s="1225"/>
      <c r="X620" s="1225"/>
      <c r="Y620" s="1225"/>
      <c r="Z620" s="1225"/>
      <c r="AA620" s="1226"/>
      <c r="AB620" s="1228"/>
      <c r="AC620" s="1228"/>
      <c r="AD620" s="1228"/>
      <c r="AE620" s="1228"/>
      <c r="AF620" s="1228"/>
      <c r="AG620" s="1228">
        <f>AE547</f>
        <v>5139970</v>
      </c>
      <c r="AH620" s="1228"/>
      <c r="AI620" s="1228"/>
      <c r="AJ620" s="1228"/>
      <c r="AK620" s="1228"/>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631</v>
      </c>
      <c r="C621" s="1103"/>
      <c r="D621" s="1103"/>
      <c r="E621" s="1103"/>
      <c r="F621" s="1103"/>
      <c r="G621" s="1103"/>
      <c r="H621" s="1103"/>
      <c r="I621" s="1103"/>
      <c r="J621" s="1103"/>
      <c r="K621" s="1103"/>
      <c r="L621" s="1103"/>
      <c r="M621" s="1103"/>
      <c r="N621" s="1103"/>
      <c r="O621" s="1227"/>
      <c r="P621" s="1224"/>
      <c r="Q621" s="1225"/>
      <c r="R621" s="1226"/>
      <c r="S621" s="1221"/>
      <c r="T621" s="1222"/>
      <c r="U621" s="1223"/>
      <c r="V621" s="1224"/>
      <c r="W621" s="1225"/>
      <c r="X621" s="1225"/>
      <c r="Y621" s="1225"/>
      <c r="Z621" s="1225"/>
      <c r="AA621" s="1226"/>
      <c r="AB621" s="1228"/>
      <c r="AC621" s="1228"/>
      <c r="AD621" s="1228"/>
      <c r="AE621" s="1228"/>
      <c r="AF621" s="1228"/>
      <c r="AG621" s="1228"/>
      <c r="AH621" s="1228"/>
      <c r="AI621" s="1228"/>
      <c r="AJ621" s="1228"/>
      <c r="AK621" s="1228"/>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1</v>
      </c>
      <c r="BG621" s="1138"/>
      <c r="BH621" s="1138"/>
      <c r="BI621" s="1138"/>
      <c r="BJ621" s="1139"/>
      <c r="BK621" s="1137">
        <f>SUM(BK617:BO620)</f>
        <v>0</v>
      </c>
      <c r="BL621" s="1138"/>
      <c r="BM621" s="1138"/>
      <c r="BN621" s="1138"/>
      <c r="BO621" s="1139"/>
      <c r="BP621" s="1137">
        <f>SUM(BP617:BT620)</f>
        <v>0</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841</v>
      </c>
      <c r="C622" s="1103"/>
      <c r="D622" s="1103"/>
      <c r="E622" s="1103"/>
      <c r="F622" s="1103"/>
      <c r="G622" s="1103"/>
      <c r="H622" s="1103"/>
      <c r="I622" s="1103"/>
      <c r="J622" s="1103"/>
      <c r="K622" s="1103"/>
      <c r="L622" s="1103"/>
      <c r="M622" s="1103"/>
      <c r="N622" s="1103"/>
      <c r="O622" s="1227"/>
      <c r="P622" s="1224"/>
      <c r="Q622" s="1225"/>
      <c r="R622" s="1226"/>
      <c r="S622" s="1221"/>
      <c r="T622" s="1222"/>
      <c r="U622" s="1223"/>
      <c r="V622" s="1224"/>
      <c r="W622" s="1225"/>
      <c r="X622" s="1225"/>
      <c r="Y622" s="1225"/>
      <c r="Z622" s="1225"/>
      <c r="AA622" s="1226"/>
      <c r="AB622" s="1228"/>
      <c r="AC622" s="1228"/>
      <c r="AD622" s="1228"/>
      <c r="AE622" s="1228"/>
      <c r="AF622" s="1228"/>
      <c r="AG622" s="1228"/>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3"/>
      <c r="D623" s="1103"/>
      <c r="E623" s="1103"/>
      <c r="F623" s="1103"/>
      <c r="G623" s="1103"/>
      <c r="H623" s="1103"/>
      <c r="I623" s="1103"/>
      <c r="J623" s="1103"/>
      <c r="K623" s="1103"/>
      <c r="L623" s="1103"/>
      <c r="M623" s="1103"/>
      <c r="N623" s="1103"/>
      <c r="O623" s="1227"/>
      <c r="P623" s="1224"/>
      <c r="Q623" s="1225"/>
      <c r="R623" s="1226"/>
      <c r="S623" s="1221"/>
      <c r="T623" s="1222"/>
      <c r="U623" s="1223"/>
      <c r="V623" s="1224"/>
      <c r="W623" s="1225"/>
      <c r="X623" s="1225"/>
      <c r="Y623" s="1225"/>
      <c r="Z623" s="1225"/>
      <c r="AA623" s="1226"/>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4">
        <f t="shared" ref="BA623:BA632" si="16">IF(J768="SRO/Studio",O768,0)</f>
        <v>0</v>
      </c>
      <c r="BB623" s="1135"/>
      <c r="BC623" s="1135"/>
      <c r="BD623" s="1135"/>
      <c r="BE623" s="1136"/>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500</v>
      </c>
      <c r="C624" s="1103"/>
      <c r="D624" s="1103"/>
      <c r="E624" s="1103"/>
      <c r="F624" s="1103"/>
      <c r="G624" s="1103"/>
      <c r="H624" s="1103"/>
      <c r="I624" s="1103"/>
      <c r="J624" s="1103"/>
      <c r="K624" s="1103"/>
      <c r="L624" s="1103"/>
      <c r="M624" s="1103"/>
      <c r="N624" s="1103"/>
      <c r="O624" s="1227"/>
      <c r="P624" s="1224"/>
      <c r="Q624" s="1225"/>
      <c r="R624" s="1226"/>
      <c r="S624" s="1221"/>
      <c r="T624" s="1222"/>
      <c r="U624" s="1223"/>
      <c r="V624" s="1224"/>
      <c r="W624" s="1225"/>
      <c r="X624" s="1225"/>
      <c r="Y624" s="1225"/>
      <c r="Z624" s="1225"/>
      <c r="AA624" s="1226"/>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4">
        <f t="shared" si="16"/>
        <v>0</v>
      </c>
      <c r="BB624" s="1135"/>
      <c r="BC624" s="1135"/>
      <c r="BD624" s="1135"/>
      <c r="BE624" s="1136"/>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501</v>
      </c>
      <c r="C625" s="1103"/>
      <c r="D625" s="1103"/>
      <c r="E625" s="1103"/>
      <c r="F625" s="1103"/>
      <c r="G625" s="1103"/>
      <c r="H625" s="1103"/>
      <c r="I625" s="1103"/>
      <c r="J625" s="1103"/>
      <c r="K625" s="1103"/>
      <c r="L625" s="1103"/>
      <c r="M625" s="1103"/>
      <c r="N625" s="1103"/>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4">
        <f t="shared" si="16"/>
        <v>0</v>
      </c>
      <c r="BB625" s="1135"/>
      <c r="BC625" s="1135"/>
      <c r="BD625" s="1135"/>
      <c r="BE625" s="1136"/>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507</v>
      </c>
      <c r="C626" s="1103"/>
      <c r="D626" s="1103"/>
      <c r="E626" s="1103"/>
      <c r="F626" s="1103"/>
      <c r="G626" s="1103"/>
      <c r="H626" s="1103"/>
      <c r="I626" s="1103"/>
      <c r="J626" s="1103"/>
      <c r="K626" s="1103"/>
      <c r="L626" s="1103"/>
      <c r="M626" s="1103"/>
      <c r="N626" s="1103"/>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4">
        <f t="shared" si="16"/>
        <v>0</v>
      </c>
      <c r="BB626" s="1135"/>
      <c r="BC626" s="1135"/>
      <c r="BD626" s="1135"/>
      <c r="BE626" s="1136"/>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03"/>
      <c r="D627" s="1103"/>
      <c r="E627" s="1103"/>
      <c r="F627" s="1103"/>
      <c r="G627" s="1103"/>
      <c r="H627" s="1103"/>
      <c r="I627" s="1103"/>
      <c r="J627" s="1103"/>
      <c r="K627" s="1103"/>
      <c r="L627" s="1103"/>
      <c r="M627" s="1103"/>
      <c r="N627" s="1103"/>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4">
        <f t="shared" si="16"/>
        <v>0</v>
      </c>
      <c r="BB627" s="1135"/>
      <c r="BC627" s="1135"/>
      <c r="BD627" s="1135"/>
      <c r="BE627" s="1136"/>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385</v>
      </c>
      <c r="C628" s="1103"/>
      <c r="D628" s="1103"/>
      <c r="E628" s="1103"/>
      <c r="F628" s="1103"/>
      <c r="G628" s="1103"/>
      <c r="H628" s="1103"/>
      <c r="I628" s="1103"/>
      <c r="J628" s="1103"/>
      <c r="K628" s="1103"/>
      <c r="L628" s="1103"/>
      <c r="M628" s="1103"/>
      <c r="N628" s="1103"/>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4">
        <f t="shared" si="16"/>
        <v>0</v>
      </c>
      <c r="BB628" s="1135"/>
      <c r="BC628" s="1135"/>
      <c r="BD628" s="1135"/>
      <c r="BE628" s="1136"/>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386</v>
      </c>
      <c r="C629" s="1123"/>
      <c r="D629" s="1103"/>
      <c r="E629" s="1103"/>
      <c r="F629" s="1103"/>
      <c r="G629" s="1103"/>
      <c r="H629" s="1103"/>
      <c r="I629" s="1103"/>
      <c r="J629" s="1103"/>
      <c r="K629" s="1103"/>
      <c r="L629" s="1103"/>
      <c r="M629" s="1103"/>
      <c r="N629" s="1103"/>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4">
        <f t="shared" si="16"/>
        <v>0</v>
      </c>
      <c r="BB629" s="1135"/>
      <c r="BC629" s="1135"/>
      <c r="BD629" s="1135"/>
      <c r="BE629" s="1136"/>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47183178</v>
      </c>
      <c r="AH630" s="1210"/>
      <c r="AI630" s="1210"/>
      <c r="AJ630" s="1210"/>
      <c r="AK630" s="1211"/>
      <c r="AM630" s="61"/>
      <c r="AN630" s="61"/>
      <c r="AO630" s="61"/>
      <c r="AP630" s="61"/>
      <c r="AQ630" s="61"/>
      <c r="AR630" s="61"/>
      <c r="AS630" s="61"/>
      <c r="AT630" s="61"/>
      <c r="AU630" s="61"/>
      <c r="AV630" s="61"/>
      <c r="AW630" s="61"/>
      <c r="AX630" s="61"/>
      <c r="AY630" s="61"/>
      <c r="AZ630" s="61"/>
      <c r="BA630" s="1134">
        <f t="shared" si="16"/>
        <v>0</v>
      </c>
      <c r="BB630" s="1135"/>
      <c r="BC630" s="1135"/>
      <c r="BD630" s="1135"/>
      <c r="BE630" s="1136"/>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3" t="s">
        <v>282</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23848724</v>
      </c>
      <c r="AH631" s="1143"/>
      <c r="AI631" s="1143"/>
      <c r="AJ631" s="1143"/>
      <c r="AK631" s="1144"/>
      <c r="AM631" s="61"/>
      <c r="AN631" s="61"/>
      <c r="AO631" s="61"/>
      <c r="AP631" s="61"/>
      <c r="AQ631" s="61"/>
      <c r="AR631" s="61"/>
      <c r="AS631" s="61"/>
      <c r="AT631" s="61"/>
      <c r="AU631" s="61"/>
      <c r="AV631" s="61"/>
      <c r="AW631" s="61"/>
      <c r="AX631" s="61"/>
      <c r="AY631" s="61"/>
      <c r="AZ631" s="61"/>
      <c r="BA631" s="1134">
        <f t="shared" si="16"/>
        <v>0</v>
      </c>
      <c r="BB631" s="1135"/>
      <c r="BC631" s="1135"/>
      <c r="BD631" s="1135"/>
      <c r="BE631" s="1136"/>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3" t="s">
        <v>283</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71031902</v>
      </c>
      <c r="AH632" s="1210"/>
      <c r="AI632" s="1210"/>
      <c r="AJ632" s="1210"/>
      <c r="AK632" s="1211"/>
      <c r="AM632" s="61"/>
      <c r="AN632" s="61"/>
      <c r="AO632" s="61"/>
      <c r="AP632" s="61"/>
      <c r="AQ632" s="61"/>
      <c r="AR632" s="61"/>
      <c r="AS632" s="61"/>
      <c r="AT632" s="61"/>
      <c r="AU632" s="61"/>
      <c r="AV632" s="61"/>
      <c r="AW632" s="61"/>
      <c r="AX632" s="61"/>
      <c r="AY632" s="61"/>
      <c r="AZ632" s="61"/>
      <c r="BA632" s="1134">
        <f t="shared" si="16"/>
        <v>0</v>
      </c>
      <c r="BB632" s="1135"/>
      <c r="BC632" s="1135"/>
      <c r="BD632" s="1135"/>
      <c r="BE632" s="1136"/>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509</v>
      </c>
      <c r="G634" s="1100" t="str">
        <f>C618</f>
        <v>Tax Exempt Bonds - Public Sale</v>
      </c>
      <c r="H634" s="1100"/>
      <c r="I634" s="1100"/>
      <c r="J634" s="1100"/>
      <c r="K634" s="1100"/>
      <c r="L634" s="1100"/>
      <c r="M634" s="1100"/>
      <c r="N634" s="1100"/>
      <c r="O634" s="1100"/>
      <c r="P634" s="1100"/>
      <c r="Q634" s="1100"/>
      <c r="R634" s="1100"/>
      <c r="S634" s="14"/>
      <c r="T634" s="87" t="s">
        <v>120</v>
      </c>
      <c r="U634" s="12" t="s">
        <v>509</v>
      </c>
      <c r="Z634" s="1100" t="str">
        <f>C619</f>
        <v xml:space="preserve">Homes for the Homeless Fund (HHF) Permanent Loan												</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1777</v>
      </c>
      <c r="H635" s="1098"/>
      <c r="I635" s="1098"/>
      <c r="J635" s="1098"/>
      <c r="K635" s="1098"/>
      <c r="L635" s="1098"/>
      <c r="M635" s="1098"/>
      <c r="N635" s="1098"/>
      <c r="O635" s="1098"/>
      <c r="P635" s="1098"/>
      <c r="Q635" s="1098"/>
      <c r="R635" s="1098"/>
      <c r="S635" s="14"/>
      <c r="T635" s="35"/>
      <c r="U635" s="12" t="s">
        <v>92</v>
      </c>
      <c r="Z635" s="1096" t="s">
        <v>1749</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7">
        <f>BA614+BA621+BA633</f>
        <v>145</v>
      </c>
      <c r="BB635" s="1138"/>
      <c r="BC635" s="1138"/>
      <c r="BD635" s="1138"/>
      <c r="BE635" s="1139"/>
      <c r="BF635" s="1137">
        <f>BF614+BF621+BF633</f>
        <v>1</v>
      </c>
      <c r="BG635" s="1138"/>
      <c r="BH635" s="1138"/>
      <c r="BI635" s="1138"/>
      <c r="BJ635" s="1139"/>
      <c r="BK635" s="1137">
        <f>BK614+BK621+BK633</f>
        <v>0</v>
      </c>
      <c r="BL635" s="1138"/>
      <c r="BM635" s="1138"/>
      <c r="BN635" s="1138"/>
      <c r="BO635" s="1139"/>
      <c r="BP635" s="1137">
        <f>BP614+BP621+BP633</f>
        <v>0</v>
      </c>
      <c r="BQ635" s="1138"/>
      <c r="BR635" s="1138"/>
      <c r="BS635" s="1138"/>
      <c r="BT635" s="1139"/>
      <c r="BU635" s="1137">
        <f>BU614+BU621+BU633</f>
        <v>0</v>
      </c>
      <c r="BV635" s="1138"/>
      <c r="BW635" s="1138"/>
      <c r="BX635" s="1138"/>
      <c r="BY635" s="1139"/>
      <c r="BZ635" s="1525">
        <f>BZ633+BZ621+BZ614</f>
        <v>0</v>
      </c>
      <c r="CA635" s="1534"/>
      <c r="CB635" s="1534"/>
      <c r="CC635" s="1534"/>
      <c r="CD635" s="1526"/>
      <c r="CE635" s="58"/>
      <c r="CF635" s="58"/>
      <c r="CG635" s="58"/>
      <c r="CH635" s="58"/>
      <c r="CI635" s="58"/>
      <c r="CJ635" s="58"/>
      <c r="CK635" s="58"/>
      <c r="CL635" s="58"/>
      <c r="CM635" s="58"/>
      <c r="CN635" s="58"/>
      <c r="CO635" s="58"/>
      <c r="CP635" s="58"/>
      <c r="CQ635" s="58"/>
      <c r="CR635" s="58"/>
    </row>
    <row r="636" spans="1:96" ht="12.75">
      <c r="A636" s="35"/>
      <c r="B636" s="12" t="s">
        <v>630</v>
      </c>
      <c r="G636" s="1096" t="s">
        <v>791</v>
      </c>
      <c r="H636" s="1098"/>
      <c r="I636" s="1098"/>
      <c r="J636" s="1098"/>
      <c r="K636" s="1098"/>
      <c r="L636" s="1098"/>
      <c r="M636" s="1098"/>
      <c r="N636" s="1098"/>
      <c r="O636" s="1098"/>
      <c r="P636" s="1098"/>
      <c r="Q636" s="1098"/>
      <c r="R636" s="1098"/>
      <c r="S636" s="88"/>
      <c r="T636" s="35"/>
      <c r="U636" s="12" t="s">
        <v>630</v>
      </c>
      <c r="Z636" s="1123" t="s">
        <v>1662</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1775</v>
      </c>
      <c r="H637" s="1098"/>
      <c r="I637" s="1098"/>
      <c r="J637" s="1098"/>
      <c r="K637" s="1098"/>
      <c r="L637" s="1098"/>
      <c r="M637" s="1098"/>
      <c r="N637" s="1098"/>
      <c r="O637" s="1098"/>
      <c r="P637" s="1098"/>
      <c r="Q637" s="1098"/>
      <c r="R637" s="1098"/>
      <c r="S637" s="14"/>
      <c r="T637" s="35"/>
      <c r="U637" s="12" t="s">
        <v>19</v>
      </c>
      <c r="Z637" s="1123" t="s">
        <v>1780</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2"/>
      <c r="H638" s="1102"/>
      <c r="I638" s="1102"/>
      <c r="J638" s="1102"/>
      <c r="K638" s="1102"/>
      <c r="L638" s="1102"/>
      <c r="O638" s="140" t="s">
        <v>219</v>
      </c>
      <c r="P638" s="1103"/>
      <c r="Q638" s="1103"/>
      <c r="R638" s="1103"/>
      <c r="S638" s="16"/>
      <c r="T638" s="35"/>
      <c r="U638" s="12" t="s">
        <v>337</v>
      </c>
      <c r="Z638" s="1102"/>
      <c r="AA638" s="1102"/>
      <c r="AB638" s="1102"/>
      <c r="AC638" s="1102"/>
      <c r="AD638" s="1102"/>
      <c r="AE638" s="1102"/>
      <c r="AH638" s="140" t="s">
        <v>219</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1778</v>
      </c>
      <c r="I639" s="1098"/>
      <c r="J639" s="1098"/>
      <c r="K639" s="1098"/>
      <c r="L639" s="1098"/>
      <c r="M639" s="1098"/>
      <c r="N639" s="1098"/>
      <c r="O639" s="1098"/>
      <c r="P639" s="1098"/>
      <c r="Q639" s="1098"/>
      <c r="R639" s="1098"/>
      <c r="S639" s="14"/>
      <c r="T639" s="35"/>
      <c r="U639" s="12" t="s">
        <v>20</v>
      </c>
      <c r="AA639" s="1096" t="s">
        <v>1781</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722</v>
      </c>
      <c r="O640" s="1099"/>
      <c r="T640" s="35"/>
      <c r="U640" s="12" t="s">
        <v>22</v>
      </c>
      <c r="AG640" s="1099" t="s">
        <v>591</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0" t="str">
        <f>C620</f>
        <v>General Partner Capital</v>
      </c>
      <c r="H642" s="1100"/>
      <c r="I642" s="1100"/>
      <c r="J642" s="1100"/>
      <c r="K642" s="1100"/>
      <c r="L642" s="1100"/>
      <c r="M642" s="1100"/>
      <c r="N642" s="1100"/>
      <c r="O642" s="1100"/>
      <c r="P642" s="1100"/>
      <c r="Q642" s="1100"/>
      <c r="R642" s="1100"/>
      <c r="T642" s="87" t="s">
        <v>631</v>
      </c>
      <c r="U642" s="12" t="s">
        <v>509</v>
      </c>
      <c r="Z642" s="1100">
        <f>C621</f>
        <v>0</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1779</v>
      </c>
      <c r="H643" s="1098"/>
      <c r="I643" s="1098"/>
      <c r="J643" s="1098"/>
      <c r="K643" s="1098"/>
      <c r="L643" s="1098"/>
      <c r="M643" s="1098"/>
      <c r="N643" s="1098"/>
      <c r="O643" s="1098"/>
      <c r="P643" s="1098"/>
      <c r="Q643" s="1098"/>
      <c r="R643" s="1098"/>
      <c r="T643" s="35"/>
      <c r="U643" s="12" t="s">
        <v>92</v>
      </c>
      <c r="Z643" s="1098"/>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3" t="s">
        <v>1662</v>
      </c>
      <c r="H644" s="1120"/>
      <c r="I644" s="1120"/>
      <c r="J644" s="1120"/>
      <c r="K644" s="1120"/>
      <c r="L644" s="1120"/>
      <c r="M644" s="1120"/>
      <c r="N644" s="1120"/>
      <c r="O644" s="1120"/>
      <c r="P644" s="1120"/>
      <c r="Q644" s="1120"/>
      <c r="R644" s="1120"/>
      <c r="T644" s="35"/>
      <c r="U644" s="12" t="s">
        <v>630</v>
      </c>
      <c r="Z644" s="1120"/>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
        <v>1668</v>
      </c>
      <c r="H645" s="1120"/>
      <c r="I645" s="1120"/>
      <c r="J645" s="1120"/>
      <c r="K645" s="1120"/>
      <c r="L645" s="1120"/>
      <c r="M645" s="1120"/>
      <c r="N645" s="1120"/>
      <c r="O645" s="1120"/>
      <c r="P645" s="1120"/>
      <c r="Q645" s="1120"/>
      <c r="R645" s="1120"/>
      <c r="T645" s="35"/>
      <c r="U645" s="12" t="s">
        <v>19</v>
      </c>
      <c r="Z645" s="1120"/>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1" t="s">
        <v>1669</v>
      </c>
      <c r="H646" s="1102"/>
      <c r="I646" s="1102"/>
      <c r="J646" s="1102"/>
      <c r="K646" s="1102"/>
      <c r="L646" s="1102"/>
      <c r="O646" s="140" t="s">
        <v>219</v>
      </c>
      <c r="P646" s="1103"/>
      <c r="Q646" s="1103"/>
      <c r="R646" s="1103"/>
      <c r="T646" s="35"/>
      <c r="U646" s="12" t="s">
        <v>337</v>
      </c>
      <c r="Z646" s="1102"/>
      <c r="AA646" s="1102"/>
      <c r="AB646" s="1102"/>
      <c r="AC646" s="1102"/>
      <c r="AD646" s="1102"/>
      <c r="AE646" s="1102"/>
      <c r="AH646" s="140" t="s">
        <v>219</v>
      </c>
      <c r="AI646" s="1103"/>
      <c r="AJ646" s="1103"/>
      <c r="AK646" s="110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
        <v>1757</v>
      </c>
      <c r="I647" s="1098"/>
      <c r="J647" s="1098"/>
      <c r="K647" s="1098"/>
      <c r="L647" s="1098"/>
      <c r="M647" s="1098"/>
      <c r="N647" s="1098"/>
      <c r="O647" s="1098"/>
      <c r="P647" s="1098"/>
      <c r="Q647" s="1098"/>
      <c r="R647" s="1098"/>
      <c r="T647" s="35"/>
      <c r="U647" s="12" t="s">
        <v>20</v>
      </c>
      <c r="AA647" s="1098"/>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722</v>
      </c>
      <c r="O648" s="1099"/>
      <c r="T648" s="35"/>
      <c r="U648" s="12" t="s">
        <v>22</v>
      </c>
      <c r="AG648" s="1099" t="s">
        <v>722</v>
      </c>
      <c r="AH648" s="1099"/>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2822</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0">
        <f>C622</f>
        <v>0</v>
      </c>
      <c r="H650" s="1100"/>
      <c r="I650" s="1100"/>
      <c r="J650" s="1100"/>
      <c r="K650" s="1100"/>
      <c r="L650" s="1100"/>
      <c r="M650" s="1100"/>
      <c r="N650" s="1100"/>
      <c r="O650" s="1100"/>
      <c r="P650" s="1100"/>
      <c r="Q650" s="1100"/>
      <c r="R650" s="1100"/>
      <c r="T650" s="87" t="s">
        <v>634</v>
      </c>
      <c r="U650" s="12" t="s">
        <v>509</v>
      </c>
      <c r="Z650" s="1100">
        <f>C623</f>
        <v>0</v>
      </c>
      <c r="AA650" s="1100"/>
      <c r="AB650" s="1100"/>
      <c r="AC650" s="1100"/>
      <c r="AD650" s="1100"/>
      <c r="AE650" s="1100"/>
      <c r="AF650" s="1100"/>
      <c r="AG650" s="1100"/>
      <c r="AH650" s="1100"/>
      <c r="AI650" s="1100"/>
      <c r="AJ650" s="1100"/>
      <c r="AK650" s="1100"/>
      <c r="AM650" s="58"/>
      <c r="AN650" s="463">
        <f t="shared" si="22"/>
        <v>2822</v>
      </c>
      <c r="AO650" s="58"/>
      <c r="AP650" s="58"/>
      <c r="AQ650" s="58"/>
      <c r="AR650" s="58"/>
      <c r="AS650" s="399"/>
      <c r="AT650" s="473">
        <f t="shared" ref="AT650:AT674" si="23">G709</f>
        <v>44</v>
      </c>
      <c r="AU650" s="477">
        <f>AT650/$AT$675</f>
        <v>0.30344827586206896</v>
      </c>
      <c r="AV650" s="478">
        <f t="shared" ref="AV650:AV674" si="24">IF(AU650=0," ",AU650*AD709)</f>
        <v>0.15172413793103448</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t="str">
        <f t="shared" si="22"/>
        <v>N/A</v>
      </c>
      <c r="AO651" s="58"/>
      <c r="AP651" s="58"/>
      <c r="AQ651" s="58"/>
      <c r="AR651" s="58"/>
      <c r="AS651" s="399"/>
      <c r="AT651" s="474">
        <f t="shared" si="23"/>
        <v>101</v>
      </c>
      <c r="AU651" s="477">
        <f t="shared" ref="AU651:AU674" si="25">AT651/$AT$675</f>
        <v>0.69655172413793098</v>
      </c>
      <c r="AV651" s="478">
        <f t="shared" si="24"/>
        <v>0.41793103448275859</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8"/>
      <c r="H652" s="1098"/>
      <c r="I652" s="1098"/>
      <c r="J652" s="1098"/>
      <c r="K652" s="1098"/>
      <c r="L652" s="1098"/>
      <c r="M652" s="1098"/>
      <c r="N652" s="1098"/>
      <c r="O652" s="1098"/>
      <c r="P652" s="1098"/>
      <c r="Q652" s="1098"/>
      <c r="R652" s="1098"/>
      <c r="T652" s="35"/>
      <c r="U652" s="12" t="s">
        <v>630</v>
      </c>
      <c r="Z652" s="1120"/>
      <c r="AA652" s="1120"/>
      <c r="AB652" s="1120"/>
      <c r="AC652" s="1120"/>
      <c r="AD652" s="1120"/>
      <c r="AE652" s="1120"/>
      <c r="AF652" s="1120"/>
      <c r="AG652" s="1120"/>
      <c r="AH652" s="1120"/>
      <c r="AI652" s="1120"/>
      <c r="AJ652" s="1120"/>
      <c r="AK652" s="1120"/>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2"/>
      <c r="H654" s="1102"/>
      <c r="I654" s="1102"/>
      <c r="J654" s="1102"/>
      <c r="K654" s="1102"/>
      <c r="L654" s="1102"/>
      <c r="O654" s="140" t="s">
        <v>219</v>
      </c>
      <c r="P654" s="1103"/>
      <c r="Q654" s="1103"/>
      <c r="R654" s="1103"/>
      <c r="T654" s="35"/>
      <c r="U654" s="12" t="s">
        <v>337</v>
      </c>
      <c r="Z654" s="1102"/>
      <c r="AA654" s="1102"/>
      <c r="AB654" s="1102"/>
      <c r="AC654" s="1102"/>
      <c r="AD654" s="1102"/>
      <c r="AE654" s="1102"/>
      <c r="AH654" s="140" t="s">
        <v>219</v>
      </c>
      <c r="AI654" s="1103"/>
      <c r="AJ654" s="1103"/>
      <c r="AK654" s="110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722</v>
      </c>
      <c r="O656" s="1099"/>
      <c r="T656" s="35"/>
      <c r="U656" s="12" t="s">
        <v>22</v>
      </c>
      <c r="AG656" s="1099" t="s">
        <v>722</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0">
        <f>C624</f>
        <v>0</v>
      </c>
      <c r="H658" s="1100"/>
      <c r="I658" s="1100"/>
      <c r="J658" s="1100"/>
      <c r="K658" s="1100"/>
      <c r="L658" s="1100"/>
      <c r="M658" s="1100"/>
      <c r="N658" s="1100"/>
      <c r="O658" s="1100"/>
      <c r="P658" s="1100"/>
      <c r="Q658" s="1100"/>
      <c r="R658" s="1100"/>
      <c r="T658" s="87" t="s">
        <v>501</v>
      </c>
      <c r="U658" s="12" t="s">
        <v>509</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8"/>
      <c r="H660" s="1098"/>
      <c r="I660" s="1098"/>
      <c r="J660" s="1098"/>
      <c r="K660" s="1098"/>
      <c r="L660" s="1098"/>
      <c r="M660" s="1098"/>
      <c r="N660" s="1098"/>
      <c r="O660" s="1098"/>
      <c r="P660" s="1098"/>
      <c r="Q660" s="1098"/>
      <c r="R660" s="1098"/>
      <c r="T660" s="35"/>
      <c r="U660" s="12" t="s">
        <v>630</v>
      </c>
      <c r="Z660" s="1120"/>
      <c r="AA660" s="1120"/>
      <c r="AB660" s="1120"/>
      <c r="AC660" s="1120"/>
      <c r="AD660" s="1120"/>
      <c r="AE660" s="1120"/>
      <c r="AF660" s="1120"/>
      <c r="AG660" s="1120"/>
      <c r="AH660" s="1120"/>
      <c r="AI660" s="1120"/>
      <c r="AJ660" s="1120"/>
      <c r="AK660" s="112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2"/>
      <c r="H662" s="1102"/>
      <c r="I662" s="1102"/>
      <c r="J662" s="1102"/>
      <c r="K662" s="1102"/>
      <c r="L662" s="1102"/>
      <c r="O662" s="140" t="s">
        <v>219</v>
      </c>
      <c r="P662" s="1103"/>
      <c r="Q662" s="1103"/>
      <c r="R662" s="1103"/>
      <c r="T662" s="35"/>
      <c r="U662" s="12" t="s">
        <v>337</v>
      </c>
      <c r="Z662" s="1102"/>
      <c r="AA662" s="1102"/>
      <c r="AB662" s="1102"/>
      <c r="AC662" s="1102"/>
      <c r="AD662" s="1102"/>
      <c r="AE662" s="1102"/>
      <c r="AH662" s="140" t="s">
        <v>219</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722</v>
      </c>
      <c r="O664" s="1099"/>
      <c r="T664" s="35"/>
      <c r="U664" s="12" t="s">
        <v>22</v>
      </c>
      <c r="AG664" s="1099" t="s">
        <v>722</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0">
        <f>C626</f>
        <v>0</v>
      </c>
      <c r="H666" s="1100"/>
      <c r="I666" s="1100"/>
      <c r="J666" s="1100"/>
      <c r="K666" s="1100"/>
      <c r="L666" s="1100"/>
      <c r="M666" s="1100"/>
      <c r="N666" s="1100"/>
      <c r="O666" s="1100"/>
      <c r="P666" s="1100"/>
      <c r="Q666" s="1100"/>
      <c r="R666" s="1100"/>
      <c r="T666" s="87" t="s">
        <v>696</v>
      </c>
      <c r="U666" s="12" t="s">
        <v>509</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8"/>
      <c r="H668" s="1098"/>
      <c r="I668" s="1098"/>
      <c r="J668" s="1098"/>
      <c r="K668" s="1098"/>
      <c r="L668" s="1098"/>
      <c r="M668" s="1098"/>
      <c r="N668" s="1098"/>
      <c r="O668" s="1098"/>
      <c r="P668" s="1098"/>
      <c r="Q668" s="1098"/>
      <c r="R668" s="1098"/>
      <c r="T668" s="35"/>
      <c r="U668" s="12" t="s">
        <v>630</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2"/>
      <c r="H670" s="1102"/>
      <c r="I670" s="1102"/>
      <c r="J670" s="1102"/>
      <c r="K670" s="1102"/>
      <c r="L670" s="1102"/>
      <c r="O670" s="140" t="s">
        <v>219</v>
      </c>
      <c r="P670" s="1103"/>
      <c r="Q670" s="1103"/>
      <c r="R670" s="1103"/>
      <c r="T670" s="35"/>
      <c r="U670" s="12" t="s">
        <v>337</v>
      </c>
      <c r="Z670" s="1102"/>
      <c r="AA670" s="1102"/>
      <c r="AB670" s="1102"/>
      <c r="AC670" s="1102"/>
      <c r="AD670" s="1102"/>
      <c r="AE670" s="1102"/>
      <c r="AH670" s="140" t="s">
        <v>219</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722</v>
      </c>
      <c r="O672" s="1099"/>
      <c r="T672" s="35"/>
      <c r="U672" s="12" t="s">
        <v>22</v>
      </c>
      <c r="AG672" s="1099" t="s">
        <v>722</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00">
        <f>C628</f>
        <v>0</v>
      </c>
      <c r="H674" s="1100"/>
      <c r="I674" s="1100"/>
      <c r="J674" s="1100"/>
      <c r="K674" s="1100"/>
      <c r="L674" s="1100"/>
      <c r="M674" s="1100"/>
      <c r="N674" s="1100"/>
      <c r="O674" s="1100"/>
      <c r="P674" s="1100"/>
      <c r="Q674" s="1100"/>
      <c r="R674" s="1100"/>
      <c r="T674" s="87" t="s">
        <v>386</v>
      </c>
      <c r="U674" s="12" t="s">
        <v>509</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997</v>
      </c>
      <c r="AT675" s="479">
        <f>SUM(AT650:AT674)</f>
        <v>145</v>
      </c>
      <c r="AU675" s="480">
        <f>SUM(AU650:AU674)</f>
        <v>1</v>
      </c>
      <c r="AV675" s="480">
        <f>SUM(AV650:AV674)</f>
        <v>0.56965517241379304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8"/>
      <c r="H676" s="1098"/>
      <c r="I676" s="1098"/>
      <c r="J676" s="1098"/>
      <c r="K676" s="1098"/>
      <c r="L676" s="1098"/>
      <c r="M676" s="1098"/>
      <c r="N676" s="1098"/>
      <c r="O676" s="1098"/>
      <c r="P676" s="1098"/>
      <c r="Q676" s="1098"/>
      <c r="R676" s="1098"/>
      <c r="U676" s="12" t="s">
        <v>630</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2"/>
      <c r="H678" s="1102"/>
      <c r="I678" s="1102"/>
      <c r="J678" s="1102"/>
      <c r="K678" s="1102"/>
      <c r="L678" s="1102"/>
      <c r="O678" s="140" t="s">
        <v>219</v>
      </c>
      <c r="P678" s="1103"/>
      <c r="Q678" s="1103"/>
      <c r="R678" s="1103"/>
      <c r="U678" s="12" t="s">
        <v>337</v>
      </c>
      <c r="Z678" s="1102"/>
      <c r="AA678" s="1102"/>
      <c r="AB678" s="1102"/>
      <c r="AC678" s="1102"/>
      <c r="AD678" s="1102"/>
      <c r="AE678" s="1102"/>
      <c r="AH678" s="140" t="s">
        <v>219</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722</v>
      </c>
      <c r="O680" s="1099"/>
      <c r="U680" s="12" t="s">
        <v>22</v>
      </c>
      <c r="AG680" s="1099" t="s">
        <v>722</v>
      </c>
      <c r="AH680" s="109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591</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591</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43847</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43910</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44013</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6">
        <v>0.62409999999999999</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0" t="str">
        <f>H330</f>
        <v xml:space="preserve">California Housing Finance Agency </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722</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219</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8" t="s">
        <v>328</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356</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420</v>
      </c>
      <c r="C705" s="1105"/>
      <c r="D705" s="1105"/>
      <c r="E705" s="1105"/>
      <c r="F705" s="1106"/>
      <c r="G705" s="1104" t="s">
        <v>301</v>
      </c>
      <c r="H705" s="1105"/>
      <c r="I705" s="1105"/>
      <c r="J705" s="1106"/>
      <c r="K705" s="1104" t="s">
        <v>491</v>
      </c>
      <c r="L705" s="1105"/>
      <c r="M705" s="1105"/>
      <c r="N705" s="1105"/>
      <c r="O705" s="1106"/>
      <c r="P705" s="1104" t="s">
        <v>302</v>
      </c>
      <c r="Q705" s="1105"/>
      <c r="R705" s="1105"/>
      <c r="S705" s="1105"/>
      <c r="T705" s="1106"/>
      <c r="U705" s="1104" t="s">
        <v>303</v>
      </c>
      <c r="V705" s="1105"/>
      <c r="W705" s="1105"/>
      <c r="X705" s="1106"/>
      <c r="Y705" s="1104" t="s">
        <v>304</v>
      </c>
      <c r="Z705" s="1105"/>
      <c r="AA705" s="1105"/>
      <c r="AB705" s="1105"/>
      <c r="AC705" s="1106"/>
      <c r="AD705" s="1104" t="s">
        <v>421</v>
      </c>
      <c r="AE705" s="1105"/>
      <c r="AF705" s="1105"/>
      <c r="AG705" s="1105"/>
      <c r="AH705" s="1106"/>
      <c r="AI705" s="1104" t="s">
        <v>697</v>
      </c>
      <c r="AJ705" s="1105"/>
      <c r="AK705" s="1106"/>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346</v>
      </c>
      <c r="C709" s="1171"/>
      <c r="D709" s="1171"/>
      <c r="E709" s="1171"/>
      <c r="F709" s="1172"/>
      <c r="G709" s="1126">
        <v>44</v>
      </c>
      <c r="H709" s="1127"/>
      <c r="I709" s="1127"/>
      <c r="J709" s="1128"/>
      <c r="K709" s="1185">
        <v>250</v>
      </c>
      <c r="L709" s="1186"/>
      <c r="M709" s="1186"/>
      <c r="N709" s="1186"/>
      <c r="O709" s="1187"/>
      <c r="P709" s="1156">
        <f t="shared" ref="P709:P733" si="26">G709*K709</f>
        <v>11000</v>
      </c>
      <c r="Q709" s="1117"/>
      <c r="R709" s="1117"/>
      <c r="S709" s="1117"/>
      <c r="T709" s="1157"/>
      <c r="U709" s="1185">
        <v>9.9999999999999998E-13</v>
      </c>
      <c r="V709" s="1186"/>
      <c r="W709" s="1186"/>
      <c r="X709" s="1187"/>
      <c r="Y709" s="1156">
        <f>K709+U709</f>
        <v>250.00000000000099</v>
      </c>
      <c r="Z709" s="1117"/>
      <c r="AA709" s="1117"/>
      <c r="AB709" s="1117"/>
      <c r="AC709" s="1157"/>
      <c r="AD709" s="1114">
        <v>0.5</v>
      </c>
      <c r="AE709" s="1115"/>
      <c r="AF709" s="1115"/>
      <c r="AG709" s="1115"/>
      <c r="AH709" s="1116"/>
      <c r="AI709" s="1130">
        <f t="shared" ref="AI709:AI733" si="27">IF($AD709&gt;0,($Y709/$AN649), " ")</f>
        <v>8.858965272856166E-2</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346</v>
      </c>
      <c r="C710" s="1171"/>
      <c r="D710" s="1171"/>
      <c r="E710" s="1171"/>
      <c r="F710" s="1172"/>
      <c r="G710" s="1126">
        <v>101</v>
      </c>
      <c r="H710" s="1127"/>
      <c r="I710" s="1127"/>
      <c r="J710" s="1128"/>
      <c r="K710" s="1185">
        <v>250</v>
      </c>
      <c r="L710" s="1186"/>
      <c r="M710" s="1186"/>
      <c r="N710" s="1186"/>
      <c r="O710" s="1187"/>
      <c r="P710" s="1156">
        <f t="shared" si="26"/>
        <v>25250</v>
      </c>
      <c r="Q710" s="1117"/>
      <c r="R710" s="1117"/>
      <c r="S710" s="1117"/>
      <c r="T710" s="1157"/>
      <c r="U710" s="1185">
        <v>9.9999999999999998E-13</v>
      </c>
      <c r="V710" s="1186"/>
      <c r="W710" s="1186"/>
      <c r="X710" s="1187"/>
      <c r="Y710" s="1156">
        <f t="shared" ref="Y710:Y733" si="28">K710+U710</f>
        <v>250.00000000000099</v>
      </c>
      <c r="Z710" s="1117"/>
      <c r="AA710" s="1117"/>
      <c r="AB710" s="1117"/>
      <c r="AC710" s="1157"/>
      <c r="AD710" s="1114">
        <v>0.6</v>
      </c>
      <c r="AE710" s="1115"/>
      <c r="AF710" s="1115"/>
      <c r="AG710" s="1115"/>
      <c r="AH710" s="1116"/>
      <c r="AI710" s="1130">
        <f t="shared" si="27"/>
        <v>8.858965272856166E-2</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c r="C711" s="1171"/>
      <c r="D711" s="1171"/>
      <c r="E711" s="1171"/>
      <c r="F711" s="1172"/>
      <c r="G711" s="1126"/>
      <c r="H711" s="1127"/>
      <c r="I711" s="1127"/>
      <c r="J711" s="1128"/>
      <c r="K711" s="1185"/>
      <c r="L711" s="1186"/>
      <c r="M711" s="1186"/>
      <c r="N711" s="1186"/>
      <c r="O711" s="1187"/>
      <c r="P711" s="1156">
        <f t="shared" si="26"/>
        <v>0</v>
      </c>
      <c r="Q711" s="1117"/>
      <c r="R711" s="1117"/>
      <c r="S711" s="1117"/>
      <c r="T711" s="1157"/>
      <c r="U711" s="1185"/>
      <c r="V711" s="1186"/>
      <c r="W711" s="1186"/>
      <c r="X711" s="1187"/>
      <c r="Y711" s="1156">
        <f t="shared" si="28"/>
        <v>0</v>
      </c>
      <c r="Z711" s="1117"/>
      <c r="AA711" s="1117"/>
      <c r="AB711" s="1117"/>
      <c r="AC711" s="1157"/>
      <c r="AD711" s="1114"/>
      <c r="AE711" s="1115"/>
      <c r="AF711" s="1115"/>
      <c r="AG711" s="1115"/>
      <c r="AH711" s="1116"/>
      <c r="AI711" s="1130" t="str">
        <f t="shared" si="27"/>
        <v xml:space="preserve"> </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c r="C712" s="1171"/>
      <c r="D712" s="1171"/>
      <c r="E712" s="1171"/>
      <c r="F712" s="1172"/>
      <c r="G712" s="1126"/>
      <c r="H712" s="1127"/>
      <c r="I712" s="1127"/>
      <c r="J712" s="1128"/>
      <c r="K712" s="1184"/>
      <c r="L712" s="1184"/>
      <c r="M712" s="1184"/>
      <c r="N712" s="1184"/>
      <c r="O712" s="1184"/>
      <c r="P712" s="1125">
        <f t="shared" si="26"/>
        <v>0</v>
      </c>
      <c r="Q712" s="1125"/>
      <c r="R712" s="1125"/>
      <c r="S712" s="1125"/>
      <c r="T712" s="1125"/>
      <c r="U712" s="1185"/>
      <c r="V712" s="1186"/>
      <c r="W712" s="1186"/>
      <c r="X712" s="1187"/>
      <c r="Y712" s="1125">
        <f t="shared" si="28"/>
        <v>0</v>
      </c>
      <c r="Z712" s="1125"/>
      <c r="AA712" s="1125"/>
      <c r="AB712" s="1125"/>
      <c r="AC712" s="1125"/>
      <c r="AD712" s="1114"/>
      <c r="AE712" s="1115"/>
      <c r="AF712" s="1115"/>
      <c r="AG712" s="1115"/>
      <c r="AH712" s="1116"/>
      <c r="AI712" s="1130" t="str">
        <f t="shared" si="27"/>
        <v xml:space="preserve"> </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c r="C713" s="1171"/>
      <c r="D713" s="1171"/>
      <c r="E713" s="1171"/>
      <c r="F713" s="1172"/>
      <c r="G713" s="1126"/>
      <c r="H713" s="1127"/>
      <c r="I713" s="1127"/>
      <c r="J713" s="1128"/>
      <c r="K713" s="1184"/>
      <c r="L713" s="1184"/>
      <c r="M713" s="1184"/>
      <c r="N713" s="1184"/>
      <c r="O713" s="1184"/>
      <c r="P713" s="1125">
        <f t="shared" si="26"/>
        <v>0</v>
      </c>
      <c r="Q713" s="1125"/>
      <c r="R713" s="1125"/>
      <c r="S713" s="1125"/>
      <c r="T713" s="1125"/>
      <c r="U713" s="1185"/>
      <c r="V713" s="1186"/>
      <c r="W713" s="1186"/>
      <c r="X713" s="1187"/>
      <c r="Y713" s="1125">
        <f t="shared" si="28"/>
        <v>0</v>
      </c>
      <c r="Z713" s="1125"/>
      <c r="AA713" s="1125"/>
      <c r="AB713" s="1125"/>
      <c r="AC713" s="1125"/>
      <c r="AD713" s="1114"/>
      <c r="AE713" s="1115"/>
      <c r="AF713" s="1115"/>
      <c r="AG713" s="1115"/>
      <c r="AH713" s="1116"/>
      <c r="AI713" s="1130" t="str">
        <f t="shared" si="27"/>
        <v xml:space="preserve"> </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c r="C714" s="1171"/>
      <c r="D714" s="1171"/>
      <c r="E714" s="1171"/>
      <c r="F714" s="1172"/>
      <c r="G714" s="1126"/>
      <c r="H714" s="1127"/>
      <c r="I714" s="1127"/>
      <c r="J714" s="1128"/>
      <c r="K714" s="1184"/>
      <c r="L714" s="1184"/>
      <c r="M714" s="1184"/>
      <c r="N714" s="1184"/>
      <c r="O714" s="1184"/>
      <c r="P714" s="1125">
        <f t="shared" si="26"/>
        <v>0</v>
      </c>
      <c r="Q714" s="1125"/>
      <c r="R714" s="1125"/>
      <c r="S714" s="1125"/>
      <c r="T714" s="1125"/>
      <c r="U714" s="1185"/>
      <c r="V714" s="1186"/>
      <c r="W714" s="1186"/>
      <c r="X714" s="1187"/>
      <c r="Y714" s="1125">
        <f t="shared" si="28"/>
        <v>0</v>
      </c>
      <c r="Z714" s="1125"/>
      <c r="AA714" s="1125"/>
      <c r="AB714" s="1125"/>
      <c r="AC714" s="1125"/>
      <c r="AD714" s="1114"/>
      <c r="AE714" s="1115"/>
      <c r="AF714" s="1115"/>
      <c r="AG714" s="1115"/>
      <c r="AH714" s="1116"/>
      <c r="AI714" s="1130" t="str">
        <f t="shared" si="27"/>
        <v xml:space="preserve"> </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c r="C715" s="1171"/>
      <c r="D715" s="1171"/>
      <c r="E715" s="1171"/>
      <c r="F715" s="1172"/>
      <c r="G715" s="1126"/>
      <c r="H715" s="1127"/>
      <c r="I715" s="1127"/>
      <c r="J715" s="1128"/>
      <c r="K715" s="1184"/>
      <c r="L715" s="1184"/>
      <c r="M715" s="1184"/>
      <c r="N715" s="1184"/>
      <c r="O715" s="1184"/>
      <c r="P715" s="1125">
        <f t="shared" si="26"/>
        <v>0</v>
      </c>
      <c r="Q715" s="1125"/>
      <c r="R715" s="1125"/>
      <c r="S715" s="1125"/>
      <c r="T715" s="1125"/>
      <c r="U715" s="1185"/>
      <c r="V715" s="1186"/>
      <c r="W715" s="1186"/>
      <c r="X715" s="1187"/>
      <c r="Y715" s="1125">
        <f t="shared" si="28"/>
        <v>0</v>
      </c>
      <c r="Z715" s="1125"/>
      <c r="AA715" s="1125"/>
      <c r="AB715" s="1125"/>
      <c r="AC715" s="1125"/>
      <c r="AD715" s="1114"/>
      <c r="AE715" s="1115"/>
      <c r="AF715" s="1115"/>
      <c r="AG715" s="1115"/>
      <c r="AH715" s="1116"/>
      <c r="AI715" s="1130" t="str">
        <f t="shared" si="27"/>
        <v xml:space="preserve"> </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c r="C716" s="1171"/>
      <c r="D716" s="1171"/>
      <c r="E716" s="1171"/>
      <c r="F716" s="1172"/>
      <c r="G716" s="1126"/>
      <c r="H716" s="1127"/>
      <c r="I716" s="1127"/>
      <c r="J716" s="1128"/>
      <c r="K716" s="1184"/>
      <c r="L716" s="1184"/>
      <c r="M716" s="1184"/>
      <c r="N716" s="1184"/>
      <c r="O716" s="1184"/>
      <c r="P716" s="1125">
        <f t="shared" si="26"/>
        <v>0</v>
      </c>
      <c r="Q716" s="1125"/>
      <c r="R716" s="1125"/>
      <c r="S716" s="1125"/>
      <c r="T716" s="1125"/>
      <c r="U716" s="1185"/>
      <c r="V716" s="1186"/>
      <c r="W716" s="1186"/>
      <c r="X716" s="1187"/>
      <c r="Y716" s="1125">
        <f t="shared" si="28"/>
        <v>0</v>
      </c>
      <c r="Z716" s="1125"/>
      <c r="AA716" s="1125"/>
      <c r="AB716" s="1125"/>
      <c r="AC716" s="1125"/>
      <c r="AD716" s="1114"/>
      <c r="AE716" s="1115"/>
      <c r="AF716" s="1115"/>
      <c r="AG716" s="1115"/>
      <c r="AH716" s="1116"/>
      <c r="AI716" s="1130" t="str">
        <f t="shared" si="27"/>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c r="C717" s="1171"/>
      <c r="D717" s="1171"/>
      <c r="E717" s="1171"/>
      <c r="F717" s="1172"/>
      <c r="G717" s="1126"/>
      <c r="H717" s="1127"/>
      <c r="I717" s="1127"/>
      <c r="J717" s="1128"/>
      <c r="K717" s="1184"/>
      <c r="L717" s="1184"/>
      <c r="M717" s="1184"/>
      <c r="N717" s="1184"/>
      <c r="O717" s="1184"/>
      <c r="P717" s="1125">
        <f t="shared" si="26"/>
        <v>0</v>
      </c>
      <c r="Q717" s="1125"/>
      <c r="R717" s="1125"/>
      <c r="S717" s="1125"/>
      <c r="T717" s="1125"/>
      <c r="U717" s="1185"/>
      <c r="V717" s="1186"/>
      <c r="W717" s="1186"/>
      <c r="X717" s="1187"/>
      <c r="Y717" s="1125">
        <f t="shared" si="28"/>
        <v>0</v>
      </c>
      <c r="Z717" s="1125"/>
      <c r="AA717" s="1125"/>
      <c r="AB717" s="1125"/>
      <c r="AC717" s="1125"/>
      <c r="AD717" s="1114"/>
      <c r="AE717" s="1115"/>
      <c r="AF717" s="1115"/>
      <c r="AG717" s="1115"/>
      <c r="AH717" s="1116"/>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c r="C718" s="1171"/>
      <c r="D718" s="1171"/>
      <c r="E718" s="1171"/>
      <c r="F718" s="1172"/>
      <c r="G718" s="1126"/>
      <c r="H718" s="1127"/>
      <c r="I718" s="1127"/>
      <c r="J718" s="1128"/>
      <c r="K718" s="1260"/>
      <c r="L718" s="1260"/>
      <c r="M718" s="1260"/>
      <c r="N718" s="1260"/>
      <c r="O718" s="1260"/>
      <c r="P718" s="1129">
        <f t="shared" si="26"/>
        <v>0</v>
      </c>
      <c r="Q718" s="1129"/>
      <c r="R718" s="1129"/>
      <c r="S718" s="1129"/>
      <c r="T718" s="1129"/>
      <c r="U718" s="1185"/>
      <c r="V718" s="1186"/>
      <c r="W718" s="1186"/>
      <c r="X718" s="1187"/>
      <c r="Y718" s="1129">
        <f t="shared" si="28"/>
        <v>0</v>
      </c>
      <c r="Z718" s="1129"/>
      <c r="AA718" s="1129"/>
      <c r="AB718" s="1129"/>
      <c r="AC718" s="1129"/>
      <c r="AD718" s="1114"/>
      <c r="AE718" s="1115"/>
      <c r="AF718" s="1115"/>
      <c r="AG718" s="1115"/>
      <c r="AH718" s="1116"/>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c r="C719" s="1171"/>
      <c r="D719" s="1171"/>
      <c r="E719" s="1171"/>
      <c r="F719" s="1172"/>
      <c r="G719" s="1126"/>
      <c r="H719" s="1127"/>
      <c r="I719" s="1127"/>
      <c r="J719" s="1128"/>
      <c r="K719" s="1184"/>
      <c r="L719" s="1184"/>
      <c r="M719" s="1184"/>
      <c r="N719" s="1184"/>
      <c r="O719" s="1184"/>
      <c r="P719" s="1125">
        <f t="shared" si="26"/>
        <v>0</v>
      </c>
      <c r="Q719" s="1125"/>
      <c r="R719" s="1125"/>
      <c r="S719" s="1125"/>
      <c r="T719" s="1125"/>
      <c r="U719" s="1185"/>
      <c r="V719" s="1186"/>
      <c r="W719" s="1186"/>
      <c r="X719" s="1187"/>
      <c r="Y719" s="1125">
        <f t="shared" si="28"/>
        <v>0</v>
      </c>
      <c r="Z719" s="1125"/>
      <c r="AA719" s="1125"/>
      <c r="AB719" s="1125"/>
      <c r="AC719" s="1125"/>
      <c r="AD719" s="1114"/>
      <c r="AE719" s="1115"/>
      <c r="AF719" s="1115"/>
      <c r="AG719" s="1115"/>
      <c r="AH719" s="1116"/>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c r="C720" s="1171"/>
      <c r="D720" s="1171"/>
      <c r="E720" s="1171"/>
      <c r="F720" s="1172"/>
      <c r="G720" s="1126"/>
      <c r="H720" s="1127"/>
      <c r="I720" s="1127"/>
      <c r="J720" s="1128"/>
      <c r="K720" s="1184"/>
      <c r="L720" s="1184"/>
      <c r="M720" s="1184"/>
      <c r="N720" s="1184"/>
      <c r="O720" s="1184"/>
      <c r="P720" s="1125">
        <f t="shared" si="26"/>
        <v>0</v>
      </c>
      <c r="Q720" s="1125"/>
      <c r="R720" s="1125"/>
      <c r="S720" s="1125"/>
      <c r="T720" s="1125"/>
      <c r="U720" s="1185">
        <v>0</v>
      </c>
      <c r="V720" s="1186"/>
      <c r="W720" s="1186"/>
      <c r="X720" s="1187"/>
      <c r="Y720" s="1125">
        <f t="shared" si="28"/>
        <v>0</v>
      </c>
      <c r="Z720" s="1125"/>
      <c r="AA720" s="1125"/>
      <c r="AB720" s="1125"/>
      <c r="AC720" s="1125"/>
      <c r="AD720" s="1114">
        <v>0</v>
      </c>
      <c r="AE720" s="1115"/>
      <c r="AF720" s="1115"/>
      <c r="AG720" s="1115"/>
      <c r="AH720" s="1116"/>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5">
        <f t="shared" si="26"/>
        <v>0</v>
      </c>
      <c r="Q721" s="1125"/>
      <c r="R721" s="1125"/>
      <c r="S721" s="1125"/>
      <c r="T721" s="1125"/>
      <c r="U721" s="1185">
        <v>0</v>
      </c>
      <c r="V721" s="1186"/>
      <c r="W721" s="1186"/>
      <c r="X721" s="1187"/>
      <c r="Y721" s="1125">
        <f t="shared" si="28"/>
        <v>0</v>
      </c>
      <c r="Z721" s="1125"/>
      <c r="AA721" s="1125"/>
      <c r="AB721" s="1125"/>
      <c r="AC721" s="1125"/>
      <c r="AD721" s="1114">
        <v>0</v>
      </c>
      <c r="AE721" s="1115"/>
      <c r="AF721" s="1115"/>
      <c r="AG721" s="1115"/>
      <c r="AH721" s="1116"/>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5">
        <f t="shared" si="26"/>
        <v>0</v>
      </c>
      <c r="Q722" s="1125"/>
      <c r="R722" s="1125"/>
      <c r="S722" s="1125"/>
      <c r="T722" s="1125"/>
      <c r="U722" s="1185">
        <v>0</v>
      </c>
      <c r="V722" s="1186"/>
      <c r="W722" s="1186"/>
      <c r="X722" s="1187"/>
      <c r="Y722" s="1125">
        <f t="shared" si="28"/>
        <v>0</v>
      </c>
      <c r="Z722" s="1125"/>
      <c r="AA722" s="1125"/>
      <c r="AB722" s="1125"/>
      <c r="AC722" s="1125"/>
      <c r="AD722" s="1114">
        <v>0</v>
      </c>
      <c r="AE722" s="1115"/>
      <c r="AF722" s="1115"/>
      <c r="AG722" s="1115"/>
      <c r="AH722" s="1116"/>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5">
        <f t="shared" si="26"/>
        <v>0</v>
      </c>
      <c r="Q723" s="1125"/>
      <c r="R723" s="1125"/>
      <c r="S723" s="1125"/>
      <c r="T723" s="1125"/>
      <c r="U723" s="1185">
        <v>0</v>
      </c>
      <c r="V723" s="1186"/>
      <c r="W723" s="1186"/>
      <c r="X723" s="1187"/>
      <c r="Y723" s="1125">
        <f t="shared" si="28"/>
        <v>0</v>
      </c>
      <c r="Z723" s="1125"/>
      <c r="AA723" s="1125"/>
      <c r="AB723" s="1125"/>
      <c r="AC723" s="1125"/>
      <c r="AD723" s="1114">
        <v>0</v>
      </c>
      <c r="AE723" s="1115"/>
      <c r="AF723" s="1115"/>
      <c r="AG723" s="1115"/>
      <c r="AH723" s="1116"/>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5">
        <f t="shared" si="26"/>
        <v>0</v>
      </c>
      <c r="Q724" s="1125"/>
      <c r="R724" s="1125"/>
      <c r="S724" s="1125"/>
      <c r="T724" s="1125"/>
      <c r="U724" s="1185">
        <v>0</v>
      </c>
      <c r="V724" s="1186"/>
      <c r="W724" s="1186"/>
      <c r="X724" s="1187"/>
      <c r="Y724" s="1125">
        <f>K724+U724</f>
        <v>0</v>
      </c>
      <c r="Z724" s="1125"/>
      <c r="AA724" s="1125"/>
      <c r="AB724" s="1125"/>
      <c r="AC724" s="1125"/>
      <c r="AD724" s="1114">
        <v>0</v>
      </c>
      <c r="AE724" s="1115"/>
      <c r="AF724" s="1115"/>
      <c r="AG724" s="1115"/>
      <c r="AH724" s="1116"/>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5">
        <f t="shared" si="26"/>
        <v>0</v>
      </c>
      <c r="Q725" s="1125"/>
      <c r="R725" s="1125"/>
      <c r="S725" s="1125"/>
      <c r="T725" s="1125"/>
      <c r="U725" s="1185">
        <v>0</v>
      </c>
      <c r="V725" s="1186"/>
      <c r="W725" s="1186"/>
      <c r="X725" s="1187"/>
      <c r="Y725" s="1125">
        <f>K725+U725</f>
        <v>0</v>
      </c>
      <c r="Z725" s="1125"/>
      <c r="AA725" s="1125"/>
      <c r="AB725" s="1125"/>
      <c r="AC725" s="1125"/>
      <c r="AD725" s="1114">
        <v>0</v>
      </c>
      <c r="AE725" s="1115"/>
      <c r="AF725" s="1115"/>
      <c r="AG725" s="1115"/>
      <c r="AH725" s="1116"/>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5">
        <f t="shared" si="26"/>
        <v>0</v>
      </c>
      <c r="Q726" s="1125"/>
      <c r="R726" s="1125"/>
      <c r="S726" s="1125"/>
      <c r="T726" s="1125"/>
      <c r="U726" s="1185">
        <v>0</v>
      </c>
      <c r="V726" s="1186"/>
      <c r="W726" s="1186"/>
      <c r="X726" s="1187"/>
      <c r="Y726" s="1125">
        <f>K726+U726</f>
        <v>0</v>
      </c>
      <c r="Z726" s="1125"/>
      <c r="AA726" s="1125"/>
      <c r="AB726" s="1125"/>
      <c r="AC726" s="1125"/>
      <c r="AD726" s="1114">
        <v>0</v>
      </c>
      <c r="AE726" s="1115"/>
      <c r="AF726" s="1115"/>
      <c r="AG726" s="1115"/>
      <c r="AH726" s="1116"/>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5">
        <f t="shared" si="26"/>
        <v>0</v>
      </c>
      <c r="Q727" s="1125"/>
      <c r="R727" s="1125"/>
      <c r="S727" s="1125"/>
      <c r="T727" s="1125"/>
      <c r="U727" s="1185">
        <v>0</v>
      </c>
      <c r="V727" s="1186"/>
      <c r="W727" s="1186"/>
      <c r="X727" s="1187"/>
      <c r="Y727" s="1125">
        <f>K727+U727</f>
        <v>0</v>
      </c>
      <c r="Z727" s="1125"/>
      <c r="AA727" s="1125"/>
      <c r="AB727" s="1125"/>
      <c r="AC727" s="1125"/>
      <c r="AD727" s="1114">
        <v>0</v>
      </c>
      <c r="AE727" s="1115"/>
      <c r="AF727" s="1115"/>
      <c r="AG727" s="1115"/>
      <c r="AH727" s="1116"/>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5">
        <f t="shared" si="26"/>
        <v>0</v>
      </c>
      <c r="Q728" s="1125"/>
      <c r="R728" s="1125"/>
      <c r="S728" s="1125"/>
      <c r="T728" s="1125"/>
      <c r="U728" s="1185">
        <v>0</v>
      </c>
      <c r="V728" s="1186"/>
      <c r="W728" s="1186"/>
      <c r="X728" s="1187"/>
      <c r="Y728" s="1125">
        <f>K728+U728</f>
        <v>0</v>
      </c>
      <c r="Z728" s="1125"/>
      <c r="AA728" s="1125"/>
      <c r="AB728" s="1125"/>
      <c r="AC728" s="1125"/>
      <c r="AD728" s="1114">
        <v>0</v>
      </c>
      <c r="AE728" s="1115"/>
      <c r="AF728" s="1115"/>
      <c r="AG728" s="1115"/>
      <c r="AH728" s="1116"/>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5">
        <f t="shared" si="26"/>
        <v>0</v>
      </c>
      <c r="Q729" s="1125"/>
      <c r="R729" s="1125"/>
      <c r="S729" s="1125"/>
      <c r="T729" s="1125"/>
      <c r="U729" s="1185">
        <v>0</v>
      </c>
      <c r="V729" s="1186"/>
      <c r="W729" s="1186"/>
      <c r="X729" s="1187"/>
      <c r="Y729" s="1125">
        <f t="shared" si="28"/>
        <v>0</v>
      </c>
      <c r="Z729" s="1125"/>
      <c r="AA729" s="1125"/>
      <c r="AB729" s="1125"/>
      <c r="AC729" s="1125"/>
      <c r="AD729" s="1114">
        <v>0</v>
      </c>
      <c r="AE729" s="1115"/>
      <c r="AF729" s="1115"/>
      <c r="AG729" s="1115"/>
      <c r="AH729" s="1116"/>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26"/>
      <c r="H730" s="1127"/>
      <c r="I730" s="1127"/>
      <c r="J730" s="1128"/>
      <c r="K730" s="1184"/>
      <c r="L730" s="1184"/>
      <c r="M730" s="1184"/>
      <c r="N730" s="1184"/>
      <c r="O730" s="1184"/>
      <c r="P730" s="1125">
        <f t="shared" si="26"/>
        <v>0</v>
      </c>
      <c r="Q730" s="1125"/>
      <c r="R730" s="1125"/>
      <c r="S730" s="1125"/>
      <c r="T730" s="1125"/>
      <c r="U730" s="1185">
        <v>0</v>
      </c>
      <c r="V730" s="1186"/>
      <c r="W730" s="1186"/>
      <c r="X730" s="1187"/>
      <c r="Y730" s="1125">
        <f t="shared" si="28"/>
        <v>0</v>
      </c>
      <c r="Z730" s="1125"/>
      <c r="AA730" s="1125"/>
      <c r="AB730" s="1125"/>
      <c r="AC730" s="1125"/>
      <c r="AD730" s="1114">
        <v>0</v>
      </c>
      <c r="AE730" s="1115"/>
      <c r="AF730" s="1115"/>
      <c r="AG730" s="1115"/>
      <c r="AH730" s="1116"/>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5">
        <f t="shared" si="26"/>
        <v>0</v>
      </c>
      <c r="Q731" s="1125"/>
      <c r="R731" s="1125"/>
      <c r="S731" s="1125"/>
      <c r="T731" s="1125"/>
      <c r="U731" s="1185">
        <v>0</v>
      </c>
      <c r="V731" s="1186"/>
      <c r="W731" s="1186"/>
      <c r="X731" s="1187"/>
      <c r="Y731" s="1125">
        <f t="shared" si="28"/>
        <v>0</v>
      </c>
      <c r="Z731" s="1125"/>
      <c r="AA731" s="1125"/>
      <c r="AB731" s="1125"/>
      <c r="AC731" s="1125"/>
      <c r="AD731" s="1114">
        <v>0</v>
      </c>
      <c r="AE731" s="1115"/>
      <c r="AF731" s="1115"/>
      <c r="AG731" s="1115"/>
      <c r="AH731" s="1116"/>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5">
        <f t="shared" si="26"/>
        <v>0</v>
      </c>
      <c r="Q732" s="1125"/>
      <c r="R732" s="1125"/>
      <c r="S732" s="1125"/>
      <c r="T732" s="1125"/>
      <c r="U732" s="1185">
        <v>0</v>
      </c>
      <c r="V732" s="1186"/>
      <c r="W732" s="1186"/>
      <c r="X732" s="1187"/>
      <c r="Y732" s="1125">
        <f t="shared" si="28"/>
        <v>0</v>
      </c>
      <c r="Z732" s="1125"/>
      <c r="AA732" s="1125"/>
      <c r="AB732" s="1125"/>
      <c r="AC732" s="1125"/>
      <c r="AD732" s="1114">
        <v>0</v>
      </c>
      <c r="AE732" s="1115"/>
      <c r="AF732" s="1115"/>
      <c r="AG732" s="1115"/>
      <c r="AH732" s="1116"/>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5">
        <f t="shared" si="26"/>
        <v>0</v>
      </c>
      <c r="Q733" s="1125"/>
      <c r="R733" s="1125"/>
      <c r="S733" s="1125"/>
      <c r="T733" s="1125"/>
      <c r="U733" s="1185">
        <v>0</v>
      </c>
      <c r="V733" s="1186"/>
      <c r="W733" s="1186"/>
      <c r="X733" s="1187"/>
      <c r="Y733" s="1125">
        <f t="shared" si="28"/>
        <v>0</v>
      </c>
      <c r="Z733" s="1125"/>
      <c r="AA733" s="1125"/>
      <c r="AB733" s="1125"/>
      <c r="AC733" s="1125"/>
      <c r="AD733" s="1114">
        <v>0</v>
      </c>
      <c r="AE733" s="1115"/>
      <c r="AF733" s="1115"/>
      <c r="AG733" s="1115"/>
      <c r="AH733" s="1116"/>
      <c r="AI733" s="1536" t="str">
        <f t="shared" si="27"/>
        <v xml:space="preserve"> </v>
      </c>
      <c r="AJ733" s="1537"/>
      <c r="AK733" s="153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0">
        <f>SUM(G709:J733)</f>
        <v>145</v>
      </c>
      <c r="H734" s="1231"/>
      <c r="I734" s="1231"/>
      <c r="J734" s="1232"/>
      <c r="K734" s="1167" t="s">
        <v>131</v>
      </c>
      <c r="L734" s="1168"/>
      <c r="M734" s="1168"/>
      <c r="N734" s="1168"/>
      <c r="O734" s="1169"/>
      <c r="P734" s="1156">
        <f>SUM(P709:T733)</f>
        <v>36250</v>
      </c>
      <c r="Q734" s="1117"/>
      <c r="R734" s="1117"/>
      <c r="S734" s="1117"/>
      <c r="T734" s="1157"/>
      <c r="Y734" s="1238" t="s">
        <v>998</v>
      </c>
      <c r="Z734" s="1239"/>
      <c r="AA734" s="1239"/>
      <c r="AB734" s="1239"/>
      <c r="AC734" s="1240"/>
      <c r="AD734" s="1573">
        <f>AV675</f>
        <v>0.56965517241379304</v>
      </c>
      <c r="AE734" s="1574"/>
      <c r="AF734" s="1574"/>
      <c r="AG734" s="1574"/>
      <c r="AH734" s="157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5" t="s">
        <v>641</v>
      </c>
      <c r="AG736" s="1565"/>
      <c r="AH736" s="156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420</v>
      </c>
      <c r="K750" s="1105"/>
      <c r="L750" s="1105"/>
      <c r="M750" s="1105"/>
      <c r="N750" s="1106"/>
      <c r="O750" s="1229" t="s">
        <v>301</v>
      </c>
      <c r="P750" s="1229"/>
      <c r="Q750" s="1229"/>
      <c r="R750" s="1229"/>
      <c r="S750" s="1229"/>
      <c r="T750" s="1229" t="s">
        <v>491</v>
      </c>
      <c r="U750" s="1229"/>
      <c r="V750" s="1229"/>
      <c r="W750" s="1229"/>
      <c r="X750" s="1229"/>
      <c r="Y750" s="1229" t="s">
        <v>302</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347</v>
      </c>
      <c r="K754" s="1171"/>
      <c r="L754" s="1171"/>
      <c r="M754" s="1171"/>
      <c r="N754" s="1172"/>
      <c r="O754" s="1173">
        <v>1</v>
      </c>
      <c r="P754" s="1173"/>
      <c r="Q754" s="1173"/>
      <c r="R754" s="1173"/>
      <c r="S754" s="1173"/>
      <c r="T754" s="1184">
        <v>0</v>
      </c>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19">
        <f>SUM(O754:S757)</f>
        <v>1</v>
      </c>
      <c r="P758" s="1420"/>
      <c r="Q758" s="1420"/>
      <c r="R758" s="1420"/>
      <c r="S758" s="1421"/>
      <c r="T758" s="1413" t="s">
        <v>131</v>
      </c>
      <c r="U758" s="1414"/>
      <c r="V758" s="1414"/>
      <c r="W758" s="1414"/>
      <c r="X758" s="1415"/>
      <c r="Y758" s="1156">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420</v>
      </c>
      <c r="K764" s="1105"/>
      <c r="L764" s="1105"/>
      <c r="M764" s="1105"/>
      <c r="N764" s="1106"/>
      <c r="O764" s="1229" t="s">
        <v>301</v>
      </c>
      <c r="P764" s="1229"/>
      <c r="Q764" s="1229"/>
      <c r="R764" s="1229"/>
      <c r="S764" s="1229"/>
      <c r="T764" s="1229" t="s">
        <v>491</v>
      </c>
      <c r="U764" s="1229"/>
      <c r="V764" s="1229"/>
      <c r="W764" s="1229"/>
      <c r="X764" s="1229"/>
      <c r="Y764" s="1229" t="s">
        <v>302</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v>0</v>
      </c>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2">
        <f>SUM(O768:S777)</f>
        <v>0</v>
      </c>
      <c r="P778" s="1412"/>
      <c r="Q778" s="1412"/>
      <c r="R778" s="1412"/>
      <c r="S778" s="1412"/>
      <c r="T778" s="1413" t="s">
        <v>131</v>
      </c>
      <c r="U778" s="1414"/>
      <c r="V778" s="1414"/>
      <c r="W778" s="1414"/>
      <c r="X778" s="1415"/>
      <c r="Y778" s="1156">
        <f>SUM(Y768:AC777)</f>
        <v>0</v>
      </c>
      <c r="Z778" s="1117"/>
      <c r="AA778" s="1117"/>
      <c r="AB778" s="1117"/>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San Francisco</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36250</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435000</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5">
        <v>145</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8">
        <v>30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55397</v>
      </c>
      <c r="AA788" s="1214"/>
      <c r="AB788" s="1214"/>
      <c r="AC788" s="1214"/>
      <c r="AD788" s="1214"/>
      <c r="AE788" s="127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3402383.82</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0</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356</v>
      </c>
      <c r="Q796" s="1154"/>
      <c r="R796" s="1154"/>
      <c r="S796" s="1154"/>
      <c r="T796" s="1154"/>
      <c r="U796" s="1154"/>
      <c r="V796" s="1154"/>
      <c r="W796" s="1154"/>
      <c r="X796" s="1154"/>
      <c r="Y796" s="1155"/>
      <c r="Z796" s="1142"/>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3837383.82</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308</v>
      </c>
      <c r="R803" s="1151"/>
      <c r="S803" s="1151"/>
      <c r="T803" s="1151"/>
      <c r="U803" s="1151" t="s">
        <v>309</v>
      </c>
      <c r="V803" s="1151"/>
      <c r="W803" s="1151"/>
      <c r="X803" s="1151"/>
      <c r="Y803" s="1151" t="s">
        <v>310</v>
      </c>
      <c r="Z803" s="1151"/>
      <c r="AA803" s="1151"/>
      <c r="AB803" s="1151"/>
      <c r="AC803" s="1151" t="s">
        <v>384</v>
      </c>
      <c r="AD803" s="1151"/>
      <c r="AE803" s="1151"/>
      <c r="AF803" s="1151"/>
      <c r="AG803" s="1380" t="s">
        <v>357</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1">
        <v>22</v>
      </c>
      <c r="N805" s="1161"/>
      <c r="O805" s="1161"/>
      <c r="P805" s="1161"/>
      <c r="Q805" s="1161"/>
      <c r="R805" s="1161"/>
      <c r="S805" s="1161"/>
      <c r="T805" s="1161"/>
      <c r="U805" s="1161"/>
      <c r="V805" s="1161"/>
      <c r="W805" s="1161"/>
      <c r="X805" s="1161"/>
      <c r="Y805" s="1161"/>
      <c r="Z805" s="1161"/>
      <c r="AA805" s="1161"/>
      <c r="AB805" s="1161"/>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v>8</v>
      </c>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v>9</v>
      </c>
      <c r="N807" s="1161"/>
      <c r="O807" s="1161"/>
      <c r="P807" s="1161"/>
      <c r="Q807" s="1161"/>
      <c r="R807" s="1161"/>
      <c r="S807" s="1161"/>
      <c r="T807" s="1161"/>
      <c r="U807" s="1161"/>
      <c r="V807" s="1161"/>
      <c r="W807" s="1161"/>
      <c r="X807" s="1161"/>
      <c r="Y807" s="1161"/>
      <c r="Z807" s="1161"/>
      <c r="AA807" s="1161"/>
      <c r="AB807" s="1161"/>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63"/>
      <c r="E809" s="1163"/>
      <c r="F809" s="1163"/>
      <c r="G809" s="1163"/>
      <c r="H809" s="1163"/>
      <c r="I809" s="96"/>
      <c r="J809" s="96"/>
      <c r="K809" s="96"/>
      <c r="L809" s="97"/>
      <c r="M809" s="1161">
        <v>26</v>
      </c>
      <c r="N809" s="1161"/>
      <c r="O809" s="1161"/>
      <c r="P809" s="1161"/>
      <c r="Q809" s="1161"/>
      <c r="R809" s="1161"/>
      <c r="S809" s="1161"/>
      <c r="T809" s="1161"/>
      <c r="U809" s="1161"/>
      <c r="V809" s="1161"/>
      <c r="W809" s="1161"/>
      <c r="X809" s="1161"/>
      <c r="Y809" s="1161"/>
      <c r="Z809" s="1161"/>
      <c r="AA809" s="1161"/>
      <c r="AB809" s="1161"/>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4" t="s">
        <v>356</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65</v>
      </c>
      <c r="N812" s="1195"/>
      <c r="O812" s="1195"/>
      <c r="P812" s="1195"/>
      <c r="Q812" s="1195">
        <f>SUM(Q805:T811)</f>
        <v>0</v>
      </c>
      <c r="R812" s="1195"/>
      <c r="S812" s="1195"/>
      <c r="T812" s="1195"/>
      <c r="U812" s="1195">
        <f>SUM(U805:X811)</f>
        <v>0</v>
      </c>
      <c r="V812" s="1195"/>
      <c r="W812" s="1195"/>
      <c r="X812" s="1195"/>
      <c r="Y812" s="1195">
        <f>SUM(Y805:AB811)</f>
        <v>0</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1655</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8">
        <v>4400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8">
        <v>12000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8">
        <v>32880</v>
      </c>
      <c r="X824" s="1228"/>
      <c r="Y824" s="1228"/>
      <c r="Z824" s="1228"/>
      <c r="AA824" s="1228"/>
      <c r="AB824" s="1228"/>
      <c r="AC824" s="1228"/>
      <c r="AD824" s="12"/>
      <c r="AE824" s="12"/>
      <c r="AF824" s="12"/>
      <c r="AG824" s="12"/>
      <c r="AH824" s="12"/>
      <c r="AI824" s="12"/>
      <c r="AJ824" s="12"/>
      <c r="AK824" s="12"/>
      <c r="AL824" s="12"/>
      <c r="AS824" s="21"/>
      <c r="AT824" s="56"/>
      <c r="AV824" s="1150">
        <f>ROUNDDOWN(AP908*2,2)</f>
        <v>0</v>
      </c>
      <c r="AW824" s="1150"/>
      <c r="AX824" s="1150"/>
      <c r="AY824" s="115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8">
        <v>12000</v>
      </c>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28" t="s">
        <v>1760</v>
      </c>
      <c r="N826" s="1165"/>
      <c r="O826" s="1165"/>
      <c r="P826" s="1165"/>
      <c r="Q826" s="1165"/>
      <c r="R826" s="1165"/>
      <c r="S826" s="1165"/>
      <c r="T826" s="1165"/>
      <c r="U826" s="1165"/>
      <c r="V826" s="1166"/>
      <c r="W826" s="1142">
        <v>67186</v>
      </c>
      <c r="X826" s="1143"/>
      <c r="Y826" s="1143"/>
      <c r="Z826" s="1143"/>
      <c r="AA826" s="1143"/>
      <c r="AB826" s="1143"/>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9">
        <f>SUM(W822:AC826)</f>
        <v>128466</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7" t="s">
        <v>368</v>
      </c>
      <c r="K829" s="1168"/>
      <c r="L829" s="1168"/>
      <c r="M829" s="1168"/>
      <c r="N829" s="1168"/>
      <c r="O829" s="1168"/>
      <c r="P829" s="1168"/>
      <c r="Q829" s="1168"/>
      <c r="R829" s="1168"/>
      <c r="S829" s="1168"/>
      <c r="T829" s="1168"/>
      <c r="U829" s="1168"/>
      <c r="V829" s="1169"/>
      <c r="W829" s="1142">
        <v>121800</v>
      </c>
      <c r="X829" s="1143"/>
      <c r="Y829" s="1143"/>
      <c r="Z829" s="1143"/>
      <c r="AA829" s="1143"/>
      <c r="AB829" s="1143"/>
      <c r="AC829" s="114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5">
        <v>33953</v>
      </c>
      <c r="X832" s="1386"/>
      <c r="Y832" s="1386"/>
      <c r="Z832" s="1386"/>
      <c r="AA832" s="1386"/>
      <c r="AB832" s="1386"/>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4">
        <v>108900</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4">
        <v>86700</v>
      </c>
      <c r="X834" s="1384"/>
      <c r="Y834" s="1384"/>
      <c r="Z834" s="1384"/>
      <c r="AA834" s="1384"/>
      <c r="AB834" s="1384"/>
      <c r="AC834" s="1384"/>
      <c r="AD834" s="12"/>
      <c r="AE834" s="12"/>
      <c r="AF834" s="12"/>
      <c r="AG834" s="12"/>
      <c r="AH834" s="12"/>
      <c r="AI834" s="12"/>
      <c r="AJ834" s="12"/>
      <c r="AK834" s="12"/>
      <c r="AL834" s="12"/>
      <c r="AM834" s="1411">
        <f>SUM(AM801:AM829)</f>
        <v>7.5000000000000011E-2</v>
      </c>
      <c r="AN834" s="141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9">
        <f>SUM(W831:AC834)</f>
        <v>229553</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5">
        <v>128460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5">
        <v>192000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28" t="s">
        <v>1761</v>
      </c>
      <c r="N839" s="1165"/>
      <c r="O839" s="1165"/>
      <c r="P839" s="1165"/>
      <c r="Q839" s="1165"/>
      <c r="R839" s="1165"/>
      <c r="S839" s="1165"/>
      <c r="T839" s="1165"/>
      <c r="U839" s="1165"/>
      <c r="V839" s="1166"/>
      <c r="W839" s="1385">
        <f>152880+157402</f>
        <v>310282</v>
      </c>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3">
        <f>SUM(W837:AC839)</f>
        <v>630742</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5">
        <v>160000</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8">
        <v>46455</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8">
        <v>113888</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8">
        <v>84637</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8"/>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8">
        <v>11340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28" t="s">
        <v>1762</v>
      </c>
      <c r="N849" s="1165"/>
      <c r="O849" s="1165"/>
      <c r="P849" s="1165"/>
      <c r="Q849" s="1165"/>
      <c r="R849" s="1165"/>
      <c r="S849" s="1165"/>
      <c r="T849" s="1165"/>
      <c r="U849" s="1165"/>
      <c r="V849" s="1166"/>
      <c r="W849" s="1228">
        <v>15540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1">
        <f>SUM(W843:AC849)</f>
        <v>271860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64" t="s">
        <v>356</v>
      </c>
      <c r="N852" s="1165"/>
      <c r="O852" s="1165"/>
      <c r="P852" s="1165"/>
      <c r="Q852" s="1165"/>
      <c r="R852" s="1165"/>
      <c r="S852" s="1165"/>
      <c r="T852" s="1165"/>
      <c r="U852" s="1165"/>
      <c r="V852" s="1166"/>
      <c r="W852" s="1142"/>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64" t="s">
        <v>356</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4" t="s">
        <v>356</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4" t="s">
        <v>356</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4" t="s">
        <v>356</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9">
        <f>SUM(W852:AC856)</f>
        <v>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9">
        <f>W827+W835+W840+W841+W850+W857+W829</f>
        <v>1542421</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60">
        <f>O778+O758+G734</f>
        <v>146</v>
      </c>
      <c r="AD862" s="1561"/>
      <c r="AE862" s="1561"/>
      <c r="AF862" s="1561"/>
      <c r="AG862" s="1561"/>
      <c r="AH862" s="156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63">
        <f>IF(ISERROR((ROUNDDOWN(AC861/AC862,0))),0,(ROUNDDOWN(AC861/AC862,0)))</f>
        <v>10564</v>
      </c>
      <c r="AD863" s="1564"/>
      <c r="AE863" s="1564"/>
      <c r="AF863" s="1564"/>
      <c r="AG863" s="1564"/>
      <c r="AH863" s="156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0">
        <f>'Sources and Uses Budget'!B72</f>
        <v>823470</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4">
        <v>0</v>
      </c>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2">
        <v>77711</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87600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8850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1763</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228">
        <v>7500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1764</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228">
        <v>2500</v>
      </c>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2">
        <v>0</v>
      </c>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9">
        <f>Z874-(Z875+Z876)</f>
        <v>0</v>
      </c>
      <c r="AA877" s="1210"/>
      <c r="AB877" s="1210"/>
      <c r="AC877" s="1210"/>
      <c r="AD877" s="1210"/>
      <c r="AE877" s="1211"/>
      <c r="AM877" s="61"/>
      <c r="AO877" s="52" t="s">
        <v>179</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5"/>
      <c r="AR884" s="1405"/>
      <c r="AS884" s="140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322</v>
      </c>
      <c r="AP885" s="177">
        <v>10</v>
      </c>
      <c r="AQ885" s="1141">
        <f>IF(AD988&gt;0,0.1,0)</f>
        <v>0.1</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0.30000000000000004</v>
      </c>
      <c r="AR886" s="1141"/>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0.30000000000000004</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873</v>
      </c>
      <c r="G890" s="1397"/>
      <c r="H890" s="1397"/>
      <c r="I890" s="1397"/>
      <c r="J890" s="1397"/>
      <c r="K890" s="1397"/>
      <c r="L890" s="1397"/>
      <c r="M890" s="1397"/>
      <c r="N890" s="1397"/>
      <c r="O890" s="1397"/>
      <c r="P890" s="1397"/>
      <c r="Q890" s="1397"/>
      <c r="R890" s="1397"/>
      <c r="S890" s="1397"/>
      <c r="T890" s="1398"/>
      <c r="U890" s="1334" t="s">
        <v>34</v>
      </c>
      <c r="V890" s="1335"/>
      <c r="W890" s="1335"/>
      <c r="X890" s="1335"/>
      <c r="Y890" s="1335"/>
      <c r="Z890" s="13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6" t="s">
        <v>902</v>
      </c>
      <c r="G891" s="1337"/>
      <c r="H891" s="1337"/>
      <c r="I891" s="1337"/>
      <c r="J891" s="1337"/>
      <c r="K891" s="1337"/>
      <c r="L891" s="1337"/>
      <c r="M891" s="1337"/>
      <c r="N891" s="1337"/>
      <c r="O891" s="1337"/>
      <c r="P891" s="1337"/>
      <c r="Q891" s="1337"/>
      <c r="R891" s="1337"/>
      <c r="S891" s="1337"/>
      <c r="T891" s="1558"/>
      <c r="U891" s="1336"/>
      <c r="V891" s="1337"/>
      <c r="W891" s="1337"/>
      <c r="X891" s="1337"/>
      <c r="Y891" s="1337"/>
      <c r="Z891" s="13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8"/>
      <c r="G892" s="1339"/>
      <c r="H892" s="1339"/>
      <c r="I892" s="1339"/>
      <c r="J892" s="1339"/>
      <c r="K892" s="1339"/>
      <c r="L892" s="1339"/>
      <c r="M892" s="1339"/>
      <c r="N892" s="1339"/>
      <c r="O892" s="1339"/>
      <c r="P892" s="1339"/>
      <c r="Q892" s="1339"/>
      <c r="R892" s="1339"/>
      <c r="S892" s="1339"/>
      <c r="T892" s="1559"/>
      <c r="U892" s="1338"/>
      <c r="V892" s="1339"/>
      <c r="W892" s="1339"/>
      <c r="X892" s="1339"/>
      <c r="Y892" s="1339"/>
      <c r="Z892" s="1339"/>
      <c r="AA892" s="168"/>
      <c r="AB892" s="1212" t="s">
        <v>423</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4" t="s">
        <v>641</v>
      </c>
      <c r="V893" s="1225"/>
      <c r="W893" s="1225"/>
      <c r="X893" s="1225"/>
      <c r="Y893" s="1225"/>
      <c r="Z893" s="1226"/>
      <c r="AA893" s="1188"/>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4" t="s">
        <v>641</v>
      </c>
      <c r="V894" s="1225"/>
      <c r="W894" s="1225"/>
      <c r="X894" s="1225"/>
      <c r="Y894" s="1225"/>
      <c r="Z894" s="1226"/>
      <c r="AA894" s="1188"/>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4" t="s">
        <v>641</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4" t="s">
        <v>641</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4" t="s">
        <v>641</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4" t="s">
        <v>641</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4" t="s">
        <v>641</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4" t="s">
        <v>641</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4" t="s">
        <v>641</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4" t="s">
        <v>641</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4" t="s">
        <v>641</v>
      </c>
      <c r="V903" s="1225"/>
      <c r="W903" s="1225"/>
      <c r="X903" s="1225"/>
      <c r="Y903" s="1225"/>
      <c r="Z903" s="1226"/>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4" t="s">
        <v>641</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4" t="s">
        <v>641</v>
      </c>
      <c r="V905" s="1225"/>
      <c r="W905" s="1225"/>
      <c r="X905" s="1225"/>
      <c r="Y905" s="1225"/>
      <c r="Z905" s="1226"/>
      <c r="AA905" s="1188"/>
      <c r="AB905" s="1189"/>
      <c r="AC905" s="1189"/>
      <c r="AD905" s="1189"/>
      <c r="AE905" s="1189"/>
      <c r="AF905" s="1190"/>
      <c r="AM905" s="1406">
        <f>G734+O778</f>
        <v>145</v>
      </c>
      <c r="AN905" s="140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4" t="s">
        <v>641</v>
      </c>
      <c r="V906" s="1225"/>
      <c r="W906" s="1225"/>
      <c r="X906" s="1225"/>
      <c r="Y906" s="1225"/>
      <c r="Z906" s="1226"/>
      <c r="AA906" s="1188"/>
      <c r="AB906" s="1189"/>
      <c r="AC906" s="1189"/>
      <c r="AD906" s="1189"/>
      <c r="AE906" s="1189"/>
      <c r="AF906" s="1190"/>
      <c r="AM906" s="52"/>
      <c r="AN906" s="21"/>
      <c r="AO906" s="1381">
        <f>ROUNDDOWN(X999/I999,2)</f>
        <v>0.3</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4" t="s">
        <v>641</v>
      </c>
      <c r="V907" s="1225"/>
      <c r="W907" s="1225"/>
      <c r="X907" s="1225"/>
      <c r="Y907" s="1225"/>
      <c r="Z907" s="1226"/>
      <c r="AA907" s="1188"/>
      <c r="AB907" s="1189"/>
      <c r="AC907" s="1189"/>
      <c r="AD907" s="1189"/>
      <c r="AE907" s="1189"/>
      <c r="AF907" s="1190"/>
      <c r="AM907" s="52"/>
      <c r="AN907" s="52"/>
      <c r="AO907" s="1360">
        <f>ROUNDDOWN(X1003/I1003,2)</f>
        <v>0</v>
      </c>
      <c r="AP907" s="1361"/>
      <c r="AQ907" s="1361"/>
      <c r="AR907" s="136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4" t="s">
        <v>722</v>
      </c>
      <c r="Q908" s="1225"/>
      <c r="R908" s="1225"/>
      <c r="S908" s="1225"/>
      <c r="T908" s="1226"/>
      <c r="U908" s="1224" t="s">
        <v>641</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9" t="s">
        <v>356</v>
      </c>
      <c r="J909" s="1388"/>
      <c r="K909" s="1388"/>
      <c r="L909" s="1388"/>
      <c r="M909" s="1388"/>
      <c r="N909" s="1388"/>
      <c r="O909" s="1388"/>
      <c r="P909" s="1388"/>
      <c r="Q909" s="1388"/>
      <c r="R909" s="1388"/>
      <c r="S909" s="1388"/>
      <c r="T909" s="1389"/>
      <c r="U909" s="1224" t="s">
        <v>641</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
        <v>356</v>
      </c>
      <c r="J910" s="1154"/>
      <c r="K910" s="1154"/>
      <c r="L910" s="1154"/>
      <c r="M910" s="1154"/>
      <c r="N910" s="1154"/>
      <c r="O910" s="1154"/>
      <c r="P910" s="1154"/>
      <c r="Q910" s="1154"/>
      <c r="R910" s="1154"/>
      <c r="S910" s="1154"/>
      <c r="T910" s="1155"/>
      <c r="U910" s="1224" t="s">
        <v>641</v>
      </c>
      <c r="V910" s="1225"/>
      <c r="W910" s="1225"/>
      <c r="X910" s="1225"/>
      <c r="Y910" s="1225"/>
      <c r="Z910" s="1226"/>
      <c r="AA910" s="1188"/>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69" t="s">
        <v>1782</v>
      </c>
      <c r="J911" s="1154"/>
      <c r="K911" s="1154"/>
      <c r="L911" s="1154"/>
      <c r="M911" s="1154"/>
      <c r="N911" s="1154"/>
      <c r="O911" s="1154"/>
      <c r="P911" s="1154"/>
      <c r="Q911" s="1154"/>
      <c r="R911" s="1154"/>
      <c r="S911" s="1154"/>
      <c r="T911" s="1155"/>
      <c r="U911" s="1224" t="s">
        <v>641</v>
      </c>
      <c r="V911" s="1225"/>
      <c r="W911" s="1225"/>
      <c r="X911" s="1225"/>
      <c r="Y911" s="1225"/>
      <c r="Z911" s="1226"/>
      <c r="AA911" s="1188">
        <v>21347845</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3" t="s">
        <v>356</v>
      </c>
      <c r="J912" s="1154"/>
      <c r="K912" s="1154"/>
      <c r="L912" s="1154"/>
      <c r="M912" s="1154"/>
      <c r="N912" s="1154"/>
      <c r="O912" s="1154"/>
      <c r="P912" s="1154"/>
      <c r="Q912" s="1154"/>
      <c r="R912" s="1154"/>
      <c r="S912" s="1154"/>
      <c r="T912" s="1155"/>
      <c r="U912" s="1224" t="s">
        <v>641</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c r="N917" s="1214"/>
      <c r="O917" s="1214"/>
      <c r="P917" s="1214"/>
      <c r="Q917" s="1214"/>
      <c r="R917" s="1214"/>
      <c r="S917" s="1271"/>
      <c r="U917" s="103" t="s">
        <v>11</v>
      </c>
      <c r="V917" s="77"/>
      <c r="W917" s="77"/>
      <c r="X917" s="77"/>
      <c r="Y917" s="77"/>
      <c r="Z917" s="77"/>
      <c r="AA917" s="77"/>
      <c r="AB917" s="77"/>
      <c r="AC917" s="77"/>
      <c r="AD917" s="78"/>
      <c r="AE917" s="1270"/>
      <c r="AF917" s="1214"/>
      <c r="AG917" s="1214"/>
      <c r="AH917" s="1214"/>
      <c r="AI917" s="1214"/>
      <c r="AJ917" s="1214"/>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1" t="s">
        <v>1783</v>
      </c>
      <c r="N918" s="1352"/>
      <c r="O918" s="1352"/>
      <c r="P918" s="1352"/>
      <c r="Q918" s="1352"/>
      <c r="R918" s="1352"/>
      <c r="S918" s="1353"/>
      <c r="U918" s="103" t="s">
        <v>12</v>
      </c>
      <c r="V918" s="77"/>
      <c r="W918" s="77"/>
      <c r="X918" s="77"/>
      <c r="Y918" s="77"/>
      <c r="Z918" s="77"/>
      <c r="AA918" s="77"/>
      <c r="AB918" s="77"/>
      <c r="AC918" s="77"/>
      <c r="AD918" s="78"/>
      <c r="AE918" s="1351"/>
      <c r="AF918" s="1352"/>
      <c r="AG918" s="1352"/>
      <c r="AH918" s="1352"/>
      <c r="AI918" s="1352"/>
      <c r="AJ918" s="1352"/>
      <c r="AK918" s="13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4" t="s">
        <v>328</v>
      </c>
      <c r="K919" s="1375"/>
      <c r="L919" s="1375"/>
      <c r="M919" s="1375"/>
      <c r="N919" s="1375"/>
      <c r="O919" s="1375"/>
      <c r="P919" s="1375"/>
      <c r="Q919" s="1375"/>
      <c r="R919" s="1375"/>
      <c r="S919" s="1376"/>
      <c r="U919" s="103" t="s">
        <v>974</v>
      </c>
      <c r="V919" s="77"/>
      <c r="W919" s="77"/>
      <c r="AB919" s="1374" t="s">
        <v>328</v>
      </c>
      <c r="AC919" s="1375"/>
      <c r="AD919" s="1375"/>
      <c r="AE919" s="1375"/>
      <c r="AF919" s="1375"/>
      <c r="AG919" s="1375"/>
      <c r="AH919" s="1375"/>
      <c r="AI919" s="1375"/>
      <c r="AJ919" s="1375"/>
      <c r="AK919" s="137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v>1</v>
      </c>
      <c r="N920" s="1364"/>
      <c r="O920" s="1364"/>
      <c r="P920" s="1364"/>
      <c r="Q920" s="1364"/>
      <c r="R920" s="1364"/>
      <c r="S920" s="1365"/>
      <c r="U920" s="103" t="s">
        <v>13</v>
      </c>
      <c r="V920" s="77"/>
      <c r="W920" s="77"/>
      <c r="X920" s="77"/>
      <c r="Y920" s="77"/>
      <c r="Z920" s="77"/>
      <c r="AA920" s="77"/>
      <c r="AB920" s="77"/>
      <c r="AC920" s="77"/>
      <c r="AD920" s="78"/>
      <c r="AE920" s="1363"/>
      <c r="AF920" s="1364"/>
      <c r="AG920" s="1364"/>
      <c r="AH920" s="1364"/>
      <c r="AI920" s="1364"/>
      <c r="AJ920" s="1364"/>
      <c r="AK920" s="136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145</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'Subsidy Contract Calculation'!I30</f>
        <v>3402383.82</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M922*M924</f>
        <v>102071514.59999999</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6">
        <v>30</v>
      </c>
      <c r="N924" s="1347"/>
      <c r="O924" s="1347"/>
      <c r="P924" s="1347"/>
      <c r="Q924" s="1347"/>
      <c r="R924" s="1347"/>
      <c r="S924" s="1348"/>
      <c r="U924" s="103" t="s">
        <v>620</v>
      </c>
      <c r="V924" s="77"/>
      <c r="W924" s="77"/>
      <c r="X924" s="77"/>
      <c r="Y924" s="77"/>
      <c r="Z924" s="77"/>
      <c r="AA924" s="77"/>
      <c r="AB924" s="77"/>
      <c r="AC924" s="77"/>
      <c r="AD924" s="78"/>
      <c r="AE924" s="1346"/>
      <c r="AF924" s="1347"/>
      <c r="AG924" s="1347"/>
      <c r="AH924" s="1347"/>
      <c r="AI924" s="1347"/>
      <c r="AJ924" s="1347"/>
      <c r="AK924" s="134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5"/>
      <c r="N929" s="1206"/>
      <c r="O929" s="1206"/>
      <c r="P929" s="1206"/>
      <c r="Q929" s="1206"/>
      <c r="R929" s="1206"/>
      <c r="S929" s="1207"/>
      <c r="T929" s="103" t="s">
        <v>871</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5"/>
      <c r="N930" s="1206"/>
      <c r="O930" s="1206"/>
      <c r="P930" s="1206"/>
      <c r="Q930" s="1206"/>
      <c r="R930" s="1206"/>
      <c r="S930" s="1207"/>
      <c r="T930" s="103" t="s">
        <v>870</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8" t="s">
        <v>641</v>
      </c>
      <c r="N931" s="1369"/>
      <c r="O931" s="1369"/>
      <c r="P931" s="1369"/>
      <c r="Q931" s="1369"/>
      <c r="R931" s="1369"/>
      <c r="S931" s="1370"/>
      <c r="T931" s="76" t="s">
        <v>359</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5"/>
      <c r="N932" s="1206"/>
      <c r="O932" s="1206"/>
      <c r="P932" s="1206"/>
      <c r="Q932" s="1206"/>
      <c r="R932" s="1206"/>
      <c r="S932" s="1207"/>
      <c r="T932" s="76" t="s">
        <v>360</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5"/>
      <c r="N933" s="1206"/>
      <c r="O933" s="1206"/>
      <c r="P933" s="1206"/>
      <c r="Q933" s="1206"/>
      <c r="R933" s="1206"/>
      <c r="S933" s="1207"/>
      <c r="T933" s="76" t="s">
        <v>407</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7" t="s">
        <v>328</v>
      </c>
      <c r="N934" s="1358"/>
      <c r="O934" s="1358"/>
      <c r="P934" s="1358"/>
      <c r="Q934" s="1358"/>
      <c r="R934" s="1358"/>
      <c r="S934" s="1359"/>
      <c r="T934" s="1329"/>
      <c r="U934" s="1330"/>
      <c r="V934" s="1330"/>
      <c r="W934" s="1330"/>
      <c r="X934" s="1330"/>
      <c r="Y934" s="1330"/>
      <c r="Z934" s="1331"/>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5"/>
      <c r="N935" s="1206"/>
      <c r="O935" s="1206"/>
      <c r="P935" s="1206"/>
      <c r="Q935" s="1206"/>
      <c r="R935" s="1206"/>
      <c r="S935" s="1207"/>
      <c r="T935" s="1329"/>
      <c r="U935" s="1330"/>
      <c r="V935" s="1330"/>
      <c r="W935" s="1330"/>
      <c r="X935" s="1330"/>
      <c r="Y935" s="1330"/>
      <c r="Z935" s="1331"/>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8" t="s">
        <v>722</v>
      </c>
      <c r="P936" s="1299"/>
      <c r="Q936" s="142"/>
      <c r="R936" s="142"/>
      <c r="S936" s="143"/>
      <c r="T936" s="71" t="s">
        <v>176</v>
      </c>
      <c r="U936" s="72"/>
      <c r="V936" s="72"/>
      <c r="W936" s="1164" t="s">
        <v>356</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5"/>
      <c r="N937" s="1206"/>
      <c r="O937" s="1206"/>
      <c r="P937" s="1206"/>
      <c r="Q937" s="1206"/>
      <c r="R937" s="1206"/>
      <c r="S937" s="1207"/>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594</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6" t="s">
        <v>688</v>
      </c>
      <c r="C946" s="1366"/>
      <c r="D946" s="1366"/>
      <c r="E946" s="1366"/>
      <c r="F946" s="1366"/>
      <c r="G946" s="1366"/>
      <c r="H946" s="1366"/>
      <c r="I946" s="1366"/>
      <c r="J946" s="1366"/>
      <c r="K946" s="1366"/>
      <c r="L946" s="1366" t="s">
        <v>689</v>
      </c>
      <c r="M946" s="1366"/>
      <c r="N946" s="1366"/>
      <c r="O946" s="1366"/>
      <c r="P946" s="1366"/>
      <c r="Q946" s="1366"/>
      <c r="R946" s="1366"/>
      <c r="S946" s="1366"/>
      <c r="T946" s="1366"/>
      <c r="U946" s="1366"/>
      <c r="V946" s="1366" t="s">
        <v>690</v>
      </c>
      <c r="W946" s="1366"/>
      <c r="X946" s="1366"/>
      <c r="Y946" s="1366"/>
      <c r="Z946" s="1366"/>
      <c r="AA946" s="1366"/>
      <c r="AB946" s="1366"/>
      <c r="AC946" s="1366"/>
      <c r="AD946" s="1377" t="s">
        <v>691</v>
      </c>
      <c r="AE946" s="1378"/>
      <c r="AF946" s="1378"/>
      <c r="AG946" s="1378"/>
      <c r="AH946" s="1378"/>
      <c r="AI946" s="1378"/>
      <c r="AJ946" s="1378"/>
      <c r="AK946" s="137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3">
        <f>IF(ISNA(IF($BA$779="4%",(INDEX($BC$789:$BG$846,MATCH($BO$779,$BB$789:$BB$846,0),MATCH(B947,$BC$788:$BG$788,0))),(INDEX($BJ$789:$BN$846,MATCH($BO$779,$BI$789:$BI$846,0),MATCH(B947,$BJ$788:$BN$788,0))))),0,IF($BA$779="4%",(INDEX($BC$789:$BG$846,MATCH($BO$779,$BB$789:$BB$846,0),MATCH(B947,$BC$788:$BG$788,0))),(INDEX($BJ$789:$BN$846,MATCH($BO$779,$BI$789:$BI$846,0),MATCH(B947,$BJ$788:$BN$788,0)))))</f>
        <v>440603</v>
      </c>
      <c r="M947" s="1344"/>
      <c r="N947" s="1344"/>
      <c r="O947" s="1344"/>
      <c r="P947" s="1344"/>
      <c r="Q947" s="1344"/>
      <c r="R947" s="1344"/>
      <c r="S947" s="1344"/>
      <c r="T947" s="1344"/>
      <c r="U947" s="1345"/>
      <c r="V947" s="1373">
        <f>BA635</f>
        <v>145</v>
      </c>
      <c r="W947" s="1373"/>
      <c r="X947" s="1373"/>
      <c r="Y947" s="1373"/>
      <c r="Z947" s="1373"/>
      <c r="AA947" s="1373"/>
      <c r="AB947" s="1373"/>
      <c r="AC947" s="1373"/>
      <c r="AD947" s="1286">
        <f>IF(ISERROR((L947*V947)),0,(L947*V947))</f>
        <v>63887435</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347</v>
      </c>
      <c r="C948" s="1203"/>
      <c r="D948" s="1203"/>
      <c r="E948" s="1203"/>
      <c r="F948" s="1203"/>
      <c r="G948" s="1203"/>
      <c r="H948" s="1203"/>
      <c r="I948" s="1203"/>
      <c r="J948" s="1203"/>
      <c r="K948" s="1203"/>
      <c r="L948" s="1343">
        <f>IF(ISNA(IF($BA$779="4%",(INDEX($BC$789:$BG$846,MATCH($BO$779,$BB$789:$BB$846,0),MATCH(B948,$BC$788:$BG$788,0))),(INDEX($BJ$789:$BN$846,MATCH($BO$779,$BI$789:$BI$846,0),MATCH(B948,$BJ$788:$BN$788,0))))),0,IF($BA$779="4%",(INDEX($BC$789:$BG$846,MATCH($BO$779,$BB$789:$BB$846,0),MATCH(B948,$BC$788:$BG$788,0))),(INDEX($BJ$789:$BN$846,MATCH($BO$779,$BI$789:$BI$846,0),MATCH(B948,$BJ$788:$BN$788,0)))))</f>
        <v>508011</v>
      </c>
      <c r="M948" s="1344"/>
      <c r="N948" s="1344"/>
      <c r="O948" s="1344"/>
      <c r="P948" s="1344"/>
      <c r="Q948" s="1344"/>
      <c r="R948" s="1344"/>
      <c r="S948" s="1344"/>
      <c r="T948" s="1344"/>
      <c r="U948" s="1345"/>
      <c r="V948" s="1373">
        <f>BF635</f>
        <v>1</v>
      </c>
      <c r="W948" s="1373"/>
      <c r="X948" s="1373"/>
      <c r="Y948" s="1373"/>
      <c r="Z948" s="1373"/>
      <c r="AA948" s="1373"/>
      <c r="AB948" s="1373"/>
      <c r="AC948" s="1373"/>
      <c r="AD948" s="1286">
        <f>IF(ISERROR((L948*V948)),0,(L948*V948))</f>
        <v>508011</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3">
        <f>IF(ISNA(IF($BA$779="4%",(INDEX($BC$789:$BG$846,MATCH($BO$779,$BB$789:$BB$846,0),MATCH(B949,$BC$788:$BG$788,0))),(INDEX($BJ$789:$BN$846,MATCH($BO$779,$BI$789:$BI$846,0),MATCH(B949,$BJ$788:$BN$788,0))))),0,IF($BA$779="4%",(INDEX($BC$789:$BG$846,MATCH($BO$779,$BB$789:$BB$846,0),MATCH(B949,$BC$788:$BG$788,0))),(INDEX($BJ$789:$BN$846,MATCH($BO$779,$BI$789:$BI$846,0),MATCH(B949,$BJ$788:$BN$788,0)))))</f>
        <v>612800</v>
      </c>
      <c r="M949" s="1344"/>
      <c r="N949" s="1344"/>
      <c r="O949" s="1344"/>
      <c r="P949" s="1344"/>
      <c r="Q949" s="1344"/>
      <c r="R949" s="1344"/>
      <c r="S949" s="1344"/>
      <c r="T949" s="1344"/>
      <c r="U949" s="1345"/>
      <c r="V949" s="1373">
        <f>BK635</f>
        <v>0</v>
      </c>
      <c r="W949" s="1373"/>
      <c r="X949" s="1373"/>
      <c r="Y949" s="1373"/>
      <c r="Z949" s="1373"/>
      <c r="AA949" s="1373"/>
      <c r="AB949" s="1373"/>
      <c r="AC949" s="1373"/>
      <c r="AD949" s="1286">
        <f>IF(ISERROR((L949*V949)),0,(L949*V949))</f>
        <v>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3">
        <f>IF(ISNA(IF($BA$779="4%",(INDEX($BC$789:$BG$846,MATCH($BO$779,$BB$789:$BB$846,0),MATCH(B950,$BC$788:$BG$788,0))),(INDEX($BJ$789:$BN$846,MATCH($BO$779,$BI$789:$BI$846,0),MATCH(B950,$BJ$788:$BN$788,0))))),0,IF($BA$779="4%",(INDEX($BC$789:$BG$846,MATCH($BO$779,$BB$789:$BB$846,0),MATCH(B950,$BC$788:$BG$788,0))),(INDEX($BJ$789:$BN$846,MATCH($BO$779,$BI$789:$BI$846,0),MATCH(B950,$BJ$788:$BN$788,0)))))</f>
        <v>784384</v>
      </c>
      <c r="M950" s="1344"/>
      <c r="N950" s="1344"/>
      <c r="O950" s="1344"/>
      <c r="P950" s="1344"/>
      <c r="Q950" s="1344"/>
      <c r="R950" s="1344"/>
      <c r="S950" s="1344"/>
      <c r="T950" s="1344"/>
      <c r="U950" s="1345"/>
      <c r="V950" s="1373">
        <f>BP635</f>
        <v>0</v>
      </c>
      <c r="W950" s="1373"/>
      <c r="X950" s="1373"/>
      <c r="Y950" s="1373"/>
      <c r="Z950" s="1373"/>
      <c r="AA950" s="1373"/>
      <c r="AB950" s="1373"/>
      <c r="AC950" s="1373"/>
      <c r="AD950" s="1286">
        <f>IF(ISERROR((L950*V950)),0,(L950*V950))</f>
        <v>0</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3" t="s">
        <v>506</v>
      </c>
      <c r="C951" s="1203"/>
      <c r="D951" s="1203"/>
      <c r="E951" s="1203"/>
      <c r="F951" s="1203"/>
      <c r="G951" s="1203"/>
      <c r="H951" s="1203"/>
      <c r="I951" s="1203"/>
      <c r="J951" s="1203"/>
      <c r="K951" s="1203"/>
      <c r="L951" s="1343">
        <f>IF(ISNA(IF($BA$779="4%",(INDEX($BC$789:$BG$846,MATCH($BO$779,$BB$789:$BB$846,0),MATCH(B951,$BC$788:$BG$788,0))),(INDEX($BJ$789:$BN$846,MATCH($BO$779,$BI$789:$BI$846,0),MATCH(B951,$BJ$788:$BN$788,0))))),0,IF($BA$779="4%",(INDEX($BC$789:$BG$846,MATCH($BO$779,$BB$789:$BB$846,0),MATCH(B951,$BC$788:$BG$788,0))),(INDEX($BJ$789:$BN$846,MATCH($BO$779,$BI$789:$BI$846,0),MATCH(B951,$BJ$788:$BN$788,0)))))</f>
        <v>873853</v>
      </c>
      <c r="M951" s="1344"/>
      <c r="N951" s="1344"/>
      <c r="O951" s="1344"/>
      <c r="P951" s="1344"/>
      <c r="Q951" s="1344"/>
      <c r="R951" s="1344"/>
      <c r="S951" s="1344"/>
      <c r="T951" s="1344"/>
      <c r="U951" s="1345"/>
      <c r="V951" s="1373">
        <f>BZ635+BU635</f>
        <v>0</v>
      </c>
      <c r="W951" s="1373"/>
      <c r="X951" s="1373"/>
      <c r="Y951" s="1373"/>
      <c r="Z951" s="1373"/>
      <c r="AA951" s="1373"/>
      <c r="AB951" s="1373"/>
      <c r="AC951" s="1373"/>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872</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399">
        <f>SUM(V947:AC951)</f>
        <v>146</v>
      </c>
      <c r="W952" s="1400"/>
      <c r="X952" s="1400"/>
      <c r="Y952" s="1400"/>
      <c r="Z952" s="1400"/>
      <c r="AA952" s="1400"/>
      <c r="AB952" s="1400"/>
      <c r="AC952" s="1401"/>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0" t="s">
        <v>558</v>
      </c>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41"/>
      <c r="Y953" s="1341"/>
      <c r="Z953" s="1341"/>
      <c r="AA953" s="1341"/>
      <c r="AB953" s="1341"/>
      <c r="AC953" s="1342"/>
      <c r="AD953" s="1266">
        <f>SUM(AD947:AK951)</f>
        <v>64395446</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4" t="s">
        <v>719</v>
      </c>
      <c r="AA954" s="1555"/>
      <c r="AB954" s="1555"/>
      <c r="AC954" s="15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49" t="s">
        <v>1482</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71" t="s">
        <v>591</v>
      </c>
      <c r="AB955" s="1372"/>
      <c r="AC955" s="128"/>
      <c r="AD955" s="1179">
        <f>ROUND(IF(AND(AA955="yes",D957&gt;0),AD953*0.2,0),0)</f>
        <v>12879089</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5" t="s">
        <v>1483</v>
      </c>
      <c r="E956" s="1586"/>
      <c r="F956" s="1586"/>
      <c r="G956" s="1586"/>
      <c r="H956" s="1586"/>
      <c r="I956" s="1586"/>
      <c r="J956" s="1586"/>
      <c r="K956" s="1586"/>
      <c r="L956" s="1586"/>
      <c r="M956" s="1586"/>
      <c r="N956" s="1586"/>
      <c r="O956" s="1586"/>
      <c r="P956" s="1586"/>
      <c r="Q956" s="1586"/>
      <c r="R956" s="1586"/>
      <c r="S956" s="1586"/>
      <c r="T956" s="1586"/>
      <c r="U956" s="1586"/>
      <c r="V956" s="1586"/>
      <c r="W956" s="1586"/>
      <c r="X956" s="1586"/>
      <c r="Y956" s="1587"/>
      <c r="Z956" s="115"/>
      <c r="AA956" s="115"/>
      <c r="AB956" s="115"/>
      <c r="AC956" s="124"/>
      <c r="AD956" s="1182"/>
      <c r="AE956" s="1182"/>
      <c r="AF956" s="1182"/>
      <c r="AG956" s="1182"/>
      <c r="AH956" s="1182"/>
      <c r="AI956" s="1182"/>
      <c r="AJ956" s="1182"/>
      <c r="AK956" s="1183"/>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4" t="s">
        <v>1656</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6"/>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1610</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6" t="s">
        <v>722</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0" t="s">
        <v>1607</v>
      </c>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2"/>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0"/>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2"/>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0"/>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2"/>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0"/>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2"/>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0"/>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2"/>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5"/>
      <c r="E964" s="1593"/>
      <c r="F964" s="1593"/>
      <c r="G964" s="1593"/>
      <c r="H964" s="1593"/>
      <c r="I964" s="1593"/>
      <c r="J964" s="1593"/>
      <c r="K964" s="1593"/>
      <c r="L964" s="1593"/>
      <c r="M964" s="1593"/>
      <c r="N964" s="1593"/>
      <c r="O964" s="1593"/>
      <c r="P964" s="1593"/>
      <c r="Q964" s="1593"/>
      <c r="R964" s="1593"/>
      <c r="S964" s="1593"/>
      <c r="T964" s="1593"/>
      <c r="U964" s="1593"/>
      <c r="V964" s="1593"/>
      <c r="W964" s="1593"/>
      <c r="X964" s="1593"/>
      <c r="Y964" s="1594"/>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1609</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6" t="s">
        <v>722</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1608</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226</v>
      </c>
      <c r="D969" s="1249" t="s">
        <v>1611</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2" t="s">
        <v>1612</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229</v>
      </c>
      <c r="D971" s="1249" t="s">
        <v>1613</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6" t="s">
        <v>722</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6" t="s">
        <v>1614</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232</v>
      </c>
      <c r="D974" s="1249" t="s">
        <v>1615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6" t="s">
        <v>722</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6" t="s">
        <v>1616</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1"/>
      <c r="AE976" s="1182"/>
      <c r="AF976" s="1182"/>
      <c r="AG976" s="1182"/>
      <c r="AH976" s="1182"/>
      <c r="AI976" s="1182"/>
      <c r="AJ976" s="1182"/>
      <c r="AK976" s="1183"/>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237</v>
      </c>
      <c r="D978" s="1595" t="s">
        <v>1617</v>
      </c>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7"/>
      <c r="Z978" s="115"/>
      <c r="AA978" s="1241" t="s">
        <v>722</v>
      </c>
      <c r="AB978" s="1242"/>
      <c r="AC978" s="51"/>
      <c r="AD978" s="1289"/>
      <c r="AE978" s="1290"/>
      <c r="AF978" s="1290"/>
      <c r="AG978" s="1290"/>
      <c r="AH978" s="1290"/>
      <c r="AI978" s="1290"/>
      <c r="AJ978" s="1290"/>
      <c r="AK978" s="1291"/>
      <c r="AL978" s="105"/>
    </row>
    <row r="979" spans="1:38" ht="12.75" customHeight="1">
      <c r="A979" s="51"/>
      <c r="B979" s="122"/>
      <c r="C979" s="125"/>
      <c r="D979" s="1598"/>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600"/>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6" t="s">
        <v>1618</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382</v>
      </c>
      <c r="E983" s="136"/>
      <c r="F983" s="136"/>
      <c r="G983" s="163"/>
      <c r="H983" s="7"/>
      <c r="J983" s="1308" t="s">
        <v>641</v>
      </c>
      <c r="K983" s="1309"/>
      <c r="L983" s="1309"/>
      <c r="M983" s="1309"/>
      <c r="N983" s="1309"/>
      <c r="O983" s="1309"/>
      <c r="P983" s="1309"/>
      <c r="Q983" s="1310"/>
      <c r="R983" s="7"/>
      <c r="S983" s="7"/>
      <c r="T983" s="164"/>
      <c r="U983" s="7"/>
      <c r="V983" s="1349" t="str">
        <f>IF(AA978="yes",(AD953*0.15),"")</f>
        <v/>
      </c>
      <c r="W983" s="1349"/>
      <c r="X983" s="1349"/>
      <c r="Y983" s="1350"/>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243</v>
      </c>
      <c r="D984" s="1249" t="s">
        <v>1619</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722</v>
      </c>
      <c r="AB984" s="1242"/>
      <c r="AC984" s="51"/>
      <c r="AD984" s="1289"/>
      <c r="AE984" s="1290"/>
      <c r="AF984" s="1290"/>
      <c r="AG984" s="1290"/>
      <c r="AH984" s="1290"/>
      <c r="AI984" s="1290"/>
      <c r="AJ984" s="1290"/>
      <c r="AK984" s="1291"/>
      <c r="AL984" s="105"/>
    </row>
    <row r="985" spans="1:38" ht="12.75" customHeight="1">
      <c r="A985" s="51"/>
      <c r="B985" s="113"/>
      <c r="C985" s="114"/>
      <c r="D985" s="1246" t="s">
        <v>1620</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6">
        <f>IF(AA984="yes","Please Enter Amount:",0)</f>
        <v>0</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248</v>
      </c>
      <c r="D988" s="1249" t="s">
        <v>1621</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6" t="s">
        <v>591</v>
      </c>
      <c r="AB988" s="1177"/>
      <c r="AC988" s="127"/>
      <c r="AD988" s="1178">
        <f>ROUND(IF(AA988="yes",(AD953*0.1),0),0)</f>
        <v>6439545</v>
      </c>
      <c r="AE988" s="1179"/>
      <c r="AF988" s="1179"/>
      <c r="AG988" s="1179"/>
      <c r="AH988" s="1179"/>
      <c r="AI988" s="1179"/>
      <c r="AJ988" s="1179"/>
      <c r="AK988" s="1180"/>
      <c r="AL988" s="105"/>
    </row>
    <row r="989" spans="1:38" s="743" customFormat="1" ht="12.75" customHeight="1">
      <c r="A989" s="51"/>
      <c r="B989" s="113"/>
      <c r="C989" s="114"/>
      <c r="D989" s="1246" t="s">
        <v>1622</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1"/>
      <c r="AE989" s="1182"/>
      <c r="AF989" s="1182"/>
      <c r="AG989" s="1182"/>
      <c r="AH989" s="1182"/>
      <c r="AI989" s="1182"/>
      <c r="AJ989" s="1182"/>
      <c r="AK989" s="1183"/>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1"/>
      <c r="AE990" s="1182"/>
      <c r="AF990" s="1182"/>
      <c r="AG990" s="1182"/>
      <c r="AH990" s="1182"/>
      <c r="AI990" s="1182"/>
      <c r="AJ990" s="1182"/>
      <c r="AK990" s="1183"/>
      <c r="AL990" s="105"/>
    </row>
    <row r="991" spans="1:38" ht="12.75" customHeight="1">
      <c r="A991" s="51"/>
      <c r="B991" s="120"/>
      <c r="C991" s="555" t="s">
        <v>741</v>
      </c>
      <c r="D991" s="1249" t="s">
        <v>1623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6" t="s">
        <v>722</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6" t="s">
        <v>1624</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1628</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1" t="str">
        <f>IF(X999&gt;0,"Yes","No")</f>
        <v>Yes</v>
      </c>
      <c r="AB996" s="1282"/>
      <c r="AC996" s="128"/>
      <c r="AD996" s="1272">
        <f>IF((X999=0),"",AO906*AD953)</f>
        <v>19318633.800000001</v>
      </c>
      <c r="AE996" s="1273"/>
      <c r="AF996" s="1273"/>
      <c r="AG996" s="1273"/>
      <c r="AH996" s="1273"/>
      <c r="AI996" s="1273"/>
      <c r="AJ996" s="1273"/>
      <c r="AK996" s="1274"/>
      <c r="AL996" s="105"/>
    </row>
    <row r="997" spans="1:38" s="743" customFormat="1" ht="12.75" customHeight="1">
      <c r="A997" s="51"/>
      <c r="B997" s="113"/>
      <c r="C997" s="726"/>
      <c r="D997" s="1246" t="s">
        <v>1627</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1080</v>
      </c>
      <c r="E999" s="208"/>
      <c r="F999" s="208"/>
      <c r="G999" s="208"/>
      <c r="H999" s="104"/>
      <c r="I999" s="1302">
        <f>AM905</f>
        <v>145</v>
      </c>
      <c r="J999" s="1303"/>
      <c r="K999" s="51"/>
      <c r="L999" s="104"/>
      <c r="M999" s="208"/>
      <c r="N999" s="208"/>
      <c r="O999" s="208"/>
      <c r="P999" s="208"/>
      <c r="Q999" s="208"/>
      <c r="R999" s="208"/>
      <c r="S999" s="208"/>
      <c r="T999" s="208"/>
      <c r="U999" s="208"/>
      <c r="V999" s="104"/>
      <c r="W999" s="209" t="s">
        <v>1081</v>
      </c>
      <c r="X999" s="1304">
        <f>AT614</f>
        <v>44</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1154</v>
      </c>
      <c r="D1000" s="1249" t="s">
        <v>1626</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3" customFormat="1" ht="12.75" customHeight="1">
      <c r="A1001" s="51"/>
      <c r="B1001" s="113"/>
      <c r="C1001" s="726"/>
      <c r="D1001" s="1246" t="s">
        <v>1625</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1080</v>
      </c>
      <c r="E1003" s="208"/>
      <c r="F1003" s="208"/>
      <c r="G1003" s="208"/>
      <c r="H1003" s="208"/>
      <c r="I1003" s="1302">
        <f>AM905</f>
        <v>145</v>
      </c>
      <c r="J1003" s="1303"/>
      <c r="K1003" s="51"/>
      <c r="L1003" s="208"/>
      <c r="M1003" s="208"/>
      <c r="N1003" s="208"/>
      <c r="O1003" s="208"/>
      <c r="P1003" s="208"/>
      <c r="Q1003" s="208"/>
      <c r="R1003" s="208"/>
      <c r="S1003" s="208"/>
      <c r="T1003" s="208"/>
      <c r="U1003" s="208"/>
      <c r="V1003" s="208"/>
      <c r="W1003" s="209" t="s">
        <v>1082</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2" t="s">
        <v>559</v>
      </c>
      <c r="E1004" s="1332"/>
      <c r="F1004" s="1332"/>
      <c r="G1004" s="1332"/>
      <c r="H1004" s="1332"/>
      <c r="I1004" s="1332"/>
      <c r="J1004" s="1332"/>
      <c r="K1004" s="1332"/>
      <c r="L1004" s="1332"/>
      <c r="M1004" s="1332"/>
      <c r="N1004" s="1332"/>
      <c r="O1004" s="1332"/>
      <c r="P1004" s="1332"/>
      <c r="Q1004" s="1332"/>
      <c r="R1004" s="1332"/>
      <c r="S1004" s="1332"/>
      <c r="T1004" s="1332"/>
      <c r="U1004" s="1332"/>
      <c r="V1004" s="1332"/>
      <c r="W1004" s="1332"/>
      <c r="X1004" s="1332"/>
      <c r="Y1004" s="1332"/>
      <c r="Z1004" s="1332"/>
      <c r="AA1004" s="1332"/>
      <c r="AB1004" s="1332"/>
      <c r="AC1004" s="1333"/>
      <c r="AD1004" s="1266">
        <f>SUM(AD953:AK1003)</f>
        <v>103032713.8</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7"/>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7"/>
      <c r="AF1009" s="1557"/>
      <c r="AG1009" s="1557"/>
      <c r="AH1009" s="1557"/>
      <c r="AI1009" s="1557"/>
      <c r="AJ1009" s="1557"/>
      <c r="AK1009" s="1557"/>
      <c r="AL1009" s="105"/>
    </row>
    <row r="1010" spans="1:38" ht="12.75" customHeight="1">
      <c r="A1010" s="51"/>
      <c r="B1010" s="115"/>
      <c r="C1010" s="348"/>
      <c r="D1010" s="1557"/>
      <c r="E1010" s="1557"/>
      <c r="F1010" s="1557"/>
      <c r="G1010" s="1557"/>
      <c r="H1010" s="1557"/>
      <c r="I1010" s="1557"/>
      <c r="J1010" s="1557"/>
      <c r="K1010" s="1557"/>
      <c r="L1010" s="1557"/>
      <c r="M1010" s="1557"/>
      <c r="N1010" s="1557"/>
      <c r="O1010" s="1557"/>
      <c r="P1010" s="1557"/>
      <c r="Q1010" s="1557"/>
      <c r="R1010" s="1557"/>
      <c r="S1010" s="1557"/>
      <c r="T1010" s="1557"/>
      <c r="U1010" s="1557"/>
      <c r="V1010" s="1557"/>
      <c r="W1010" s="1557"/>
      <c r="X1010" s="1557"/>
      <c r="Y1010" s="1557"/>
      <c r="Z1010" s="1557"/>
      <c r="AA1010" s="1557"/>
      <c r="AB1010" s="1557"/>
      <c r="AC1010" s="1557"/>
      <c r="AD1010" s="1557"/>
      <c r="AE1010" s="1557"/>
      <c r="AF1010" s="1557"/>
      <c r="AG1010" s="1557"/>
      <c r="AH1010" s="1557"/>
      <c r="AI1010" s="1557"/>
      <c r="AJ1010" s="1557"/>
      <c r="AK1010" s="1557"/>
      <c r="AL1010" s="105"/>
    </row>
    <row r="1011" spans="1:38" ht="12.75" customHeight="1">
      <c r="A1011" s="51"/>
      <c r="B1011" s="115"/>
      <c r="C1011" s="348"/>
      <c r="D1011" s="1557"/>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7"/>
      <c r="AF1011" s="1557"/>
      <c r="AG1011" s="1557"/>
      <c r="AH1011" s="1557"/>
      <c r="AI1011" s="1557"/>
      <c r="AJ1011" s="1557"/>
      <c r="AK1011" s="1557"/>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5" t="s">
        <v>875</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641</v>
      </c>
      <c r="B1019" s="1099"/>
      <c r="C1019" s="13">
        <v>1</v>
      </c>
      <c r="D1019" s="998" t="s">
        <v>1262</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641</v>
      </c>
      <c r="B1025" s="1099"/>
      <c r="C1025" s="13">
        <v>2</v>
      </c>
      <c r="D1025" s="998" t="s">
        <v>1261</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641</v>
      </c>
      <c r="B1031" s="1099"/>
      <c r="C1031" s="13">
        <v>3</v>
      </c>
      <c r="D1031" s="998" t="s">
        <v>1606</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641</v>
      </c>
      <c r="B1038" s="1099"/>
      <c r="C1038" s="13">
        <v>4</v>
      </c>
      <c r="D1038" s="998" t="s">
        <v>1247</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641</v>
      </c>
      <c r="B1041" s="1099"/>
      <c r="C1041" s="13">
        <v>5</v>
      </c>
      <c r="D1041" s="998" t="s">
        <v>1465</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641</v>
      </c>
      <c r="B1046" s="1099"/>
      <c r="C1046" s="13">
        <v>6</v>
      </c>
      <c r="D1046" s="998" t="s">
        <v>1248</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641</v>
      </c>
      <c r="B1049" s="1099"/>
      <c r="C1049" s="328">
        <v>7</v>
      </c>
      <c r="D1049" s="998" t="s">
        <v>1250</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641</v>
      </c>
      <c r="B1053" s="1099"/>
      <c r="C1053" s="328">
        <v>8</v>
      </c>
      <c r="D1053" s="998" t="s">
        <v>1477</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641</v>
      </c>
      <c r="B1057" s="1099"/>
      <c r="C1057" s="328">
        <v>9</v>
      </c>
      <c r="D1057" s="998" t="s">
        <v>1249</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10" zoomScaleNormal="110" zoomScaleSheetLayoutView="125" workbookViewId="0">
      <pane xSplit="5" ySplit="3" topLeftCell="K82" activePane="bottomRight" state="frozen"/>
      <selection pane="topRight" activeCell="F1" sqref="F1"/>
      <selection pane="bottomLeft" activeCell="A4" sqref="A4"/>
      <selection pane="bottomRight" activeCell="J19" sqref="J19"/>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601" t="s">
        <v>671</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405</v>
      </c>
      <c r="D2" s="216" t="s">
        <v>404</v>
      </c>
      <c r="E2" s="216" t="s">
        <v>27</v>
      </c>
      <c r="F2" s="217" t="str">
        <f>Application!B618&amp;Application!C618</f>
        <v>1)Tax Exempt Bonds - Public Sale</v>
      </c>
      <c r="G2" s="217" t="str">
        <f>Application!B619&amp;Application!C619</f>
        <v xml:space="preserve">2)Homes for the Homeless Fund (HHF) Permanent Loan												</v>
      </c>
      <c r="H2" s="217" t="str">
        <f>Application!B620&amp;Application!C620</f>
        <v>3)General Partner Capital</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10100</v>
      </c>
      <c r="C5" s="225">
        <v>10049</v>
      </c>
      <c r="D5" s="225">
        <v>51</v>
      </c>
      <c r="E5" s="225">
        <f>B5-SUM(F5:Q5)</f>
        <v>10100</v>
      </c>
      <c r="F5" s="225"/>
      <c r="G5" s="225"/>
      <c r="H5" s="225"/>
      <c r="I5" s="225"/>
      <c r="J5" s="225"/>
      <c r="K5" s="225"/>
      <c r="L5" s="225"/>
      <c r="M5" s="225"/>
      <c r="N5" s="225"/>
      <c r="O5" s="225"/>
      <c r="P5" s="225"/>
      <c r="Q5" s="225"/>
      <c r="R5" s="916">
        <f>SUM(E5:Q5)</f>
        <v>10100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7000000</v>
      </c>
      <c r="C7" s="225">
        <v>6964686</v>
      </c>
      <c r="D7" s="225">
        <v>35314</v>
      </c>
      <c r="E7" s="225">
        <f>B7-SUM(F7:Q7)</f>
        <v>0</v>
      </c>
      <c r="F7" s="225">
        <f>C7</f>
        <v>6964686</v>
      </c>
      <c r="G7" s="225">
        <f>D7</f>
        <v>35314</v>
      </c>
      <c r="H7" s="225"/>
      <c r="I7" s="225"/>
      <c r="J7" s="225"/>
      <c r="K7" s="225"/>
      <c r="L7" s="225"/>
      <c r="M7" s="225"/>
      <c r="N7" s="225"/>
      <c r="O7" s="225"/>
      <c r="P7" s="225"/>
      <c r="Q7" s="225"/>
      <c r="R7" s="916">
        <f>SUM(E7:Q7)</f>
        <v>7000000</v>
      </c>
      <c r="S7" s="226"/>
      <c r="T7" s="226"/>
      <c r="U7" s="221"/>
    </row>
    <row r="8" spans="1:21" s="222" customFormat="1">
      <c r="A8" s="227" t="s">
        <v>643</v>
      </c>
      <c r="B8" s="224">
        <f>SUM(C8:D8)</f>
        <v>7010100</v>
      </c>
      <c r="C8" s="224">
        <f t="shared" ref="C8:Q8" si="0">SUM(C4:C7)</f>
        <v>6974735</v>
      </c>
      <c r="D8" s="224">
        <f t="shared" si="0"/>
        <v>35365</v>
      </c>
      <c r="E8" s="224">
        <f t="shared" si="0"/>
        <v>10100</v>
      </c>
      <c r="F8" s="224">
        <f t="shared" si="0"/>
        <v>6964686</v>
      </c>
      <c r="G8" s="224">
        <f t="shared" si="0"/>
        <v>35314</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7010100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227450</v>
      </c>
      <c r="C10" s="225">
        <v>226303</v>
      </c>
      <c r="D10" s="225">
        <v>1147</v>
      </c>
      <c r="E10" s="225">
        <f>B10-SUM(F10:Q10)</f>
        <v>227450</v>
      </c>
      <c r="F10" s="225"/>
      <c r="G10" s="225"/>
      <c r="H10" s="225"/>
      <c r="I10" s="225"/>
      <c r="J10" s="225"/>
      <c r="K10" s="225"/>
      <c r="L10" s="225"/>
      <c r="M10" s="225"/>
      <c r="N10" s="225"/>
      <c r="O10" s="225"/>
      <c r="P10" s="225"/>
      <c r="Q10" s="225"/>
      <c r="R10" s="916">
        <f>SUM(E10:Q10)</f>
        <v>227450</v>
      </c>
      <c r="S10" s="225"/>
      <c r="T10" s="225"/>
      <c r="U10" s="221"/>
    </row>
    <row r="11" spans="1:21" s="222" customFormat="1">
      <c r="A11" s="227" t="s">
        <v>646</v>
      </c>
      <c r="B11" s="224">
        <f>SUM(C11:D11)</f>
        <v>227450</v>
      </c>
      <c r="C11" s="224">
        <f t="shared" ref="C11:Q11" si="1">SUM(C9:C10)</f>
        <v>226303</v>
      </c>
      <c r="D11" s="224">
        <f t="shared" si="1"/>
        <v>1147</v>
      </c>
      <c r="E11" s="224">
        <f t="shared" si="1"/>
        <v>227450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227450</v>
      </c>
      <c r="S11" s="226"/>
      <c r="T11" s="228">
        <f>SUM(T9:T10)</f>
        <v>0</v>
      </c>
      <c r="U11" s="221"/>
    </row>
    <row r="12" spans="1:21" s="222" customFormat="1">
      <c r="A12" s="227" t="s">
        <v>91</v>
      </c>
      <c r="B12" s="224">
        <f t="shared" ref="B12:Q12" si="2">SUM(B8+B11)</f>
        <v>7237550</v>
      </c>
      <c r="C12" s="224">
        <f t="shared" si="2"/>
        <v>7201038</v>
      </c>
      <c r="D12" s="224">
        <f t="shared" si="2"/>
        <v>36512</v>
      </c>
      <c r="E12" s="224">
        <f t="shared" si="2"/>
        <v>237550</v>
      </c>
      <c r="F12" s="224">
        <f t="shared" si="2"/>
        <v>6964686</v>
      </c>
      <c r="G12" s="224">
        <f t="shared" si="2"/>
        <v>35314</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7237550</v>
      </c>
      <c r="S12" s="226"/>
      <c r="T12" s="226"/>
      <c r="U12" s="221"/>
    </row>
    <row r="13" spans="1:21" s="222" customFormat="1">
      <c r="A13" s="466" t="s">
        <v>1000</v>
      </c>
      <c r="B13" s="224">
        <f>SUM(C13+D13)</f>
        <v>165750</v>
      </c>
      <c r="C13" s="225">
        <v>164914</v>
      </c>
      <c r="D13" s="225">
        <v>836</v>
      </c>
      <c r="E13" s="225">
        <f>B13-SUM(F13:Q13)</f>
        <v>165750</v>
      </c>
      <c r="F13" s="225"/>
      <c r="G13" s="225"/>
      <c r="H13" s="225"/>
      <c r="I13" s="225"/>
      <c r="J13" s="225"/>
      <c r="K13" s="225"/>
      <c r="L13" s="225"/>
      <c r="M13" s="225"/>
      <c r="N13" s="225"/>
      <c r="O13" s="225"/>
      <c r="P13" s="225"/>
      <c r="Q13" s="225"/>
      <c r="R13" s="916">
        <f>SUM(E13:Q13)</f>
        <v>165750</v>
      </c>
      <c r="S13" s="225">
        <f>C13</f>
        <v>164914</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201517</v>
      </c>
      <c r="C28" s="225">
        <v>200500</v>
      </c>
      <c r="D28" s="225">
        <v>1017</v>
      </c>
      <c r="E28" s="225">
        <f t="shared" ref="E28:E35" si="7">B28-SUM(F28:Q28)</f>
        <v>0</v>
      </c>
      <c r="F28" s="225"/>
      <c r="G28" s="225"/>
      <c r="H28" s="225">
        <f>B28</f>
        <v>201517</v>
      </c>
      <c r="I28" s="225"/>
      <c r="J28" s="225"/>
      <c r="K28" s="225"/>
      <c r="L28" s="225"/>
      <c r="M28" s="225"/>
      <c r="N28" s="225"/>
      <c r="O28" s="225"/>
      <c r="P28" s="225"/>
      <c r="Q28" s="225"/>
      <c r="R28" s="916">
        <f t="shared" ref="R28:R35" si="8">SUM(E28:Q28)</f>
        <v>201517</v>
      </c>
      <c r="S28" s="225">
        <f>C28</f>
        <v>200500</v>
      </c>
      <c r="T28" s="225"/>
      <c r="U28" s="221"/>
    </row>
    <row r="29" spans="1:21" s="222" customFormat="1">
      <c r="A29" s="223" t="s">
        <v>649</v>
      </c>
      <c r="B29" s="224">
        <f t="shared" si="6"/>
        <v>37748849</v>
      </c>
      <c r="C29" s="225">
        <v>37560105</v>
      </c>
      <c r="D29" s="225">
        <v>188744</v>
      </c>
      <c r="E29" s="225">
        <f t="shared" si="7"/>
        <v>2466489</v>
      </c>
      <c r="F29" s="225">
        <f>F108-F7</f>
        <v>27291314</v>
      </c>
      <c r="G29" s="225">
        <f>G108-G7</f>
        <v>7751894</v>
      </c>
      <c r="H29" s="225">
        <f>H108-SUM(H28,H30:H35)</f>
        <v>239152</v>
      </c>
      <c r="I29" s="225"/>
      <c r="J29" s="225"/>
      <c r="K29" s="225"/>
      <c r="L29" s="225"/>
      <c r="M29" s="225"/>
      <c r="N29" s="225"/>
      <c r="O29" s="225"/>
      <c r="P29" s="225"/>
      <c r="Q29" s="225"/>
      <c r="R29" s="916">
        <f t="shared" si="8"/>
        <v>37748849</v>
      </c>
      <c r="S29" s="225">
        <f>C29</f>
        <v>37560105</v>
      </c>
      <c r="T29" s="225"/>
      <c r="U29" s="221"/>
    </row>
    <row r="30" spans="1:21" s="222" customFormat="1">
      <c r="A30" s="223" t="s">
        <v>650</v>
      </c>
      <c r="B30" s="224">
        <f t="shared" si="6"/>
        <v>2090828</v>
      </c>
      <c r="C30" s="225">
        <v>2080280</v>
      </c>
      <c r="D30" s="225">
        <v>10548</v>
      </c>
      <c r="E30" s="225">
        <f t="shared" si="7"/>
        <v>0</v>
      </c>
      <c r="F30" s="225"/>
      <c r="G30" s="225"/>
      <c r="H30" s="225">
        <f>B30</f>
        <v>2090828</v>
      </c>
      <c r="I30" s="225"/>
      <c r="J30" s="225"/>
      <c r="K30" s="225"/>
      <c r="L30" s="225"/>
      <c r="M30" s="225"/>
      <c r="N30" s="225"/>
      <c r="O30" s="225"/>
      <c r="P30" s="225"/>
      <c r="Q30" s="225"/>
      <c r="R30" s="916">
        <f t="shared" si="8"/>
        <v>2090828</v>
      </c>
      <c r="S30" s="225">
        <f t="shared" ref="S30:S35" si="9">C30</f>
        <v>2080280</v>
      </c>
      <c r="T30" s="225"/>
      <c r="U30" s="221"/>
    </row>
    <row r="31" spans="1:21" s="222" customFormat="1">
      <c r="A31" s="223" t="s">
        <v>144</v>
      </c>
      <c r="B31" s="224">
        <f t="shared" si="6"/>
        <v>566318.5</v>
      </c>
      <c r="C31" s="225">
        <f>1126923/2</f>
        <v>563461.5</v>
      </c>
      <c r="D31" s="225">
        <f>5714/2</f>
        <v>2857</v>
      </c>
      <c r="E31" s="225">
        <f t="shared" si="7"/>
        <v>0</v>
      </c>
      <c r="F31" s="225"/>
      <c r="G31" s="225"/>
      <c r="H31" s="225">
        <f>B31</f>
        <v>566318.5</v>
      </c>
      <c r="I31" s="225"/>
      <c r="J31" s="225"/>
      <c r="K31" s="225"/>
      <c r="L31" s="225"/>
      <c r="M31" s="225"/>
      <c r="N31" s="225"/>
      <c r="O31" s="225"/>
      <c r="P31" s="225"/>
      <c r="Q31" s="225"/>
      <c r="R31" s="916">
        <f t="shared" si="8"/>
        <v>566318.5</v>
      </c>
      <c r="S31" s="225">
        <f t="shared" si="9"/>
        <v>563461.5</v>
      </c>
      <c r="T31" s="225"/>
      <c r="U31" s="221"/>
    </row>
    <row r="32" spans="1:21" s="222" customFormat="1">
      <c r="A32" s="223" t="s">
        <v>145</v>
      </c>
      <c r="B32" s="224">
        <f t="shared" si="6"/>
        <v>566318.5</v>
      </c>
      <c r="C32" s="225">
        <f>C31</f>
        <v>563461.5</v>
      </c>
      <c r="D32" s="225">
        <f>D31</f>
        <v>2857</v>
      </c>
      <c r="E32" s="225">
        <f t="shared" si="7"/>
        <v>0</v>
      </c>
      <c r="F32" s="225"/>
      <c r="G32" s="225"/>
      <c r="H32" s="225">
        <f>B32</f>
        <v>566318.5</v>
      </c>
      <c r="I32" s="225"/>
      <c r="J32" s="225"/>
      <c r="K32" s="225"/>
      <c r="L32" s="225"/>
      <c r="M32" s="225"/>
      <c r="N32" s="225"/>
      <c r="O32" s="225"/>
      <c r="P32" s="225"/>
      <c r="Q32" s="225"/>
      <c r="R32" s="916">
        <f t="shared" si="8"/>
        <v>566318.5</v>
      </c>
      <c r="S32" s="225">
        <f t="shared" si="9"/>
        <v>563461.5</v>
      </c>
      <c r="T32" s="225"/>
      <c r="U32" s="221"/>
    </row>
    <row r="33" spans="1:21" s="222" customFormat="1">
      <c r="A33" s="223" t="s">
        <v>146</v>
      </c>
      <c r="B33" s="224">
        <f t="shared" si="6"/>
        <v>0</v>
      </c>
      <c r="C33" s="225"/>
      <c r="D33" s="225"/>
      <c r="E33" s="225">
        <f t="shared" si="7"/>
        <v>0</v>
      </c>
      <c r="F33" s="225"/>
      <c r="G33" s="225"/>
      <c r="H33" s="225"/>
      <c r="I33" s="225"/>
      <c r="J33" s="225"/>
      <c r="K33" s="225"/>
      <c r="L33" s="225"/>
      <c r="M33" s="225"/>
      <c r="N33" s="225"/>
      <c r="O33" s="225"/>
      <c r="P33" s="225"/>
      <c r="Q33" s="225"/>
      <c r="R33" s="916">
        <f t="shared" si="8"/>
        <v>0</v>
      </c>
      <c r="S33" s="225">
        <f t="shared" si="9"/>
        <v>0</v>
      </c>
      <c r="T33" s="225"/>
      <c r="U33" s="221"/>
    </row>
    <row r="34" spans="1:21" s="222" customFormat="1">
      <c r="A34" s="223" t="s">
        <v>147</v>
      </c>
      <c r="B34" s="224">
        <f t="shared" si="6"/>
        <v>750261</v>
      </c>
      <c r="C34" s="225">
        <v>746476</v>
      </c>
      <c r="D34" s="225">
        <v>3785</v>
      </c>
      <c r="E34" s="225">
        <f t="shared" si="7"/>
        <v>0</v>
      </c>
      <c r="F34" s="225"/>
      <c r="G34" s="225"/>
      <c r="H34" s="225">
        <f>B34</f>
        <v>750261</v>
      </c>
      <c r="I34" s="225"/>
      <c r="J34" s="225"/>
      <c r="K34" s="225"/>
      <c r="L34" s="225"/>
      <c r="M34" s="225"/>
      <c r="N34" s="225"/>
      <c r="O34" s="225"/>
      <c r="P34" s="225"/>
      <c r="Q34" s="225"/>
      <c r="R34" s="916">
        <f t="shared" si="8"/>
        <v>750261</v>
      </c>
      <c r="S34" s="225">
        <f t="shared" si="9"/>
        <v>746476</v>
      </c>
      <c r="T34" s="225"/>
      <c r="U34" s="221"/>
    </row>
    <row r="35" spans="1:21" s="222" customFormat="1">
      <c r="A35" s="955" t="s">
        <v>1766</v>
      </c>
      <c r="B35" s="224">
        <f t="shared" si="6"/>
        <v>725575</v>
      </c>
      <c r="C35" s="225">
        <v>721915</v>
      </c>
      <c r="D35" s="225">
        <v>3660</v>
      </c>
      <c r="E35" s="225">
        <f t="shared" si="7"/>
        <v>0</v>
      </c>
      <c r="F35" s="225"/>
      <c r="G35" s="225"/>
      <c r="H35" s="225">
        <f>B35</f>
        <v>725575</v>
      </c>
      <c r="I35" s="225"/>
      <c r="J35" s="225"/>
      <c r="K35" s="225"/>
      <c r="L35" s="225"/>
      <c r="M35" s="225"/>
      <c r="N35" s="225"/>
      <c r="O35" s="225"/>
      <c r="P35" s="225"/>
      <c r="Q35" s="225"/>
      <c r="R35" s="916">
        <f t="shared" si="8"/>
        <v>725575</v>
      </c>
      <c r="S35" s="225">
        <f t="shared" si="9"/>
        <v>721915</v>
      </c>
      <c r="T35" s="225"/>
      <c r="U35" s="221"/>
    </row>
    <row r="36" spans="1:21" s="222" customFormat="1">
      <c r="A36" s="227" t="s">
        <v>150</v>
      </c>
      <c r="B36" s="224">
        <f t="shared" si="6"/>
        <v>42649667</v>
      </c>
      <c r="C36" s="224">
        <f>SUM(C28:C35)</f>
        <v>42436199</v>
      </c>
      <c r="D36" s="224">
        <f t="shared" ref="D36:Q36" si="10">SUM(D28:D35)</f>
        <v>213468</v>
      </c>
      <c r="E36" s="224">
        <f t="shared" si="10"/>
        <v>2466489</v>
      </c>
      <c r="F36" s="224">
        <f t="shared" si="10"/>
        <v>27291314</v>
      </c>
      <c r="G36" s="224">
        <f t="shared" si="10"/>
        <v>7751894</v>
      </c>
      <c r="H36" s="224">
        <f t="shared" si="10"/>
        <v>5139970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42649667</v>
      </c>
      <c r="S36" s="228">
        <f>SUM(S28:S35)</f>
        <v>42436199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1375450</v>
      </c>
      <c r="C38" s="225">
        <v>1368511</v>
      </c>
      <c r="D38" s="225">
        <v>6939</v>
      </c>
      <c r="E38" s="225">
        <f t="shared" ref="E38:E39" si="11">B38-SUM(F38:Q38)</f>
        <v>1375450</v>
      </c>
      <c r="F38" s="225"/>
      <c r="G38" s="225"/>
      <c r="H38" s="225"/>
      <c r="I38" s="225"/>
      <c r="J38" s="225"/>
      <c r="K38" s="225"/>
      <c r="L38" s="225"/>
      <c r="M38" s="225"/>
      <c r="N38" s="225"/>
      <c r="O38" s="225"/>
      <c r="P38" s="225"/>
      <c r="Q38" s="225"/>
      <c r="R38" s="916">
        <f>SUM(E38:Q38)</f>
        <v>1375450</v>
      </c>
      <c r="S38" s="225">
        <f t="shared" ref="S38" si="12">C38</f>
        <v>1368511</v>
      </c>
      <c r="T38" s="225"/>
      <c r="U38" s="221"/>
    </row>
    <row r="39" spans="1:21" s="222" customFormat="1">
      <c r="A39" s="223" t="s">
        <v>153</v>
      </c>
      <c r="B39" s="224">
        <f>SUM(C39+D39)</f>
        <v>0</v>
      </c>
      <c r="C39" s="225"/>
      <c r="D39" s="225"/>
      <c r="E39" s="225">
        <f t="shared" si="11"/>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1375450</v>
      </c>
      <c r="C40" s="224">
        <f>SUM(C37:C39)</f>
        <v>1368511</v>
      </c>
      <c r="D40" s="224">
        <f>SUM(D37:D39)</f>
        <v>6939</v>
      </c>
      <c r="E40" s="224">
        <f t="shared" ref="E40:T40" si="13">SUM(E38:E39)</f>
        <v>1375450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1375450</v>
      </c>
      <c r="S40" s="228">
        <f t="shared" si="13"/>
        <v>1368511</v>
      </c>
      <c r="T40" s="228">
        <f t="shared" si="13"/>
        <v>0</v>
      </c>
      <c r="U40" s="221"/>
    </row>
    <row r="41" spans="1:21" s="222" customFormat="1">
      <c r="A41" s="227" t="s">
        <v>155</v>
      </c>
      <c r="B41" s="224">
        <f>SUM(C41:D41)</f>
        <v>688279</v>
      </c>
      <c r="C41" s="225">
        <v>684807</v>
      </c>
      <c r="D41" s="225">
        <v>3472</v>
      </c>
      <c r="E41" s="225">
        <f>B41-SUM(F41:Q41)</f>
        <v>688279</v>
      </c>
      <c r="F41" s="225"/>
      <c r="G41" s="225"/>
      <c r="H41" s="225"/>
      <c r="I41" s="225"/>
      <c r="J41" s="225"/>
      <c r="K41" s="225"/>
      <c r="L41" s="225"/>
      <c r="M41" s="225"/>
      <c r="N41" s="225"/>
      <c r="O41" s="225"/>
      <c r="P41" s="225"/>
      <c r="Q41" s="225"/>
      <c r="R41" s="916">
        <f>SUM(E41:Q41)</f>
        <v>688279</v>
      </c>
      <c r="S41" s="225">
        <f t="shared" ref="S41" si="14">C41</f>
        <v>684807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2056721</v>
      </c>
      <c r="C43" s="225">
        <v>2056721</v>
      </c>
      <c r="D43" s="225"/>
      <c r="E43" s="225">
        <f t="shared" ref="E43:E52" si="16">B43-SUM(F43:Q43)</f>
        <v>2056721</v>
      </c>
      <c r="F43" s="225"/>
      <c r="G43" s="225"/>
      <c r="H43" s="225"/>
      <c r="I43" s="225"/>
      <c r="J43" s="225"/>
      <c r="K43" s="225"/>
      <c r="L43" s="225"/>
      <c r="M43" s="225"/>
      <c r="N43" s="225"/>
      <c r="O43" s="225"/>
      <c r="P43" s="225"/>
      <c r="Q43" s="225"/>
      <c r="R43" s="916">
        <f t="shared" ref="R43:R52" si="17">SUM(E43:Q43)</f>
        <v>2056721</v>
      </c>
      <c r="S43" s="225">
        <v>775275</v>
      </c>
      <c r="T43" s="225"/>
      <c r="U43" s="221"/>
    </row>
    <row r="44" spans="1:21" s="222" customFormat="1">
      <c r="A44" s="223" t="s">
        <v>158</v>
      </c>
      <c r="B44" s="224">
        <f t="shared" si="15"/>
        <v>389300</v>
      </c>
      <c r="C44" s="225">
        <v>389300</v>
      </c>
      <c r="D44" s="225"/>
      <c r="E44" s="225">
        <f t="shared" si="16"/>
        <v>389300</v>
      </c>
      <c r="F44" s="225"/>
      <c r="G44" s="225"/>
      <c r="H44" s="225"/>
      <c r="I44" s="225"/>
      <c r="J44" s="225"/>
      <c r="K44" s="225"/>
      <c r="L44" s="225"/>
      <c r="M44" s="225"/>
      <c r="N44" s="225"/>
      <c r="O44" s="225"/>
      <c r="P44" s="225"/>
      <c r="Q44" s="225"/>
      <c r="R44" s="916">
        <f t="shared" si="17"/>
        <v>389300</v>
      </c>
      <c r="S44" s="225">
        <v>14952</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871736</v>
      </c>
      <c r="C47" s="225">
        <v>871736</v>
      </c>
      <c r="D47" s="225"/>
      <c r="E47" s="225">
        <f t="shared" si="16"/>
        <v>871736</v>
      </c>
      <c r="F47" s="225"/>
      <c r="G47" s="225"/>
      <c r="H47" s="225"/>
      <c r="I47" s="225"/>
      <c r="J47" s="225"/>
      <c r="K47" s="225"/>
      <c r="L47" s="225"/>
      <c r="M47" s="225"/>
      <c r="N47" s="225"/>
      <c r="O47" s="225"/>
      <c r="P47" s="225"/>
      <c r="Q47" s="225"/>
      <c r="R47" s="916">
        <f t="shared" si="17"/>
        <v>871736</v>
      </c>
      <c r="S47" s="225"/>
      <c r="T47" s="225"/>
      <c r="U47" s="221"/>
    </row>
    <row r="48" spans="1:21" s="222" customFormat="1">
      <c r="A48" s="223" t="s">
        <v>163</v>
      </c>
      <c r="B48" s="224">
        <f t="shared" si="15"/>
        <v>30000</v>
      </c>
      <c r="C48" s="225">
        <v>29849</v>
      </c>
      <c r="D48" s="225">
        <v>151</v>
      </c>
      <c r="E48" s="225">
        <f t="shared" si="16"/>
        <v>30000</v>
      </c>
      <c r="F48" s="225"/>
      <c r="G48" s="225"/>
      <c r="H48" s="225"/>
      <c r="I48" s="225"/>
      <c r="J48" s="225"/>
      <c r="K48" s="225"/>
      <c r="L48" s="225"/>
      <c r="M48" s="225"/>
      <c r="N48" s="225"/>
      <c r="O48" s="225"/>
      <c r="P48" s="225"/>
      <c r="Q48" s="225"/>
      <c r="R48" s="916">
        <f t="shared" si="17"/>
        <v>30000</v>
      </c>
      <c r="S48" s="225">
        <f>C48</f>
        <v>29849</v>
      </c>
      <c r="T48" s="225"/>
      <c r="U48" s="221"/>
    </row>
    <row r="49" spans="1:21" s="222" customFormat="1">
      <c r="A49" s="457" t="s">
        <v>161</v>
      </c>
      <c r="B49" s="224">
        <f t="shared" si="15"/>
        <v>35000</v>
      </c>
      <c r="C49" s="225">
        <v>34823</v>
      </c>
      <c r="D49" s="225">
        <v>177</v>
      </c>
      <c r="E49" s="225">
        <f t="shared" si="16"/>
        <v>35000</v>
      </c>
      <c r="F49" s="225"/>
      <c r="G49" s="225"/>
      <c r="H49" s="225"/>
      <c r="I49" s="225"/>
      <c r="J49" s="225"/>
      <c r="K49" s="225"/>
      <c r="L49" s="225"/>
      <c r="M49" s="225"/>
      <c r="N49" s="225"/>
      <c r="O49" s="225"/>
      <c r="P49" s="225"/>
      <c r="Q49" s="225"/>
      <c r="R49" s="916">
        <f t="shared" si="17"/>
        <v>35000</v>
      </c>
      <c r="S49" s="225"/>
      <c r="T49" s="225"/>
      <c r="U49" s="221"/>
    </row>
    <row r="50" spans="1:21" s="222" customFormat="1">
      <c r="A50" s="223" t="s">
        <v>162</v>
      </c>
      <c r="B50" s="224">
        <f t="shared" si="15"/>
        <v>500000</v>
      </c>
      <c r="C50" s="225">
        <v>497478</v>
      </c>
      <c r="D50" s="225">
        <v>2522</v>
      </c>
      <c r="E50" s="225">
        <f t="shared" si="16"/>
        <v>500000</v>
      </c>
      <c r="F50" s="225"/>
      <c r="G50" s="225"/>
      <c r="H50" s="225"/>
      <c r="I50" s="225"/>
      <c r="J50" s="225"/>
      <c r="K50" s="225"/>
      <c r="L50" s="225"/>
      <c r="M50" s="225"/>
      <c r="N50" s="225"/>
      <c r="O50" s="225"/>
      <c r="P50" s="225"/>
      <c r="Q50" s="225"/>
      <c r="R50" s="916">
        <f t="shared" si="17"/>
        <v>500000</v>
      </c>
      <c r="S50" s="225">
        <f>C50</f>
        <v>497478</v>
      </c>
      <c r="T50" s="225"/>
      <c r="U50" s="221"/>
    </row>
    <row r="51" spans="1:21" s="222" customFormat="1" ht="24">
      <c r="A51" s="955" t="s">
        <v>1772</v>
      </c>
      <c r="B51" s="224">
        <f t="shared" si="15"/>
        <v>543843</v>
      </c>
      <c r="C51" s="225">
        <v>541099</v>
      </c>
      <c r="D51" s="225">
        <v>2744</v>
      </c>
      <c r="E51" s="225">
        <f t="shared" si="16"/>
        <v>543843</v>
      </c>
      <c r="F51" s="225"/>
      <c r="G51" s="225"/>
      <c r="H51" s="225"/>
      <c r="I51" s="225"/>
      <c r="J51" s="225"/>
      <c r="K51" s="225"/>
      <c r="L51" s="225"/>
      <c r="M51" s="225"/>
      <c r="N51" s="225"/>
      <c r="O51" s="225"/>
      <c r="P51" s="225"/>
      <c r="Q51" s="225"/>
      <c r="R51" s="916">
        <f t="shared" si="17"/>
        <v>543843</v>
      </c>
      <c r="S51" s="225">
        <v>183886</v>
      </c>
      <c r="T51" s="225"/>
      <c r="U51" s="221"/>
    </row>
    <row r="52" spans="1:21" s="222" customFormat="1">
      <c r="A52" s="955" t="s">
        <v>1773</v>
      </c>
      <c r="B52" s="224">
        <f t="shared" si="15"/>
        <v>50000</v>
      </c>
      <c r="C52" s="225">
        <v>50000</v>
      </c>
      <c r="D52" s="225"/>
      <c r="E52" s="225">
        <f t="shared" si="16"/>
        <v>50000</v>
      </c>
      <c r="F52" s="225"/>
      <c r="G52" s="225"/>
      <c r="H52" s="225"/>
      <c r="I52" s="225"/>
      <c r="J52" s="225"/>
      <c r="K52" s="225"/>
      <c r="L52" s="225"/>
      <c r="M52" s="225"/>
      <c r="N52" s="225"/>
      <c r="O52" s="225"/>
      <c r="P52" s="225"/>
      <c r="Q52" s="225"/>
      <c r="R52" s="916">
        <f t="shared" si="17"/>
        <v>50000</v>
      </c>
      <c r="S52" s="225">
        <v>1920</v>
      </c>
      <c r="T52" s="225"/>
      <c r="U52" s="221"/>
    </row>
    <row r="53" spans="1:21" s="232" customFormat="1">
      <c r="A53" s="227" t="s">
        <v>164</v>
      </c>
      <c r="B53" s="228">
        <f>SUM(C53:D53)</f>
        <v>4476600</v>
      </c>
      <c r="C53" s="228">
        <f t="shared" ref="C53:T53" si="18">SUM(C43:C52)</f>
        <v>4471006</v>
      </c>
      <c r="D53" s="228">
        <f t="shared" si="18"/>
        <v>5594</v>
      </c>
      <c r="E53" s="228">
        <f t="shared" si="18"/>
        <v>4476600</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4476600</v>
      </c>
      <c r="S53" s="228">
        <f t="shared" si="18"/>
        <v>1503360</v>
      </c>
      <c r="T53" s="228">
        <f t="shared" si="18"/>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c r="F55" s="225"/>
      <c r="G55" s="225"/>
      <c r="H55" s="225"/>
      <c r="I55" s="225"/>
      <c r="J55" s="225"/>
      <c r="K55" s="225"/>
      <c r="L55" s="225"/>
      <c r="M55" s="225"/>
      <c r="N55" s="225"/>
      <c r="O55" s="225"/>
      <c r="P55" s="225"/>
      <c r="Q55" s="225"/>
      <c r="R55" s="916">
        <f t="shared" ref="R55:R61" si="20">SUM(E55:Q55)</f>
        <v>0</v>
      </c>
      <c r="S55" s="226"/>
      <c r="T55" s="226"/>
      <c r="U55" s="221"/>
    </row>
    <row r="56" spans="1:21" s="313" customFormat="1">
      <c r="A56" s="307" t="s">
        <v>159</v>
      </c>
      <c r="B56" s="314">
        <f t="shared" si="19"/>
        <v>0</v>
      </c>
      <c r="C56" s="311"/>
      <c r="D56" s="311"/>
      <c r="E56" s="311"/>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9"/>
        <v>35000</v>
      </c>
      <c r="C57" s="225">
        <v>34823</v>
      </c>
      <c r="D57" s="225">
        <v>177</v>
      </c>
      <c r="E57" s="225">
        <f>B57-SUM(F57:Q57)</f>
        <v>35000</v>
      </c>
      <c r="F57" s="225"/>
      <c r="G57" s="225"/>
      <c r="H57" s="225"/>
      <c r="I57" s="225"/>
      <c r="J57" s="225"/>
      <c r="K57" s="225"/>
      <c r="L57" s="225"/>
      <c r="M57" s="225"/>
      <c r="N57" s="225"/>
      <c r="O57" s="225"/>
      <c r="P57" s="225"/>
      <c r="Q57" s="225"/>
      <c r="R57" s="916">
        <f t="shared" si="20"/>
        <v>35000</v>
      </c>
      <c r="S57" s="226"/>
      <c r="T57" s="226"/>
      <c r="U57" s="221"/>
    </row>
    <row r="58" spans="1:21" s="222" customFormat="1">
      <c r="A58" s="457" t="s">
        <v>161</v>
      </c>
      <c r="B58" s="224">
        <f t="shared" si="19"/>
        <v>0</v>
      </c>
      <c r="C58" s="225"/>
      <c r="D58" s="225"/>
      <c r="E58" s="225"/>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225"/>
      <c r="D59" s="225"/>
      <c r="E59" s="225"/>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9"/>
        <v>0</v>
      </c>
      <c r="C60" s="225"/>
      <c r="D60" s="225"/>
      <c r="E60" s="225"/>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9"/>
        <v>0</v>
      </c>
      <c r="C61" s="225"/>
      <c r="D61" s="225"/>
      <c r="E61" s="225"/>
      <c r="F61" s="225"/>
      <c r="G61" s="225"/>
      <c r="H61" s="225"/>
      <c r="I61" s="225"/>
      <c r="J61" s="225"/>
      <c r="K61" s="225"/>
      <c r="L61" s="225"/>
      <c r="M61" s="225"/>
      <c r="N61" s="225"/>
      <c r="O61" s="225"/>
      <c r="P61" s="225"/>
      <c r="Q61" s="225"/>
      <c r="R61" s="916">
        <f t="shared" si="20"/>
        <v>0</v>
      </c>
      <c r="S61" s="226"/>
      <c r="T61" s="226"/>
      <c r="U61" s="221"/>
    </row>
    <row r="62" spans="1:21" s="222" customFormat="1" ht="13.7" customHeight="1">
      <c r="A62" s="227" t="s">
        <v>319</v>
      </c>
      <c r="B62" s="224">
        <f>SUM(C62:D62)</f>
        <v>35000</v>
      </c>
      <c r="C62" s="224">
        <f t="shared" ref="C62:Q62" si="21">SUM(C55:C61)</f>
        <v>34823</v>
      </c>
      <c r="D62" s="224">
        <f t="shared" si="21"/>
        <v>177</v>
      </c>
      <c r="E62" s="224">
        <f t="shared" si="21"/>
        <v>35000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35000</v>
      </c>
      <c r="S62" s="226"/>
      <c r="T62" s="226"/>
      <c r="U62" s="221"/>
    </row>
    <row r="63" spans="1:21" s="222" customFormat="1">
      <c r="A63" s="233" t="s">
        <v>320</v>
      </c>
      <c r="B63" s="224">
        <f>SUM(B8+B11+B13+B14+B15+B25+B26+B36+B40+B41+B53+B62)</f>
        <v>56628296</v>
      </c>
      <c r="C63" s="224">
        <f t="shared" ref="C63:Q63" si="22">SUM(C8+C11+C13+C14+C15+C25+C26+C36+C40+C41+C53+C62)</f>
        <v>56361298</v>
      </c>
      <c r="D63" s="224">
        <f t="shared" si="22"/>
        <v>266998</v>
      </c>
      <c r="E63" s="224">
        <f t="shared" si="22"/>
        <v>9445118</v>
      </c>
      <c r="F63" s="224">
        <f t="shared" si="22"/>
        <v>34256000</v>
      </c>
      <c r="G63" s="224">
        <f t="shared" si="22"/>
        <v>7787208</v>
      </c>
      <c r="H63" s="224">
        <f t="shared" si="22"/>
        <v>5139970</v>
      </c>
      <c r="I63" s="224">
        <f t="shared" si="22"/>
        <v>0</v>
      </c>
      <c r="J63" s="224">
        <f t="shared" si="22"/>
        <v>0</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56628296</v>
      </c>
      <c r="S63" s="224">
        <f>SUM(S10+S13+S14+S15+S25+S26+S36+S40+S41+S53)</f>
        <v>46157791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65000</v>
      </c>
      <c r="C65" s="225">
        <v>65000</v>
      </c>
      <c r="D65" s="225"/>
      <c r="E65" s="225">
        <f t="shared" ref="E65:E66" si="23">B65-SUM(F65:Q65)</f>
        <v>65000</v>
      </c>
      <c r="F65" s="225"/>
      <c r="G65" s="225"/>
      <c r="H65" s="225"/>
      <c r="I65" s="225"/>
      <c r="J65" s="225"/>
      <c r="K65" s="225"/>
      <c r="L65" s="225"/>
      <c r="M65" s="225"/>
      <c r="N65" s="225"/>
      <c r="O65" s="225"/>
      <c r="P65" s="225"/>
      <c r="Q65" s="225"/>
      <c r="R65" s="916">
        <f>SUM(E65:Q65)</f>
        <v>65000</v>
      </c>
      <c r="S65" s="225">
        <v>2497</v>
      </c>
      <c r="T65" s="225"/>
      <c r="U65" s="221"/>
    </row>
    <row r="66" spans="1:21" s="222" customFormat="1">
      <c r="A66" s="955" t="s">
        <v>1771</v>
      </c>
      <c r="B66" s="224">
        <f>SUM(C66+D66)</f>
        <v>90000</v>
      </c>
      <c r="C66" s="225">
        <v>89545</v>
      </c>
      <c r="D66" s="225">
        <v>455</v>
      </c>
      <c r="E66" s="225">
        <f t="shared" si="23"/>
        <v>90000</v>
      </c>
      <c r="F66" s="225"/>
      <c r="G66" s="225"/>
      <c r="H66" s="225"/>
      <c r="I66" s="225"/>
      <c r="J66" s="225"/>
      <c r="K66" s="225"/>
      <c r="L66" s="225"/>
      <c r="M66" s="225"/>
      <c r="N66" s="225"/>
      <c r="O66" s="225"/>
      <c r="P66" s="225"/>
      <c r="Q66" s="225"/>
      <c r="R66" s="916">
        <f>SUM(E66:Q66)</f>
        <v>90000</v>
      </c>
      <c r="S66" s="225">
        <f>39798+19899</f>
        <v>59697</v>
      </c>
      <c r="T66" s="225"/>
      <c r="U66" s="221"/>
    </row>
    <row r="67" spans="1:21" s="222" customFormat="1">
      <c r="A67" s="227" t="s">
        <v>651</v>
      </c>
      <c r="B67" s="224">
        <f>SUM(C67:D67)</f>
        <v>155000</v>
      </c>
      <c r="C67" s="224">
        <f>SUM(C64:C66)</f>
        <v>154545</v>
      </c>
      <c r="D67" s="224">
        <f>SUM(D64:D66)</f>
        <v>455</v>
      </c>
      <c r="E67" s="224">
        <f t="shared" ref="E67:T67" si="24">SUM(E65:E66)</f>
        <v>155000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155000</v>
      </c>
      <c r="S67" s="228">
        <f>SUM(S65:S66)</f>
        <v>62194</v>
      </c>
      <c r="T67" s="228">
        <f t="shared" si="24"/>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823470</v>
      </c>
      <c r="C72" s="225">
        <v>823470</v>
      </c>
      <c r="D72" s="225"/>
      <c r="E72" s="225">
        <f>B72-SUM(F72:Q72)</f>
        <v>823470</v>
      </c>
      <c r="F72" s="225"/>
      <c r="G72" s="225"/>
      <c r="H72" s="225"/>
      <c r="I72" s="225"/>
      <c r="J72" s="225"/>
      <c r="K72" s="225"/>
      <c r="L72" s="225"/>
      <c r="M72" s="225"/>
      <c r="N72" s="225"/>
      <c r="O72" s="225"/>
      <c r="P72" s="225"/>
      <c r="Q72" s="225"/>
      <c r="R72" s="916">
        <f>SUM(E72:Q72)</f>
        <v>823470</v>
      </c>
      <c r="S72" s="226"/>
      <c r="T72" s="226"/>
      <c r="U72" s="221"/>
    </row>
    <row r="73" spans="1:21" s="222" customFormat="1" ht="24">
      <c r="A73" s="955" t="s">
        <v>1785</v>
      </c>
      <c r="B73" s="224">
        <f>SUM(C73+D73)</f>
        <v>1667298</v>
      </c>
      <c r="C73" s="225">
        <v>1667298</v>
      </c>
      <c r="D73" s="225"/>
      <c r="E73" s="225">
        <f>B73-SUM(F73:Q73)</f>
        <v>1667298</v>
      </c>
      <c r="F73" s="225"/>
      <c r="G73" s="225"/>
      <c r="H73" s="225"/>
      <c r="I73" s="225"/>
      <c r="J73" s="225"/>
      <c r="K73" s="225"/>
      <c r="L73" s="225"/>
      <c r="M73" s="225"/>
      <c r="N73" s="225"/>
      <c r="O73" s="225"/>
      <c r="P73" s="225"/>
      <c r="Q73" s="225"/>
      <c r="R73" s="916">
        <f>SUM(E73:Q73)</f>
        <v>1667298</v>
      </c>
      <c r="S73" s="226"/>
      <c r="T73" s="226"/>
      <c r="U73" s="221"/>
    </row>
    <row r="74" spans="1:21" s="222" customFormat="1">
      <c r="A74" s="227" t="s">
        <v>656</v>
      </c>
      <c r="B74" s="224">
        <f>SUM(C74:D74)</f>
        <v>2490768</v>
      </c>
      <c r="C74" s="224">
        <f>SUM(C69:C73)</f>
        <v>2490768</v>
      </c>
      <c r="D74" s="224">
        <f>SUM(D69:D73)</f>
        <v>0</v>
      </c>
      <c r="E74" s="224">
        <f t="shared" ref="E74:Q74" si="25">SUM(E69:E73)</f>
        <v>2490768</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2490768</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2144361</v>
      </c>
      <c r="C76" s="225">
        <v>2133543</v>
      </c>
      <c r="D76" s="225">
        <v>10818</v>
      </c>
      <c r="E76" s="225">
        <f t="shared" ref="E76:E77" si="26">B76-SUM(F76:Q76)</f>
        <v>2144361</v>
      </c>
      <c r="F76" s="225"/>
      <c r="G76" s="225"/>
      <c r="H76" s="225"/>
      <c r="I76" s="225"/>
      <c r="J76" s="225"/>
      <c r="K76" s="225"/>
      <c r="L76" s="225"/>
      <c r="M76" s="225"/>
      <c r="N76" s="225"/>
      <c r="O76" s="225"/>
      <c r="P76" s="225"/>
      <c r="Q76" s="225"/>
      <c r="R76" s="916">
        <f>SUM(E76:Q76)</f>
        <v>2144361</v>
      </c>
      <c r="S76" s="225">
        <f>C76</f>
        <v>2133543</v>
      </c>
      <c r="T76" s="225"/>
      <c r="U76" s="221"/>
    </row>
    <row r="77" spans="1:21" s="222" customFormat="1">
      <c r="A77" s="457" t="s">
        <v>63</v>
      </c>
      <c r="B77" s="224">
        <f>SUM(C77:D77)</f>
        <v>516856</v>
      </c>
      <c r="C77" s="225">
        <v>514249</v>
      </c>
      <c r="D77" s="225">
        <v>2607</v>
      </c>
      <c r="E77" s="225">
        <f t="shared" si="26"/>
        <v>516856</v>
      </c>
      <c r="F77" s="225"/>
      <c r="G77" s="225"/>
      <c r="H77" s="225"/>
      <c r="I77" s="225"/>
      <c r="J77" s="225"/>
      <c r="K77" s="225"/>
      <c r="L77" s="225"/>
      <c r="M77" s="225"/>
      <c r="N77" s="225"/>
      <c r="O77" s="225"/>
      <c r="P77" s="225"/>
      <c r="Q77" s="225"/>
      <c r="R77" s="916">
        <f>SUM(E77:Q77)</f>
        <v>516856</v>
      </c>
      <c r="S77" s="225">
        <f>C77</f>
        <v>514249</v>
      </c>
      <c r="T77" s="225"/>
      <c r="U77" s="221"/>
    </row>
    <row r="78" spans="1:21" s="222" customFormat="1">
      <c r="A78" s="227" t="s">
        <v>1467</v>
      </c>
      <c r="B78" s="224">
        <f>SUM(C78:D78)</f>
        <v>2661217</v>
      </c>
      <c r="C78" s="890">
        <f>SUM(C76:C77)</f>
        <v>2647792</v>
      </c>
      <c r="D78" s="890">
        <f t="shared" ref="D78:T78" si="27">SUM(D76:D77)</f>
        <v>13425</v>
      </c>
      <c r="E78" s="890">
        <f t="shared" si="27"/>
        <v>2661217</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2661217</v>
      </c>
      <c r="S78" s="890">
        <f t="shared" si="27"/>
        <v>2647792</v>
      </c>
      <c r="T78" s="890">
        <f t="shared" si="27"/>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8">SUM(C80+D80)</f>
        <v>85067</v>
      </c>
      <c r="C80" s="225">
        <v>85067</v>
      </c>
      <c r="D80" s="225"/>
      <c r="E80" s="225">
        <f t="shared" ref="E80:E94" si="29">B80-SUM(F80:Q80)</f>
        <v>85067</v>
      </c>
      <c r="F80" s="225"/>
      <c r="G80" s="225"/>
      <c r="H80" s="225"/>
      <c r="I80" s="225"/>
      <c r="J80" s="225"/>
      <c r="K80" s="225"/>
      <c r="L80" s="225"/>
      <c r="M80" s="225"/>
      <c r="N80" s="225"/>
      <c r="O80" s="225"/>
      <c r="P80" s="225"/>
      <c r="Q80" s="225"/>
      <c r="R80" s="916">
        <f t="shared" ref="R80:R94" si="30">SUM(E80:Q80)</f>
        <v>85067</v>
      </c>
      <c r="S80" s="226"/>
      <c r="T80" s="226"/>
      <c r="U80" s="221"/>
    </row>
    <row r="81" spans="1:21" s="222" customFormat="1">
      <c r="A81" s="223" t="s">
        <v>845</v>
      </c>
      <c r="B81" s="224">
        <f t="shared" si="28"/>
        <v>52000</v>
      </c>
      <c r="C81" s="225">
        <v>51738</v>
      </c>
      <c r="D81" s="225">
        <v>262</v>
      </c>
      <c r="E81" s="225">
        <f t="shared" si="29"/>
        <v>52000</v>
      </c>
      <c r="F81" s="225"/>
      <c r="G81" s="225"/>
      <c r="H81" s="225"/>
      <c r="I81" s="225"/>
      <c r="J81" s="225"/>
      <c r="K81" s="225"/>
      <c r="L81" s="225"/>
      <c r="M81" s="225"/>
      <c r="N81" s="225"/>
      <c r="O81" s="225"/>
      <c r="P81" s="225"/>
      <c r="Q81" s="225"/>
      <c r="R81" s="916">
        <f t="shared" si="30"/>
        <v>52000</v>
      </c>
      <c r="S81" s="225">
        <f>C81</f>
        <v>51738</v>
      </c>
      <c r="T81" s="225"/>
      <c r="U81" s="221"/>
    </row>
    <row r="82" spans="1:21" s="222" customFormat="1">
      <c r="A82" s="223" t="s">
        <v>846</v>
      </c>
      <c r="B82" s="224">
        <f t="shared" si="28"/>
        <v>357352</v>
      </c>
      <c r="C82" s="225">
        <v>355549</v>
      </c>
      <c r="D82" s="225">
        <v>1803</v>
      </c>
      <c r="E82" s="225">
        <f t="shared" si="29"/>
        <v>357352</v>
      </c>
      <c r="F82" s="225"/>
      <c r="G82" s="225"/>
      <c r="H82" s="225"/>
      <c r="I82" s="225"/>
      <c r="J82" s="225"/>
      <c r="K82" s="225"/>
      <c r="L82" s="225"/>
      <c r="M82" s="225"/>
      <c r="N82" s="225"/>
      <c r="O82" s="225"/>
      <c r="P82" s="225"/>
      <c r="Q82" s="225"/>
      <c r="R82" s="916">
        <f t="shared" si="30"/>
        <v>357352</v>
      </c>
      <c r="S82" s="225">
        <f t="shared" ref="S82:S83" si="31">C82</f>
        <v>355549</v>
      </c>
      <c r="T82" s="225"/>
      <c r="U82" s="221"/>
    </row>
    <row r="83" spans="1:21" s="222" customFormat="1">
      <c r="A83" s="223" t="s">
        <v>847</v>
      </c>
      <c r="B83" s="224">
        <f t="shared" si="28"/>
        <v>149050</v>
      </c>
      <c r="C83" s="225">
        <v>148298</v>
      </c>
      <c r="D83" s="225">
        <v>752</v>
      </c>
      <c r="E83" s="225">
        <f t="shared" si="29"/>
        <v>149050</v>
      </c>
      <c r="F83" s="225"/>
      <c r="G83" s="225"/>
      <c r="H83" s="225"/>
      <c r="I83" s="225"/>
      <c r="J83" s="225"/>
      <c r="K83" s="225"/>
      <c r="L83" s="225"/>
      <c r="M83" s="225"/>
      <c r="N83" s="225"/>
      <c r="O83" s="225"/>
      <c r="P83" s="225"/>
      <c r="Q83" s="225"/>
      <c r="R83" s="916">
        <f t="shared" si="30"/>
        <v>149050</v>
      </c>
      <c r="S83" s="225">
        <f t="shared" si="31"/>
        <v>148298</v>
      </c>
      <c r="T83" s="225"/>
      <c r="U83" s="221"/>
    </row>
    <row r="84" spans="1:21" s="222" customFormat="1">
      <c r="A84" s="223" t="s">
        <v>848</v>
      </c>
      <c r="B84" s="224">
        <f t="shared" si="28"/>
        <v>0</v>
      </c>
      <c r="C84" s="225"/>
      <c r="D84" s="225"/>
      <c r="E84" s="225">
        <f t="shared" si="29"/>
        <v>0</v>
      </c>
      <c r="F84" s="225"/>
      <c r="G84" s="225"/>
      <c r="H84" s="225"/>
      <c r="I84" s="225"/>
      <c r="J84" s="225"/>
      <c r="K84" s="225"/>
      <c r="L84" s="225"/>
      <c r="M84" s="225"/>
      <c r="N84" s="225"/>
      <c r="O84" s="225"/>
      <c r="P84" s="225"/>
      <c r="Q84" s="225"/>
      <c r="R84" s="916">
        <f t="shared" si="30"/>
        <v>0</v>
      </c>
      <c r="S84" s="225"/>
      <c r="T84" s="225"/>
      <c r="U84" s="221"/>
    </row>
    <row r="85" spans="1:21" s="222" customFormat="1">
      <c r="A85" s="223" t="s">
        <v>849</v>
      </c>
      <c r="B85" s="224">
        <f t="shared" si="28"/>
        <v>200000</v>
      </c>
      <c r="C85" s="225">
        <v>200000</v>
      </c>
      <c r="D85" s="225"/>
      <c r="E85" s="225">
        <f t="shared" si="29"/>
        <v>200000</v>
      </c>
      <c r="F85" s="225"/>
      <c r="G85" s="225"/>
      <c r="H85" s="225"/>
      <c r="I85" s="225"/>
      <c r="J85" s="225"/>
      <c r="K85" s="225"/>
      <c r="L85" s="225"/>
      <c r="M85" s="225"/>
      <c r="N85" s="225"/>
      <c r="O85" s="225"/>
      <c r="P85" s="225"/>
      <c r="Q85" s="225"/>
      <c r="R85" s="916">
        <f t="shared" si="30"/>
        <v>200000</v>
      </c>
      <c r="S85" s="226"/>
      <c r="T85" s="226"/>
      <c r="U85" s="221"/>
    </row>
    <row r="86" spans="1:21" s="222" customFormat="1">
      <c r="A86" s="223" t="s">
        <v>850</v>
      </c>
      <c r="B86" s="224">
        <f t="shared" si="28"/>
        <v>730682</v>
      </c>
      <c r="C86" s="225">
        <v>730682</v>
      </c>
      <c r="D86" s="225"/>
      <c r="E86" s="225">
        <f t="shared" si="29"/>
        <v>730682</v>
      </c>
      <c r="F86" s="225"/>
      <c r="G86" s="225"/>
      <c r="H86" s="225"/>
      <c r="I86" s="225"/>
      <c r="J86" s="225"/>
      <c r="K86" s="225"/>
      <c r="L86" s="225"/>
      <c r="M86" s="225"/>
      <c r="N86" s="225"/>
      <c r="O86" s="225"/>
      <c r="P86" s="225"/>
      <c r="Q86" s="225"/>
      <c r="R86" s="916">
        <f t="shared" si="30"/>
        <v>730682</v>
      </c>
      <c r="S86" s="225">
        <f>C86</f>
        <v>730682</v>
      </c>
      <c r="T86" s="225"/>
      <c r="U86" s="221"/>
    </row>
    <row r="87" spans="1:21" s="222" customFormat="1">
      <c r="A87" s="223" t="s">
        <v>851</v>
      </c>
      <c r="B87" s="224">
        <f t="shared" si="28"/>
        <v>10000</v>
      </c>
      <c r="C87" s="225">
        <v>10000</v>
      </c>
      <c r="D87" s="225"/>
      <c r="E87" s="225">
        <f t="shared" si="29"/>
        <v>10000</v>
      </c>
      <c r="F87" s="225"/>
      <c r="G87" s="225"/>
      <c r="H87" s="225"/>
      <c r="I87" s="225"/>
      <c r="J87" s="225"/>
      <c r="K87" s="225"/>
      <c r="L87" s="225"/>
      <c r="M87" s="225"/>
      <c r="N87" s="225"/>
      <c r="O87" s="225"/>
      <c r="P87" s="225"/>
      <c r="Q87" s="225"/>
      <c r="R87" s="916">
        <f t="shared" si="30"/>
        <v>10000</v>
      </c>
      <c r="S87" s="225"/>
      <c r="T87" s="225"/>
      <c r="U87" s="221"/>
    </row>
    <row r="88" spans="1:21" s="222" customFormat="1">
      <c r="A88" s="234" t="s">
        <v>403</v>
      </c>
      <c r="B88" s="224">
        <f t="shared" si="28"/>
        <v>0</v>
      </c>
      <c r="C88" s="225"/>
      <c r="D88" s="225"/>
      <c r="E88" s="225">
        <f t="shared" si="29"/>
        <v>0</v>
      </c>
      <c r="F88" s="225"/>
      <c r="G88" s="225"/>
      <c r="H88" s="225"/>
      <c r="I88" s="225"/>
      <c r="J88" s="225"/>
      <c r="K88" s="225"/>
      <c r="L88" s="225"/>
      <c r="M88" s="225"/>
      <c r="N88" s="225"/>
      <c r="O88" s="225"/>
      <c r="P88" s="225"/>
      <c r="Q88" s="225"/>
      <c r="R88" s="916">
        <f t="shared" si="30"/>
        <v>0</v>
      </c>
      <c r="S88" s="225"/>
      <c r="T88" s="225"/>
      <c r="U88" s="221"/>
    </row>
    <row r="89" spans="1:21" s="222" customFormat="1">
      <c r="A89" s="889" t="s">
        <v>1469</v>
      </c>
      <c r="B89" s="224">
        <f t="shared" si="28"/>
        <v>15000</v>
      </c>
      <c r="C89" s="225">
        <v>14924</v>
      </c>
      <c r="D89" s="225">
        <v>76</v>
      </c>
      <c r="E89" s="225">
        <f t="shared" si="29"/>
        <v>15000</v>
      </c>
      <c r="F89" s="225"/>
      <c r="G89" s="225"/>
      <c r="H89" s="225"/>
      <c r="I89" s="225"/>
      <c r="J89" s="225"/>
      <c r="K89" s="225"/>
      <c r="L89" s="225"/>
      <c r="M89" s="225"/>
      <c r="N89" s="225"/>
      <c r="O89" s="225"/>
      <c r="P89" s="225"/>
      <c r="Q89" s="225"/>
      <c r="R89" s="916">
        <f t="shared" si="30"/>
        <v>15000</v>
      </c>
      <c r="S89" s="225">
        <f>C89</f>
        <v>14924</v>
      </c>
      <c r="T89" s="225"/>
      <c r="U89" s="221"/>
    </row>
    <row r="90" spans="1:21" s="222" customFormat="1">
      <c r="A90" s="955" t="s">
        <v>1765</v>
      </c>
      <c r="B90" s="224">
        <f t="shared" si="28"/>
        <v>157500</v>
      </c>
      <c r="C90" s="225">
        <v>156705</v>
      </c>
      <c r="D90" s="225">
        <v>795</v>
      </c>
      <c r="E90" s="225">
        <f t="shared" si="29"/>
        <v>157500</v>
      </c>
      <c r="F90" s="225"/>
      <c r="G90" s="225"/>
      <c r="H90" s="225"/>
      <c r="I90" s="225"/>
      <c r="J90" s="225"/>
      <c r="K90" s="225"/>
      <c r="L90" s="225"/>
      <c r="M90" s="225"/>
      <c r="N90" s="225"/>
      <c r="O90" s="225"/>
      <c r="P90" s="225"/>
      <c r="Q90" s="225"/>
      <c r="R90" s="916">
        <f t="shared" si="30"/>
        <v>157500</v>
      </c>
      <c r="S90" s="225"/>
      <c r="T90" s="225"/>
      <c r="U90" s="221"/>
    </row>
    <row r="91" spans="1:21" s="222" customFormat="1">
      <c r="A91" s="955" t="s">
        <v>1767</v>
      </c>
      <c r="B91" s="224">
        <f t="shared" si="28"/>
        <v>300000</v>
      </c>
      <c r="C91" s="225">
        <v>298487</v>
      </c>
      <c r="D91" s="225">
        <v>1513</v>
      </c>
      <c r="E91" s="225">
        <f t="shared" si="29"/>
        <v>300000</v>
      </c>
      <c r="F91" s="225"/>
      <c r="G91" s="225"/>
      <c r="H91" s="225"/>
      <c r="I91" s="225"/>
      <c r="J91" s="225"/>
      <c r="K91" s="225"/>
      <c r="L91" s="225"/>
      <c r="M91" s="225"/>
      <c r="N91" s="225"/>
      <c r="O91" s="225"/>
      <c r="P91" s="225"/>
      <c r="Q91" s="225"/>
      <c r="R91" s="916">
        <f t="shared" si="30"/>
        <v>300000</v>
      </c>
      <c r="S91" s="225">
        <f>C91</f>
        <v>298487</v>
      </c>
      <c r="T91" s="225"/>
      <c r="U91" s="221"/>
    </row>
    <row r="92" spans="1:21" s="222" customFormat="1">
      <c r="A92" s="955" t="s">
        <v>1768</v>
      </c>
      <c r="B92" s="224">
        <f t="shared" si="28"/>
        <v>200000</v>
      </c>
      <c r="C92" s="225">
        <v>198991</v>
      </c>
      <c r="D92" s="225">
        <v>1009</v>
      </c>
      <c r="E92" s="225">
        <f t="shared" si="29"/>
        <v>200000</v>
      </c>
      <c r="F92" s="225"/>
      <c r="G92" s="225"/>
      <c r="H92" s="225"/>
      <c r="I92" s="225"/>
      <c r="J92" s="225"/>
      <c r="K92" s="225"/>
      <c r="L92" s="225"/>
      <c r="M92" s="225"/>
      <c r="N92" s="225"/>
      <c r="O92" s="225"/>
      <c r="P92" s="225"/>
      <c r="Q92" s="225"/>
      <c r="R92" s="916">
        <f t="shared" si="30"/>
        <v>200000</v>
      </c>
      <c r="S92" s="225">
        <f>C92</f>
        <v>198991</v>
      </c>
      <c r="T92" s="225"/>
      <c r="U92" s="221"/>
    </row>
    <row r="93" spans="1:21" s="222" customFormat="1">
      <c r="A93" s="230" t="s">
        <v>37</v>
      </c>
      <c r="B93" s="224">
        <f t="shared" si="28"/>
        <v>0</v>
      </c>
      <c r="C93" s="225"/>
      <c r="D93" s="225"/>
      <c r="E93" s="225">
        <f t="shared" si="29"/>
        <v>0</v>
      </c>
      <c r="F93" s="225"/>
      <c r="G93" s="225"/>
      <c r="H93" s="225"/>
      <c r="I93" s="225"/>
      <c r="J93" s="225"/>
      <c r="K93" s="225"/>
      <c r="L93" s="225"/>
      <c r="M93" s="225"/>
      <c r="N93" s="225"/>
      <c r="O93" s="225"/>
      <c r="P93" s="225"/>
      <c r="Q93" s="225"/>
      <c r="R93" s="916">
        <f t="shared" si="30"/>
        <v>0</v>
      </c>
      <c r="S93" s="225"/>
      <c r="T93" s="225"/>
      <c r="U93" s="221"/>
    </row>
    <row r="94" spans="1:21" s="222" customFormat="1">
      <c r="A94" s="230" t="s">
        <v>37</v>
      </c>
      <c r="B94" s="224">
        <f t="shared" si="28"/>
        <v>0</v>
      </c>
      <c r="C94" s="225"/>
      <c r="D94" s="225"/>
      <c r="E94" s="225">
        <f t="shared" si="29"/>
        <v>0</v>
      </c>
      <c r="F94" s="225"/>
      <c r="G94" s="225"/>
      <c r="H94" s="225"/>
      <c r="I94" s="225"/>
      <c r="J94" s="225"/>
      <c r="K94" s="225"/>
      <c r="L94" s="225"/>
      <c r="M94" s="225"/>
      <c r="N94" s="225"/>
      <c r="O94" s="225"/>
      <c r="P94" s="225"/>
      <c r="Q94" s="225"/>
      <c r="R94" s="916">
        <f t="shared" si="30"/>
        <v>0</v>
      </c>
      <c r="S94" s="225"/>
      <c r="T94" s="225"/>
      <c r="U94" s="221"/>
    </row>
    <row r="95" spans="1:21" s="222" customFormat="1">
      <c r="A95" s="227" t="s">
        <v>852</v>
      </c>
      <c r="B95" s="224">
        <f>SUM(C95:D95)</f>
        <v>2256651</v>
      </c>
      <c r="C95" s="224">
        <f t="shared" ref="C95:Q95" si="32">SUM(C80:C94)</f>
        <v>2250441</v>
      </c>
      <c r="D95" s="224">
        <f t="shared" si="32"/>
        <v>6210</v>
      </c>
      <c r="E95" s="224">
        <f t="shared" si="32"/>
        <v>2256651</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2256651</v>
      </c>
      <c r="S95" s="228">
        <f>SUM(S81:S84,S86:S94)</f>
        <v>1798669</v>
      </c>
      <c r="T95" s="224">
        <f>SUM(T81:T84,T86:T94)</f>
        <v>0</v>
      </c>
      <c r="U95" s="221"/>
    </row>
    <row r="96" spans="1:21" s="222" customFormat="1">
      <c r="A96" s="227" t="s">
        <v>853</v>
      </c>
      <c r="B96" s="224">
        <f>SUM(C96:D96)</f>
        <v>64191932</v>
      </c>
      <c r="C96" s="224">
        <f>SUM(C63+C67+C74+C78+C95)</f>
        <v>63904844</v>
      </c>
      <c r="D96" s="224">
        <f t="shared" ref="D96:R96" si="33">SUM(D63+D67+D74+D78+D95)</f>
        <v>287088</v>
      </c>
      <c r="E96" s="224">
        <f t="shared" si="33"/>
        <v>17008754</v>
      </c>
      <c r="F96" s="224">
        <f t="shared" si="33"/>
        <v>34256000</v>
      </c>
      <c r="G96" s="224">
        <f t="shared" si="33"/>
        <v>7787208</v>
      </c>
      <c r="H96" s="224">
        <f t="shared" si="33"/>
        <v>5139970</v>
      </c>
      <c r="I96" s="224">
        <f t="shared" si="33"/>
        <v>0</v>
      </c>
      <c r="J96" s="224">
        <f t="shared" si="33"/>
        <v>0</v>
      </c>
      <c r="K96" s="224">
        <f t="shared" si="33"/>
        <v>0</v>
      </c>
      <c r="L96" s="224">
        <f t="shared" si="33"/>
        <v>0</v>
      </c>
      <c r="M96" s="224">
        <f t="shared" si="33"/>
        <v>0</v>
      </c>
      <c r="N96" s="224">
        <f t="shared" si="33"/>
        <v>0</v>
      </c>
      <c r="O96" s="224">
        <f t="shared" si="33"/>
        <v>0</v>
      </c>
      <c r="P96" s="224">
        <f t="shared" si="33"/>
        <v>0</v>
      </c>
      <c r="Q96" s="224">
        <f t="shared" si="33"/>
        <v>0</v>
      </c>
      <c r="R96" s="224">
        <f t="shared" si="33"/>
        <v>64191932</v>
      </c>
      <c r="S96" s="224">
        <f>SUM(S63+S67+S78+S95)</f>
        <v>50666446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6839970</v>
      </c>
      <c r="C98" s="225">
        <v>6805463</v>
      </c>
      <c r="D98" s="225">
        <v>34507</v>
      </c>
      <c r="E98" s="225">
        <f>B98-SUM(F98:Q98)</f>
        <v>6839970</v>
      </c>
      <c r="F98" s="225"/>
      <c r="G98" s="225"/>
      <c r="H98" s="225"/>
      <c r="I98" s="225"/>
      <c r="J98" s="225"/>
      <c r="K98" s="225"/>
      <c r="L98" s="225"/>
      <c r="M98" s="225"/>
      <c r="N98" s="225"/>
      <c r="O98" s="225"/>
      <c r="P98" s="225"/>
      <c r="Q98" s="225"/>
      <c r="R98" s="916">
        <f t="shared" ref="R98:R103" si="35">SUM(E98:Q98)</f>
        <v>6839970</v>
      </c>
      <c r="S98" s="225">
        <f>C98</f>
        <v>6805463</v>
      </c>
      <c r="T98" s="225"/>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1127</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860</v>
      </c>
      <c r="B104" s="224">
        <f>SUM(C104:D104)</f>
        <v>6839970</v>
      </c>
      <c r="C104" s="224">
        <f t="shared" ref="C104:T104" si="36">SUM(C98:C103)</f>
        <v>6805463</v>
      </c>
      <c r="D104" s="224">
        <f t="shared" si="36"/>
        <v>34507</v>
      </c>
      <c r="E104" s="224">
        <f t="shared" si="36"/>
        <v>6839970</v>
      </c>
      <c r="F104" s="224">
        <f t="shared" si="36"/>
        <v>0</v>
      </c>
      <c r="G104" s="224">
        <f t="shared" si="36"/>
        <v>0</v>
      </c>
      <c r="H104" s="224">
        <f t="shared" si="36"/>
        <v>0</v>
      </c>
      <c r="I104" s="224">
        <f t="shared" si="36"/>
        <v>0</v>
      </c>
      <c r="J104" s="224">
        <f t="shared" si="36"/>
        <v>0</v>
      </c>
      <c r="K104" s="224">
        <f t="shared" si="36"/>
        <v>0</v>
      </c>
      <c r="L104" s="224">
        <f t="shared" si="36"/>
        <v>0</v>
      </c>
      <c r="M104" s="224">
        <f t="shared" si="36"/>
        <v>0</v>
      </c>
      <c r="N104" s="224">
        <f t="shared" si="36"/>
        <v>0</v>
      </c>
      <c r="O104" s="224">
        <f t="shared" si="36"/>
        <v>0</v>
      </c>
      <c r="P104" s="224">
        <f t="shared" si="36"/>
        <v>0</v>
      </c>
      <c r="Q104" s="224">
        <f t="shared" si="36"/>
        <v>0</v>
      </c>
      <c r="R104" s="558">
        <f>SUM(R98:R103)</f>
        <v>6839970</v>
      </c>
      <c r="S104" s="228">
        <f t="shared" si="36"/>
        <v>6805463</v>
      </c>
      <c r="T104" s="228">
        <f t="shared" si="36"/>
        <v>0</v>
      </c>
      <c r="U104" s="221"/>
    </row>
    <row r="105" spans="1:21" s="222" customFormat="1">
      <c r="A105" s="227" t="s">
        <v>861</v>
      </c>
      <c r="B105" s="228">
        <f>SUM(C105:D105)</f>
        <v>71031902</v>
      </c>
      <c r="C105" s="228">
        <f t="shared" ref="C105:R105" si="37">SUM(C96+C104)</f>
        <v>70710307</v>
      </c>
      <c r="D105" s="228">
        <f t="shared" si="37"/>
        <v>321595</v>
      </c>
      <c r="E105" s="228">
        <f t="shared" si="37"/>
        <v>23848724</v>
      </c>
      <c r="F105" s="228">
        <f t="shared" si="37"/>
        <v>34256000</v>
      </c>
      <c r="G105" s="228">
        <f t="shared" si="37"/>
        <v>7787208</v>
      </c>
      <c r="H105" s="228">
        <f t="shared" si="37"/>
        <v>5139970</v>
      </c>
      <c r="I105" s="228">
        <f t="shared" si="37"/>
        <v>0</v>
      </c>
      <c r="J105" s="228">
        <f t="shared" si="37"/>
        <v>0</v>
      </c>
      <c r="K105" s="228">
        <f t="shared" si="37"/>
        <v>0</v>
      </c>
      <c r="L105" s="228">
        <f t="shared" si="37"/>
        <v>0</v>
      </c>
      <c r="M105" s="228">
        <f t="shared" si="37"/>
        <v>0</v>
      </c>
      <c r="N105" s="228">
        <f t="shared" si="37"/>
        <v>0</v>
      </c>
      <c r="O105" s="228">
        <f t="shared" si="37"/>
        <v>0</v>
      </c>
      <c r="P105" s="228">
        <f t="shared" si="37"/>
        <v>0</v>
      </c>
      <c r="Q105" s="228">
        <f t="shared" si="37"/>
        <v>0</v>
      </c>
      <c r="R105" s="558">
        <f t="shared" si="37"/>
        <v>71031902</v>
      </c>
      <c r="S105" s="228">
        <f>S96+S104</f>
        <v>57471909</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57471909</v>
      </c>
      <c r="T107" s="242">
        <f>T105+T106</f>
        <v>0</v>
      </c>
    </row>
    <row r="108" spans="1:21" s="310" customFormat="1">
      <c r="A108" s="241" t="s">
        <v>973</v>
      </c>
      <c r="B108" s="236"/>
      <c r="C108" s="236"/>
      <c r="D108" s="236"/>
      <c r="E108" s="481">
        <f>Application!AG631</f>
        <v>23848724</v>
      </c>
      <c r="F108" s="481">
        <f>Application!AG618</f>
        <v>34256000</v>
      </c>
      <c r="G108" s="481">
        <f>Application!AG619</f>
        <v>7787208</v>
      </c>
      <c r="H108" s="481">
        <f>Application!AG620</f>
        <v>5139970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7" t="s">
        <v>1133</v>
      </c>
      <c r="E122" s="1607"/>
      <c r="F122" s="160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0" t="s">
        <v>1492</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1135</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1136</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318</v>
      </c>
      <c r="B129" s="544"/>
      <c r="C129" s="534"/>
      <c r="D129" s="1606" t="s">
        <v>1140</v>
      </c>
      <c r="E129" s="1606"/>
      <c r="F129" s="1606"/>
      <c r="G129" s="1606"/>
      <c r="H129" s="160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2" t="s">
        <v>1143</v>
      </c>
      <c r="E132" s="1612"/>
      <c r="F132" s="1612"/>
      <c r="G132" s="1612"/>
      <c r="H132" s="1612"/>
      <c r="I132" s="534"/>
      <c r="J132" s="1612" t="s">
        <v>1144</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1147</v>
      </c>
      <c r="B139" s="1609"/>
      <c r="C139" s="160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53" stopIfTrue="1">
      <formula>T9&gt;C9</formula>
    </cfRule>
  </conditionalFormatting>
  <conditionalFormatting sqref="R8">
    <cfRule type="cellIs" dxfId="137" priority="241" stopIfTrue="1" operator="notEqual">
      <formula>$B8</formula>
    </cfRule>
    <cfRule type="cellIs" priority="244" stopIfTrue="1" operator="notEqual">
      <formula>$B8</formula>
    </cfRule>
  </conditionalFormatting>
  <conditionalFormatting sqref="R4:R7">
    <cfRule type="cellIs" dxfId="136" priority="243" stopIfTrue="1" operator="notEqual">
      <formula>$B4</formula>
    </cfRule>
  </conditionalFormatting>
  <conditionalFormatting sqref="R9:R10">
    <cfRule type="cellIs" dxfId="135" priority="242" stopIfTrue="1" operator="notEqual">
      <formula>$B9</formula>
    </cfRule>
  </conditionalFormatting>
  <conditionalFormatting sqref="R11:R12">
    <cfRule type="cellIs" dxfId="134" priority="239" stopIfTrue="1" operator="notEqual">
      <formula>$B11</formula>
    </cfRule>
    <cfRule type="cellIs" priority="240" stopIfTrue="1" operator="notEqual">
      <formula>$B11</formula>
    </cfRule>
  </conditionalFormatting>
  <conditionalFormatting sqref="R13:R15">
    <cfRule type="cellIs" dxfId="133" priority="238" stopIfTrue="1" operator="notEqual">
      <formula>$B13</formula>
    </cfRule>
  </conditionalFormatting>
  <conditionalFormatting sqref="R25">
    <cfRule type="cellIs" dxfId="132" priority="236" stopIfTrue="1" operator="notEqual">
      <formula>$B25</formula>
    </cfRule>
    <cfRule type="cellIs" priority="237" stopIfTrue="1" operator="notEqual">
      <formula>$B25</formula>
    </cfRule>
  </conditionalFormatting>
  <conditionalFormatting sqref="R17:R24">
    <cfRule type="cellIs" dxfId="131" priority="235" stopIfTrue="1" operator="notEqual">
      <formula>$B17</formula>
    </cfRule>
  </conditionalFormatting>
  <conditionalFormatting sqref="R26">
    <cfRule type="cellIs" dxfId="130" priority="234" stopIfTrue="1" operator="notEqual">
      <formula>$B26</formula>
    </cfRule>
  </conditionalFormatting>
  <conditionalFormatting sqref="R36">
    <cfRule type="cellIs" dxfId="129" priority="232" stopIfTrue="1" operator="notEqual">
      <formula>$B36</formula>
    </cfRule>
    <cfRule type="cellIs" priority="233" stopIfTrue="1" operator="notEqual">
      <formula>$B36</formula>
    </cfRule>
  </conditionalFormatting>
  <conditionalFormatting sqref="R28:R35">
    <cfRule type="cellIs" dxfId="128" priority="231" stopIfTrue="1" operator="notEqual">
      <formula>$B28</formula>
    </cfRule>
  </conditionalFormatting>
  <conditionalFormatting sqref="R40">
    <cfRule type="cellIs" dxfId="127" priority="229" stopIfTrue="1" operator="notEqual">
      <formula>$B40</formula>
    </cfRule>
    <cfRule type="cellIs" priority="230" stopIfTrue="1" operator="notEqual">
      <formula>$B40</formula>
    </cfRule>
  </conditionalFormatting>
  <conditionalFormatting sqref="R38:R39">
    <cfRule type="cellIs" dxfId="126" priority="228" stopIfTrue="1" operator="notEqual">
      <formula>$B38</formula>
    </cfRule>
  </conditionalFormatting>
  <conditionalFormatting sqref="R41">
    <cfRule type="cellIs" dxfId="125" priority="227" stopIfTrue="1" operator="notEqual">
      <formula>$B41</formula>
    </cfRule>
  </conditionalFormatting>
  <conditionalFormatting sqref="R53">
    <cfRule type="cellIs" dxfId="124" priority="225" stopIfTrue="1" operator="notEqual">
      <formula>$B53</formula>
    </cfRule>
    <cfRule type="cellIs" priority="226" stopIfTrue="1" operator="notEqual">
      <formula>$B53</formula>
    </cfRule>
  </conditionalFormatting>
  <conditionalFormatting sqref="R43:R52">
    <cfRule type="cellIs" dxfId="123" priority="224" stopIfTrue="1" operator="notEqual">
      <formula>$B43</formula>
    </cfRule>
  </conditionalFormatting>
  <conditionalFormatting sqref="R62:R63">
    <cfRule type="cellIs" dxfId="122" priority="222" stopIfTrue="1" operator="notEqual">
      <formula>$B62</formula>
    </cfRule>
    <cfRule type="cellIs" priority="223" stopIfTrue="1" operator="notEqual">
      <formula>$B62</formula>
    </cfRule>
  </conditionalFormatting>
  <conditionalFormatting sqref="R55:R61">
    <cfRule type="cellIs" dxfId="121" priority="221" stopIfTrue="1" operator="notEqual">
      <formula>$B55</formula>
    </cfRule>
  </conditionalFormatting>
  <conditionalFormatting sqref="R67">
    <cfRule type="cellIs" dxfId="120" priority="219" stopIfTrue="1" operator="notEqual">
      <formula>$B67</formula>
    </cfRule>
    <cfRule type="cellIs" priority="220" stopIfTrue="1" operator="notEqual">
      <formula>$B67</formula>
    </cfRule>
  </conditionalFormatting>
  <conditionalFormatting sqref="R65:R66">
    <cfRule type="cellIs" dxfId="119" priority="218" stopIfTrue="1" operator="notEqual">
      <formula>$B65</formula>
    </cfRule>
  </conditionalFormatting>
  <conditionalFormatting sqref="R74">
    <cfRule type="cellIs" dxfId="118" priority="216" stopIfTrue="1" operator="notEqual">
      <formula>$B74</formula>
    </cfRule>
    <cfRule type="cellIs" priority="217" stopIfTrue="1" operator="notEqual">
      <formula>$B74</formula>
    </cfRule>
  </conditionalFormatting>
  <conditionalFormatting sqref="R95">
    <cfRule type="cellIs" dxfId="117" priority="214" stopIfTrue="1" operator="notEqual">
      <formula>$B95</formula>
    </cfRule>
    <cfRule type="cellIs" priority="215" stopIfTrue="1" operator="notEqual">
      <formula>$B95</formula>
    </cfRule>
  </conditionalFormatting>
  <conditionalFormatting sqref="R69:R73">
    <cfRule type="cellIs" dxfId="116" priority="213" stopIfTrue="1" operator="notEqual">
      <formula>$B69</formula>
    </cfRule>
  </conditionalFormatting>
  <conditionalFormatting sqref="R76:R77">
    <cfRule type="cellIs" dxfId="115" priority="212" stopIfTrue="1" operator="notEqual">
      <formula>$B76</formula>
    </cfRule>
  </conditionalFormatting>
  <conditionalFormatting sqref="R80:R94">
    <cfRule type="cellIs" dxfId="114" priority="211" stopIfTrue="1" operator="notEqual">
      <formula>$B80</formula>
    </cfRule>
  </conditionalFormatting>
  <conditionalFormatting sqref="R104:R105">
    <cfRule type="cellIs" dxfId="113" priority="209" stopIfTrue="1" operator="notEqual">
      <formula>$B104</formula>
    </cfRule>
    <cfRule type="cellIs" priority="210" stopIfTrue="1" operator="notEqual">
      <formula>$B104</formula>
    </cfRule>
  </conditionalFormatting>
  <conditionalFormatting sqref="R98:R103">
    <cfRule type="cellIs" dxfId="112" priority="208" stopIfTrue="1" operator="notEqual">
      <formula>$B98</formula>
    </cfRule>
  </conditionalFormatting>
  <conditionalFormatting sqref="E105:Q105">
    <cfRule type="cellIs" dxfId="111" priority="207" stopIfTrue="1" operator="notEqual">
      <formula>E$108</formula>
    </cfRule>
  </conditionalFormatting>
  <conditionalFormatting sqref="S14">
    <cfRule type="expression" dxfId="110" priority="201" stopIfTrue="1">
      <formula>(S14+T14)&gt;C14</formula>
    </cfRule>
  </conditionalFormatting>
  <conditionalFormatting sqref="S17">
    <cfRule type="expression" dxfId="109" priority="200" stopIfTrue="1">
      <formula>(S17+T17)&gt;C17</formula>
    </cfRule>
  </conditionalFormatting>
  <conditionalFormatting sqref="S18">
    <cfRule type="expression" dxfId="108" priority="192" stopIfTrue="1">
      <formula>(S18+T18)&gt;C18</formula>
    </cfRule>
  </conditionalFormatting>
  <conditionalFormatting sqref="S19">
    <cfRule type="expression" dxfId="107" priority="190" stopIfTrue="1">
      <formula>(S19+T19)&gt;C19</formula>
    </cfRule>
  </conditionalFormatting>
  <conditionalFormatting sqref="S20">
    <cfRule type="expression" dxfId="106" priority="189" stopIfTrue="1">
      <formula>(S20+T20)&gt;C20</formula>
    </cfRule>
  </conditionalFormatting>
  <conditionalFormatting sqref="S21">
    <cfRule type="expression" dxfId="105" priority="188" stopIfTrue="1">
      <formula>(S21+T21)&gt;C21</formula>
    </cfRule>
  </conditionalFormatting>
  <conditionalFormatting sqref="S22">
    <cfRule type="expression" dxfId="104" priority="187" stopIfTrue="1">
      <formula>(S22+T22)&gt;C22</formula>
    </cfRule>
  </conditionalFormatting>
  <conditionalFormatting sqref="S23">
    <cfRule type="expression" dxfId="103" priority="186" stopIfTrue="1">
      <formula>(S23+T23)&gt;C23</formula>
    </cfRule>
  </conditionalFormatting>
  <conditionalFormatting sqref="S24">
    <cfRule type="expression" dxfId="102" priority="185" stopIfTrue="1">
      <formula>(S24+T24)&gt;C24</formula>
    </cfRule>
  </conditionalFormatting>
  <conditionalFormatting sqref="S26">
    <cfRule type="expression" dxfId="101" priority="178" stopIfTrue="1">
      <formula>(S26+T26)&gt;C26</formula>
    </cfRule>
  </conditionalFormatting>
  <conditionalFormatting sqref="S29">
    <cfRule type="expression" dxfId="100" priority="174" stopIfTrue="1">
      <formula>(S29+T29)&gt;C29</formula>
    </cfRule>
  </conditionalFormatting>
  <conditionalFormatting sqref="S39">
    <cfRule type="expression" dxfId="99" priority="159" stopIfTrue="1">
      <formula>(S39+T39)&gt;C39</formula>
    </cfRule>
  </conditionalFormatting>
  <conditionalFormatting sqref="S43">
    <cfRule type="expression" dxfId="98" priority="154" stopIfTrue="1">
      <formula>(S43+T43)&gt;C43</formula>
    </cfRule>
  </conditionalFormatting>
  <conditionalFormatting sqref="S44">
    <cfRule type="expression" dxfId="97" priority="149" stopIfTrue="1">
      <formula>(S44+T44)&gt;C44</formula>
    </cfRule>
  </conditionalFormatting>
  <conditionalFormatting sqref="S45">
    <cfRule type="expression" dxfId="96" priority="148" stopIfTrue="1">
      <formula>(S45+T45)&gt;C45</formula>
    </cfRule>
  </conditionalFormatting>
  <conditionalFormatting sqref="S46">
    <cfRule type="expression" dxfId="95" priority="147" stopIfTrue="1">
      <formula>(S46+T46)&gt;C46</formula>
    </cfRule>
  </conditionalFormatting>
  <conditionalFormatting sqref="S47">
    <cfRule type="expression" dxfId="94" priority="146" stopIfTrue="1">
      <formula>(S47+T47)&gt;C47</formula>
    </cfRule>
  </conditionalFormatting>
  <conditionalFormatting sqref="S48">
    <cfRule type="expression" dxfId="93" priority="145" stopIfTrue="1">
      <formula>(S48+T48)&gt;C48</formula>
    </cfRule>
  </conditionalFormatting>
  <conditionalFormatting sqref="S49">
    <cfRule type="expression" dxfId="92" priority="144" stopIfTrue="1">
      <formula>(S49+T49)&gt;C49</formula>
    </cfRule>
  </conditionalFormatting>
  <conditionalFormatting sqref="S51">
    <cfRule type="expression" dxfId="91" priority="142" stopIfTrue="1">
      <formula>(S51+T51)&gt;C51</formula>
    </cfRule>
  </conditionalFormatting>
  <conditionalFormatting sqref="S52">
    <cfRule type="expression" dxfId="90" priority="141" stopIfTrue="1">
      <formula>(S52+T52)&gt;C52</formula>
    </cfRule>
  </conditionalFormatting>
  <conditionalFormatting sqref="S65">
    <cfRule type="expression" dxfId="89" priority="131" stopIfTrue="1">
      <formula>(S65+T65)&gt;C65</formula>
    </cfRule>
  </conditionalFormatting>
  <conditionalFormatting sqref="S66">
    <cfRule type="expression" dxfId="88" priority="130" stopIfTrue="1">
      <formula>(S66+T66)&gt;C66</formula>
    </cfRule>
  </conditionalFormatting>
  <conditionalFormatting sqref="S76:S77">
    <cfRule type="expression" dxfId="87" priority="127" stopIfTrue="1">
      <formula>(S76+T76)&gt;C76</formula>
    </cfRule>
  </conditionalFormatting>
  <conditionalFormatting sqref="S81:S83">
    <cfRule type="expression" dxfId="86" priority="123" stopIfTrue="1">
      <formula>(S81+T81)&gt;C81</formula>
    </cfRule>
  </conditionalFormatting>
  <conditionalFormatting sqref="S84">
    <cfRule type="expression" dxfId="85" priority="120" stopIfTrue="1">
      <formula>(S84+T84)&gt;C84</formula>
    </cfRule>
  </conditionalFormatting>
  <conditionalFormatting sqref="S86">
    <cfRule type="expression" dxfId="84" priority="115" stopIfTrue="1">
      <formula>(S86+T86)&gt;C86</formula>
    </cfRule>
  </conditionalFormatting>
  <conditionalFormatting sqref="S87">
    <cfRule type="expression" dxfId="83" priority="114" stopIfTrue="1">
      <formula>(S87+T87)&gt;C87</formula>
    </cfRule>
  </conditionalFormatting>
  <conditionalFormatting sqref="S88">
    <cfRule type="expression" dxfId="82" priority="113" stopIfTrue="1">
      <formula>(S88+T88)&gt;C88</formula>
    </cfRule>
  </conditionalFormatting>
  <conditionalFormatting sqref="S89">
    <cfRule type="expression" dxfId="81" priority="112" stopIfTrue="1">
      <formula>(S89+T89)&gt;C89</formula>
    </cfRule>
  </conditionalFormatting>
  <conditionalFormatting sqref="S90">
    <cfRule type="expression" dxfId="80" priority="111" stopIfTrue="1">
      <formula>(S90+T90)&gt;C90</formula>
    </cfRule>
  </conditionalFormatting>
  <conditionalFormatting sqref="S91">
    <cfRule type="expression" dxfId="79" priority="110" stopIfTrue="1">
      <formula>(S91+T91)&gt;C91</formula>
    </cfRule>
  </conditionalFormatting>
  <conditionalFormatting sqref="S92">
    <cfRule type="expression" dxfId="78" priority="109" stopIfTrue="1">
      <formula>(S92+T92)&gt;C92</formula>
    </cfRule>
  </conditionalFormatting>
  <conditionalFormatting sqref="S93">
    <cfRule type="expression" dxfId="77" priority="108" stopIfTrue="1">
      <formula>(S93+T93)&gt;C93</formula>
    </cfRule>
  </conditionalFormatting>
  <conditionalFormatting sqref="S94">
    <cfRule type="expression" dxfId="76" priority="107" stopIfTrue="1">
      <formula>(S94+T94)&gt;C94</formula>
    </cfRule>
  </conditionalFormatting>
  <conditionalFormatting sqref="S98">
    <cfRule type="expression" dxfId="75" priority="97" stopIfTrue="1">
      <formula>(S98+T98)&gt;C98</formula>
    </cfRule>
  </conditionalFormatting>
  <conditionalFormatting sqref="S99">
    <cfRule type="expression" dxfId="74" priority="96" stopIfTrue="1">
      <formula>(S99+T99)&gt;C99</formula>
    </cfRule>
  </conditionalFormatting>
  <conditionalFormatting sqref="S100">
    <cfRule type="expression" dxfId="73" priority="95" stopIfTrue="1">
      <formula>(S100+T100)&gt;C100</formula>
    </cfRule>
  </conditionalFormatting>
  <conditionalFormatting sqref="S101">
    <cfRule type="expression" dxfId="72" priority="94" stopIfTrue="1">
      <formula>(S101+T101)&gt;C101</formula>
    </cfRule>
  </conditionalFormatting>
  <conditionalFormatting sqref="S102">
    <cfRule type="expression" dxfId="71" priority="93" stopIfTrue="1">
      <formula>(S102+T102)&gt;C102</formula>
    </cfRule>
  </conditionalFormatting>
  <conditionalFormatting sqref="S103">
    <cfRule type="expression" dxfId="70" priority="92" stopIfTrue="1">
      <formula>(S103+T103)&gt;C103</formula>
    </cfRule>
  </conditionalFormatting>
  <conditionalFormatting sqref="C10">
    <cfRule type="expression" dxfId="69" priority="84">
      <formula>"(S10+T10)&gt;C10 "</formula>
    </cfRule>
  </conditionalFormatting>
  <conditionalFormatting sqref="T10">
    <cfRule type="expression" dxfId="68" priority="82" stopIfTrue="1">
      <formula>(S10+T10)&gt;C10</formula>
    </cfRule>
  </conditionalFormatting>
  <conditionalFormatting sqref="T13">
    <cfRule type="expression" dxfId="67" priority="80" stopIfTrue="1">
      <formula>(S13+T13)&gt;C13</formula>
    </cfRule>
  </conditionalFormatting>
  <conditionalFormatting sqref="T14">
    <cfRule type="expression" dxfId="66" priority="79" stopIfTrue="1">
      <formula>(S14+T14)&gt;C14</formula>
    </cfRule>
  </conditionalFormatting>
  <conditionalFormatting sqref="T17">
    <cfRule type="expression" dxfId="65" priority="78" stopIfTrue="1">
      <formula>(S17+T17)&gt;C17</formula>
    </cfRule>
  </conditionalFormatting>
  <conditionalFormatting sqref="T18">
    <cfRule type="expression" dxfId="64" priority="61" stopIfTrue="1">
      <formula>(S18+T18)&gt;C18</formula>
    </cfRule>
  </conditionalFormatting>
  <conditionalFormatting sqref="T19">
    <cfRule type="expression" dxfId="63" priority="60" stopIfTrue="1">
      <formula>(S19+T19)&gt;C19</formula>
    </cfRule>
  </conditionalFormatting>
  <conditionalFormatting sqref="T20">
    <cfRule type="expression" dxfId="62" priority="59" stopIfTrue="1">
      <formula>(S20+T20)&gt;C20</formula>
    </cfRule>
  </conditionalFormatting>
  <conditionalFormatting sqref="T21">
    <cfRule type="expression" dxfId="61" priority="58" stopIfTrue="1">
      <formula>(S21+T21)&gt;C21</formula>
    </cfRule>
  </conditionalFormatting>
  <conditionalFormatting sqref="T22">
    <cfRule type="expression" dxfId="60" priority="57" stopIfTrue="1">
      <formula>(S22+T22)&gt;C22</formula>
    </cfRule>
  </conditionalFormatting>
  <conditionalFormatting sqref="T23">
    <cfRule type="expression" dxfId="59" priority="56" stopIfTrue="1">
      <formula>(S23+T23)&gt;C23</formula>
    </cfRule>
  </conditionalFormatting>
  <conditionalFormatting sqref="T24">
    <cfRule type="expression" dxfId="58" priority="55" stopIfTrue="1">
      <formula>(S24+T24)&gt;C24</formula>
    </cfRule>
  </conditionalFormatting>
  <conditionalFormatting sqref="T26">
    <cfRule type="expression" dxfId="57" priority="53" stopIfTrue="1">
      <formula>(S26+T26)&gt;C26</formula>
    </cfRule>
  </conditionalFormatting>
  <conditionalFormatting sqref="T28">
    <cfRule type="expression" dxfId="56" priority="52" stopIfTrue="1">
      <formula>(S28+T28)&gt;C28</formula>
    </cfRule>
  </conditionalFormatting>
  <conditionalFormatting sqref="T29">
    <cfRule type="expression" dxfId="55" priority="50" stopIfTrue="1">
      <formula>(S29+T29)&gt;C29</formula>
    </cfRule>
  </conditionalFormatting>
  <conditionalFormatting sqref="T30">
    <cfRule type="expression" dxfId="54" priority="49" stopIfTrue="1">
      <formula>(S30+T30)&gt;C30</formula>
    </cfRule>
  </conditionalFormatting>
  <conditionalFormatting sqref="T31">
    <cfRule type="expression" dxfId="53" priority="48" stopIfTrue="1">
      <formula>(S31+T31)&gt;C31</formula>
    </cfRule>
  </conditionalFormatting>
  <conditionalFormatting sqref="T32">
    <cfRule type="expression" dxfId="52" priority="47" stopIfTrue="1">
      <formula>(S32+T32)&gt;C32</formula>
    </cfRule>
  </conditionalFormatting>
  <conditionalFormatting sqref="T33">
    <cfRule type="expression" dxfId="51" priority="46" stopIfTrue="1">
      <formula>(S33+T33)&gt;C33</formula>
    </cfRule>
  </conditionalFormatting>
  <conditionalFormatting sqref="T34">
    <cfRule type="expression" dxfId="50" priority="45" stopIfTrue="1">
      <formula>(S34+T34)&gt;C34</formula>
    </cfRule>
  </conditionalFormatting>
  <conditionalFormatting sqref="T35">
    <cfRule type="expression" dxfId="49" priority="44" stopIfTrue="1">
      <formula>(S35+T35)&gt;C35</formula>
    </cfRule>
  </conditionalFormatting>
  <conditionalFormatting sqref="T38">
    <cfRule type="expression" dxfId="48" priority="43" stopIfTrue="1">
      <formula>(S38+T38)&gt;C38</formula>
    </cfRule>
  </conditionalFormatting>
  <conditionalFormatting sqref="T39">
    <cfRule type="expression" dxfId="47" priority="42" stopIfTrue="1">
      <formula>(S39+T39)&gt;C39</formula>
    </cfRule>
  </conditionalFormatting>
  <conditionalFormatting sqref="T41">
    <cfRule type="expression" dxfId="46" priority="41" stopIfTrue="1">
      <formula>(S41+T41)&gt;C41</formula>
    </cfRule>
  </conditionalFormatting>
  <conditionalFormatting sqref="T43">
    <cfRule type="expression" dxfId="45" priority="40" stopIfTrue="1">
      <formula>(S43+T43)&gt;C43</formula>
    </cfRule>
  </conditionalFormatting>
  <conditionalFormatting sqref="T44">
    <cfRule type="expression" dxfId="44" priority="39" stopIfTrue="1">
      <formula>(S44+T44)&gt;C44</formula>
    </cfRule>
  </conditionalFormatting>
  <conditionalFormatting sqref="T45">
    <cfRule type="expression" dxfId="43" priority="38" stopIfTrue="1">
      <formula>(S45+T45)&gt;C45</formula>
    </cfRule>
  </conditionalFormatting>
  <conditionalFormatting sqref="T46">
    <cfRule type="expression" dxfId="42" priority="37" stopIfTrue="1">
      <formula>(S46+T46)&gt;C46</formula>
    </cfRule>
  </conditionalFormatting>
  <conditionalFormatting sqref="T47">
    <cfRule type="expression" dxfId="41" priority="36" stopIfTrue="1">
      <formula>(S47+T47)&gt;C47</formula>
    </cfRule>
  </conditionalFormatting>
  <conditionalFormatting sqref="T48">
    <cfRule type="expression" dxfId="40" priority="35" stopIfTrue="1">
      <formula>(S48+T48)&gt;C48</formula>
    </cfRule>
  </conditionalFormatting>
  <conditionalFormatting sqref="T49">
    <cfRule type="expression" dxfId="39" priority="34" stopIfTrue="1">
      <formula>(S49+T49)&gt;C49</formula>
    </cfRule>
  </conditionalFormatting>
  <conditionalFormatting sqref="T50">
    <cfRule type="expression" dxfId="38" priority="33" stopIfTrue="1">
      <formula>(S50+T50)&gt;C50</formula>
    </cfRule>
  </conditionalFormatting>
  <conditionalFormatting sqref="T51">
    <cfRule type="expression" dxfId="37" priority="32" stopIfTrue="1">
      <formula>(S51+T51)&gt;C51</formula>
    </cfRule>
  </conditionalFormatting>
  <conditionalFormatting sqref="T52">
    <cfRule type="expression" dxfId="36" priority="31" stopIfTrue="1">
      <formula>(S52+T52)&gt;C52</formula>
    </cfRule>
  </conditionalFormatting>
  <conditionalFormatting sqref="T65">
    <cfRule type="expression" dxfId="35" priority="30" stopIfTrue="1">
      <formula>(S65+T65)&gt;C65</formula>
    </cfRule>
  </conditionalFormatting>
  <conditionalFormatting sqref="T66">
    <cfRule type="expression" dxfId="34" priority="29" stopIfTrue="1">
      <formula>(S66+T66)&gt;C66</formula>
    </cfRule>
  </conditionalFormatting>
  <conditionalFormatting sqref="T76">
    <cfRule type="expression" dxfId="33" priority="28" stopIfTrue="1">
      <formula>(S76+T76)&gt;C76</formula>
    </cfRule>
  </conditionalFormatting>
  <conditionalFormatting sqref="T77">
    <cfRule type="expression" dxfId="32" priority="27" stopIfTrue="1">
      <formula>(S77+T77)&gt;C77</formula>
    </cfRule>
  </conditionalFormatting>
  <conditionalFormatting sqref="T81">
    <cfRule type="expression" dxfId="31" priority="26" stopIfTrue="1">
      <formula>(S81+T81)&gt;C81</formula>
    </cfRule>
  </conditionalFormatting>
  <conditionalFormatting sqref="T82">
    <cfRule type="expression" dxfId="30" priority="25" stopIfTrue="1">
      <formula>(S82+T82)&gt;C82</formula>
    </cfRule>
  </conditionalFormatting>
  <conditionalFormatting sqref="T83">
    <cfRule type="expression" dxfId="29" priority="24" stopIfTrue="1">
      <formula>(S83+T83)&gt;C83</formula>
    </cfRule>
  </conditionalFormatting>
  <conditionalFormatting sqref="T84">
    <cfRule type="expression" dxfId="28" priority="23" stopIfTrue="1">
      <formula>(S84+T84)&gt;C84</formula>
    </cfRule>
  </conditionalFormatting>
  <conditionalFormatting sqref="T86">
    <cfRule type="expression" dxfId="27" priority="22" stopIfTrue="1">
      <formula>(S86+T86)&gt;C86</formula>
    </cfRule>
  </conditionalFormatting>
  <conditionalFormatting sqref="T87">
    <cfRule type="expression" dxfId="26" priority="21" stopIfTrue="1">
      <formula>(S87+T87)&gt;C87</formula>
    </cfRule>
  </conditionalFormatting>
  <conditionalFormatting sqref="T88">
    <cfRule type="expression" dxfId="25" priority="20" stopIfTrue="1">
      <formula>(S88+T88)&gt;C88</formula>
    </cfRule>
  </conditionalFormatting>
  <conditionalFormatting sqref="T89">
    <cfRule type="expression" dxfId="24" priority="19" stopIfTrue="1">
      <formula>(S89+T89)&gt;C89</formula>
    </cfRule>
  </conditionalFormatting>
  <conditionalFormatting sqref="T90">
    <cfRule type="expression" dxfId="23" priority="18" stopIfTrue="1">
      <formula>(S90+T90)&gt;C90</formula>
    </cfRule>
  </conditionalFormatting>
  <conditionalFormatting sqref="T91">
    <cfRule type="expression" dxfId="22" priority="17" stopIfTrue="1">
      <formula>(S91+T91)&gt;C91</formula>
    </cfRule>
  </conditionalFormatting>
  <conditionalFormatting sqref="T92">
    <cfRule type="expression" dxfId="21" priority="16" stopIfTrue="1">
      <formula>(S92+T92)&gt;C92</formula>
    </cfRule>
  </conditionalFormatting>
  <conditionalFormatting sqref="T93">
    <cfRule type="expression" dxfId="20" priority="15" stopIfTrue="1">
      <formula>(S93+T93)&gt;C93</formula>
    </cfRule>
  </conditionalFormatting>
  <conditionalFormatting sqref="T94">
    <cfRule type="expression" dxfId="19" priority="14" stopIfTrue="1">
      <formula>(S94+T94)&gt;C94</formula>
    </cfRule>
  </conditionalFormatting>
  <conditionalFormatting sqref="T98">
    <cfRule type="expression" dxfId="18" priority="13" stopIfTrue="1">
      <formula>(S98+T98)&gt;C98</formula>
    </cfRule>
  </conditionalFormatting>
  <conditionalFormatting sqref="T99">
    <cfRule type="expression" dxfId="17" priority="12" stopIfTrue="1">
      <formula>(S99+T99)&gt;C99</formula>
    </cfRule>
  </conditionalFormatting>
  <conditionalFormatting sqref="T100">
    <cfRule type="expression" dxfId="16" priority="11" stopIfTrue="1">
      <formula>(S100+T100)&gt;C100</formula>
    </cfRule>
  </conditionalFormatting>
  <conditionalFormatting sqref="T101">
    <cfRule type="expression" dxfId="15" priority="10" stopIfTrue="1">
      <formula>(S101+T101)&gt;C101</formula>
    </cfRule>
  </conditionalFormatting>
  <conditionalFormatting sqref="T102">
    <cfRule type="expression" dxfId="14" priority="9" stopIfTrue="1">
      <formula>(S102+T102)&gt;C102</formula>
    </cfRule>
  </conditionalFormatting>
  <conditionalFormatting sqref="T103">
    <cfRule type="expression" dxfId="13" priority="8" stopIfTrue="1">
      <formula>(S103+T103)&gt;C103</formula>
    </cfRule>
  </conditionalFormatting>
  <conditionalFormatting sqref="S28">
    <cfRule type="expression" dxfId="12" priority="7" stopIfTrue="1">
      <formula>(S28+T28)&gt;C28</formula>
    </cfRule>
  </conditionalFormatting>
  <conditionalFormatting sqref="S30:S35">
    <cfRule type="expression" dxfId="11" priority="6" stopIfTrue="1">
      <formula>(S30+T30)&gt;C30</formula>
    </cfRule>
  </conditionalFormatting>
  <conditionalFormatting sqref="S10">
    <cfRule type="expression" dxfId="10" priority="5" stopIfTrue="1">
      <formula>(S10+T10)&gt;C10</formula>
    </cfRule>
  </conditionalFormatting>
  <conditionalFormatting sqref="S13">
    <cfRule type="expression" dxfId="9" priority="4" stopIfTrue="1">
      <formula>(S13+T13)&gt;C13</formula>
    </cfRule>
  </conditionalFormatting>
  <conditionalFormatting sqref="S38">
    <cfRule type="expression" dxfId="8" priority="3" stopIfTrue="1">
      <formula>(S38+T38)&gt;C38</formula>
    </cfRule>
  </conditionalFormatting>
  <conditionalFormatting sqref="S41">
    <cfRule type="expression" dxfId="7" priority="2" stopIfTrue="1">
      <formula>(S41+T41)&gt;C41</formula>
    </cfRule>
  </conditionalFormatting>
  <conditionalFormatting sqref="S50">
    <cfRule type="expression" dxfId="6" priority="1" stopIfTrue="1">
      <formula>(S50+T50)&gt;C50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1495</v>
      </c>
      <c r="B1" s="1622"/>
      <c r="C1" s="1622"/>
      <c r="D1" s="1622"/>
      <c r="E1" s="1622"/>
      <c r="F1" s="1622"/>
      <c r="G1" s="1622"/>
      <c r="H1" s="1622"/>
      <c r="I1" s="1622"/>
      <c r="J1" s="1623"/>
      <c r="K1" s="583"/>
    </row>
    <row r="2" spans="1:11" s="639" customFormat="1" ht="72">
      <c r="A2" s="635"/>
      <c r="B2" s="636" t="s">
        <v>1177</v>
      </c>
      <c r="C2" s="636" t="s">
        <v>1497</v>
      </c>
      <c r="D2" s="637" t="s">
        <v>1498</v>
      </c>
      <c r="E2" s="636" t="s">
        <v>1391</v>
      </c>
      <c r="F2" s="636" t="s">
        <v>1499</v>
      </c>
      <c r="G2" s="636" t="s">
        <v>1500</v>
      </c>
      <c r="H2" s="636" t="s">
        <v>1178</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10049</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6964686</v>
      </c>
      <c r="C7" s="590"/>
      <c r="D7" s="590"/>
      <c r="E7" s="591"/>
      <c r="F7" s="591"/>
      <c r="G7" s="591"/>
      <c r="H7" s="591"/>
      <c r="I7" s="591"/>
      <c r="J7" s="591"/>
      <c r="K7" s="587"/>
    </row>
    <row r="8" spans="1:11" s="588" customFormat="1">
      <c r="A8" s="593" t="s">
        <v>643</v>
      </c>
      <c r="B8" s="589">
        <f>'Sources and Uses Budget'!C8</f>
        <v>6974735</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226303</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226303</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7201038</v>
      </c>
      <c r="C12" s="589">
        <f>SUM(C8+C11)</f>
        <v>0</v>
      </c>
      <c r="D12" s="589">
        <f>SUM(D8+D11)</f>
        <v>0</v>
      </c>
      <c r="E12" s="591"/>
      <c r="F12" s="591"/>
      <c r="G12" s="591"/>
      <c r="H12" s="591"/>
      <c r="I12" s="591"/>
      <c r="J12" s="591"/>
      <c r="K12" s="587"/>
    </row>
    <row r="13" spans="1:11" s="588" customFormat="1">
      <c r="A13" s="594" t="s">
        <v>1000</v>
      </c>
      <c r="B13" s="589">
        <f>'Sources and Uses Budget'!C13</f>
        <v>164914</v>
      </c>
      <c r="C13" s="590"/>
      <c r="D13" s="590"/>
      <c r="E13" s="589">
        <f>'Sources and Uses Budget'!S13</f>
        <v>164914</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200500</v>
      </c>
      <c r="C28" s="590"/>
      <c r="D28" s="590"/>
      <c r="E28" s="589">
        <f>'Sources and Uses Budget'!S28</f>
        <v>200500</v>
      </c>
      <c r="F28" s="590"/>
      <c r="G28" s="590"/>
      <c r="H28" s="589">
        <f>'Sources and Uses Budget'!T28</f>
        <v>0</v>
      </c>
      <c r="I28" s="590"/>
      <c r="J28" s="590"/>
      <c r="K28" s="587"/>
    </row>
    <row r="29" spans="1:11" s="588" customFormat="1">
      <c r="A29" s="223" t="s">
        <v>649</v>
      </c>
      <c r="B29" s="589">
        <f>'Sources and Uses Budget'!C29</f>
        <v>37560105</v>
      </c>
      <c r="C29" s="590"/>
      <c r="D29" s="590"/>
      <c r="E29" s="589">
        <f>'Sources and Uses Budget'!S29</f>
        <v>37560105</v>
      </c>
      <c r="F29" s="590"/>
      <c r="G29" s="590"/>
      <c r="H29" s="589">
        <f>'Sources and Uses Budget'!T29</f>
        <v>0</v>
      </c>
      <c r="I29" s="590"/>
      <c r="J29" s="590"/>
      <c r="K29" s="587"/>
    </row>
    <row r="30" spans="1:11" s="588" customFormat="1">
      <c r="A30" s="223" t="s">
        <v>650</v>
      </c>
      <c r="B30" s="589">
        <f>'Sources and Uses Budget'!C30</f>
        <v>2080280</v>
      </c>
      <c r="C30" s="590"/>
      <c r="D30" s="590"/>
      <c r="E30" s="589">
        <f>'Sources and Uses Budget'!S30</f>
        <v>2080280</v>
      </c>
      <c r="F30" s="590"/>
      <c r="G30" s="590"/>
      <c r="H30" s="589">
        <f>'Sources and Uses Budget'!T30</f>
        <v>0</v>
      </c>
      <c r="I30" s="590"/>
      <c r="J30" s="590"/>
      <c r="K30" s="587"/>
    </row>
    <row r="31" spans="1:11" s="588" customFormat="1">
      <c r="A31" s="223" t="s">
        <v>144</v>
      </c>
      <c r="B31" s="589">
        <f>'Sources and Uses Budget'!C31</f>
        <v>563461.5</v>
      </c>
      <c r="C31" s="590"/>
      <c r="D31" s="590"/>
      <c r="E31" s="589">
        <f>'Sources and Uses Budget'!S31</f>
        <v>563461.5</v>
      </c>
      <c r="F31" s="590"/>
      <c r="G31" s="590"/>
      <c r="H31" s="589">
        <f>'Sources and Uses Budget'!T31</f>
        <v>0</v>
      </c>
      <c r="I31" s="590"/>
      <c r="J31" s="590"/>
      <c r="K31" s="587"/>
    </row>
    <row r="32" spans="1:11" s="588" customFormat="1">
      <c r="A32" s="223" t="s">
        <v>145</v>
      </c>
      <c r="B32" s="589">
        <f>'Sources and Uses Budget'!C32</f>
        <v>563461.5</v>
      </c>
      <c r="C32" s="590"/>
      <c r="D32" s="590"/>
      <c r="E32" s="589">
        <f>'Sources and Uses Budget'!S32</f>
        <v>563461.5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746476</v>
      </c>
      <c r="C34" s="590"/>
      <c r="D34" s="590"/>
      <c r="E34" s="589">
        <f>'Sources and Uses Budget'!S34</f>
        <v>746476</v>
      </c>
      <c r="F34" s="590"/>
      <c r="G34" s="590"/>
      <c r="H34" s="589">
        <f>'Sources and Uses Budget'!T34</f>
        <v>0</v>
      </c>
      <c r="I34" s="590"/>
      <c r="J34" s="590"/>
      <c r="K34" s="587"/>
    </row>
    <row r="35" spans="1:11" s="588" customFormat="1">
      <c r="A35" s="595" t="str">
        <f>'Sources and Uses Budget'!$A35</f>
        <v>Other: GC Contingecy</v>
      </c>
      <c r="B35" s="589">
        <f>'Sources and Uses Budget'!C35</f>
        <v>721915</v>
      </c>
      <c r="C35" s="590"/>
      <c r="D35" s="590"/>
      <c r="E35" s="589">
        <f>'Sources and Uses Budget'!S35</f>
        <v>721915</v>
      </c>
      <c r="F35" s="590"/>
      <c r="G35" s="590"/>
      <c r="H35" s="589">
        <f>'Sources and Uses Budget'!T35</f>
        <v>0</v>
      </c>
      <c r="I35" s="590"/>
      <c r="J35" s="590"/>
      <c r="K35" s="587"/>
    </row>
    <row r="36" spans="1:11" s="588" customFormat="1">
      <c r="A36" s="597" t="s">
        <v>150</v>
      </c>
      <c r="B36" s="589">
        <f>'Sources and Uses Budget'!C36</f>
        <v>42436199</v>
      </c>
      <c r="C36" s="589">
        <f>SUM(C28:C35)</f>
        <v>0</v>
      </c>
      <c r="D36" s="589">
        <f>SUM(D28:D35)</f>
        <v>0</v>
      </c>
      <c r="E36" s="589">
        <f>'Sources and Uses Budget'!S36</f>
        <v>42436199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1368511</v>
      </c>
      <c r="C38" s="590"/>
      <c r="D38" s="590"/>
      <c r="E38" s="589">
        <f>'Sources and Uses Budget'!S38</f>
        <v>1368511</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1368511</v>
      </c>
      <c r="C40" s="589">
        <f>SUM(C37:C39)</f>
        <v>0</v>
      </c>
      <c r="D40" s="589">
        <f>SUM(D37:D39)</f>
        <v>0</v>
      </c>
      <c r="E40" s="589">
        <f>'Sources and Uses Budget'!S40</f>
        <v>1368511</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684807</v>
      </c>
      <c r="C41" s="590"/>
      <c r="D41" s="590"/>
      <c r="E41" s="589">
        <f>'Sources and Uses Budget'!S41</f>
        <v>684807</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2056721</v>
      </c>
      <c r="C43" s="590"/>
      <c r="D43" s="590"/>
      <c r="E43" s="589">
        <f>'Sources and Uses Budget'!S43</f>
        <v>775275</v>
      </c>
      <c r="F43" s="590"/>
      <c r="G43" s="590"/>
      <c r="H43" s="589">
        <f>'Sources and Uses Budget'!T43</f>
        <v>0</v>
      </c>
      <c r="I43" s="590"/>
      <c r="J43" s="590"/>
      <c r="K43" s="587"/>
    </row>
    <row r="44" spans="1:11" s="588" customFormat="1">
      <c r="A44" s="592" t="s">
        <v>158</v>
      </c>
      <c r="B44" s="589">
        <f>'Sources and Uses Budget'!C44</f>
        <v>389300</v>
      </c>
      <c r="C44" s="590"/>
      <c r="D44" s="590"/>
      <c r="E44" s="589">
        <f>'Sources and Uses Budget'!S44</f>
        <v>14952</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871736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29849</v>
      </c>
      <c r="C48" s="590"/>
      <c r="D48" s="590"/>
      <c r="E48" s="589">
        <f>'Sources and Uses Budget'!S48</f>
        <v>29849</v>
      </c>
      <c r="F48" s="590"/>
      <c r="G48" s="590"/>
      <c r="H48" s="589">
        <f>'Sources and Uses Budget'!T48</f>
        <v>0</v>
      </c>
      <c r="I48" s="590"/>
      <c r="J48" s="590"/>
      <c r="K48" s="587"/>
    </row>
    <row r="49" spans="1:11" s="588" customFormat="1">
      <c r="A49" s="592" t="s">
        <v>161</v>
      </c>
      <c r="B49" s="589">
        <f>'Sources and Uses Budget'!C49</f>
        <v>34823</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497478</v>
      </c>
      <c r="C50" s="590"/>
      <c r="D50" s="590"/>
      <c r="E50" s="589">
        <f>'Sources and Uses Budget'!S50</f>
        <v>497478</v>
      </c>
      <c r="F50" s="590"/>
      <c r="G50" s="590"/>
      <c r="H50" s="589">
        <f>'Sources and Uses Budget'!T50</f>
        <v>0</v>
      </c>
      <c r="I50" s="590"/>
      <c r="J50" s="590"/>
      <c r="K50" s="587"/>
    </row>
    <row r="51" spans="1:11" s="588" customFormat="1">
      <c r="A51" s="595" t="str">
        <f>'Sources and Uses Budget'!$A60</f>
        <v>Other: (Specify)</v>
      </c>
      <c r="B51" s="589">
        <f>'Sources and Uses Budget'!C51</f>
        <v>541099</v>
      </c>
      <c r="C51" s="590"/>
      <c r="D51" s="590"/>
      <c r="E51" s="589">
        <f>'Sources and Uses Budget'!S51</f>
        <v>183886</v>
      </c>
      <c r="F51" s="590"/>
      <c r="G51" s="590"/>
      <c r="H51" s="589">
        <f>'Sources and Uses Budget'!T51</f>
        <v>0</v>
      </c>
      <c r="I51" s="590"/>
      <c r="J51" s="590"/>
      <c r="K51" s="587"/>
    </row>
    <row r="52" spans="1:11" s="588" customFormat="1">
      <c r="A52" s="595" t="str">
        <f>'Sources and Uses Budget'!$A61</f>
        <v>Other: (Specify)</v>
      </c>
      <c r="B52" s="589">
        <f>'Sources and Uses Budget'!C52</f>
        <v>50000</v>
      </c>
      <c r="C52" s="590"/>
      <c r="D52" s="590"/>
      <c r="E52" s="589">
        <f>'Sources and Uses Budget'!S52</f>
        <v>1920</v>
      </c>
      <c r="F52" s="590"/>
      <c r="G52" s="590"/>
      <c r="H52" s="589">
        <f>'Sources and Uses Budget'!T52</f>
        <v>0</v>
      </c>
      <c r="I52" s="590"/>
      <c r="J52" s="590"/>
      <c r="K52" s="587"/>
    </row>
    <row r="53" spans="1:11" s="599" customFormat="1">
      <c r="A53" s="593" t="s">
        <v>164</v>
      </c>
      <c r="B53" s="589">
        <f>'Sources and Uses Budget'!C53</f>
        <v>4471006</v>
      </c>
      <c r="C53" s="596">
        <f>SUM(C43:C52)</f>
        <v>0</v>
      </c>
      <c r="D53" s="596">
        <f>SUM(D43:D52)</f>
        <v>0</v>
      </c>
      <c r="E53" s="589">
        <f>'Sources and Uses Budget'!S53</f>
        <v>1503360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34823</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34823</v>
      </c>
      <c r="C62" s="589">
        <f>SUM(C55:C61)</f>
        <v>0</v>
      </c>
      <c r="D62" s="589">
        <f>SUM(D55:D61)</f>
        <v>0</v>
      </c>
      <c r="E62" s="591"/>
      <c r="F62" s="591"/>
      <c r="G62" s="591"/>
      <c r="H62" s="591"/>
      <c r="I62" s="591"/>
      <c r="J62" s="591"/>
      <c r="K62" s="587"/>
    </row>
    <row r="63" spans="1:11" s="588" customFormat="1">
      <c r="A63" s="600" t="s">
        <v>320</v>
      </c>
      <c r="B63" s="589">
        <f>'Sources and Uses Budget'!C63</f>
        <v>56361298</v>
      </c>
      <c r="C63" s="589">
        <f>SUM(C8+C11+C13+C14+C15+C25+C26+C36+C40+C41+C53+C62)</f>
        <v>0</v>
      </c>
      <c r="D63" s="589">
        <f>SUM(D8+D11+D13+D14+D15+D25+D26+D36+D40+D41+D53+D62)</f>
        <v>0</v>
      </c>
      <c r="E63" s="589">
        <f>'Sources and Uses Budget'!S63</f>
        <v>46157791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65000</v>
      </c>
      <c r="C65" s="590"/>
      <c r="D65" s="590"/>
      <c r="E65" s="589">
        <f>'Sources and Uses Budget'!S65</f>
        <v>2497</v>
      </c>
      <c r="F65" s="590"/>
      <c r="G65" s="590"/>
      <c r="H65" s="589">
        <f>'Sources and Uses Budget'!T65</f>
        <v>0</v>
      </c>
      <c r="I65" s="590"/>
      <c r="J65" s="590"/>
      <c r="K65" s="587"/>
    </row>
    <row r="66" spans="1:11" s="588" customFormat="1" ht="24">
      <c r="A66" s="595" t="str">
        <f>'Sources and Uses Budget'!$A73</f>
        <v>Other: Capitalized Debt Service Reserve</v>
      </c>
      <c r="B66" s="589">
        <f>'Sources and Uses Budget'!C66</f>
        <v>89545</v>
      </c>
      <c r="C66" s="590"/>
      <c r="D66" s="590"/>
      <c r="E66" s="589">
        <f>'Sources and Uses Budget'!S66</f>
        <v>59697</v>
      </c>
      <c r="F66" s="590"/>
      <c r="G66" s="590"/>
      <c r="H66" s="589">
        <f>'Sources and Uses Budget'!T66</f>
        <v>0</v>
      </c>
      <c r="I66" s="590"/>
      <c r="J66" s="590"/>
      <c r="K66" s="587"/>
    </row>
    <row r="67" spans="1:11" s="588" customFormat="1">
      <c r="A67" s="593" t="s">
        <v>651</v>
      </c>
      <c r="B67" s="589">
        <f>'Sources and Uses Budget'!C67</f>
        <v>154545</v>
      </c>
      <c r="C67" s="589">
        <f>SUM(C64:C66)</f>
        <v>0</v>
      </c>
      <c r="D67" s="589">
        <f>SUM(D64:D66)</f>
        <v>0</v>
      </c>
      <c r="E67" s="589">
        <f>'Sources and Uses Budget'!S67</f>
        <v>62194</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823470</v>
      </c>
      <c r="C72" s="590"/>
      <c r="D72" s="590"/>
      <c r="E72" s="591"/>
      <c r="F72" s="591"/>
      <c r="G72" s="591"/>
      <c r="H72" s="591"/>
      <c r="I72" s="591"/>
      <c r="J72" s="591"/>
      <c r="K72" s="587"/>
    </row>
    <row r="73" spans="1:11" s="588" customFormat="1" ht="24">
      <c r="A73" s="595" t="str">
        <f>'Sources and Uses Budget'!$A73</f>
        <v>Other: Capitalized Debt Service Reserve</v>
      </c>
      <c r="B73" s="589">
        <f>'Sources and Uses Budget'!C73</f>
        <v>1667298</v>
      </c>
      <c r="C73" s="590"/>
      <c r="D73" s="590"/>
      <c r="E73" s="591"/>
      <c r="F73" s="591"/>
      <c r="G73" s="591"/>
      <c r="H73" s="591"/>
      <c r="I73" s="591"/>
      <c r="J73" s="591"/>
      <c r="K73" s="587"/>
    </row>
    <row r="74" spans="1:11" s="588" customFormat="1">
      <c r="A74" s="593" t="s">
        <v>656</v>
      </c>
      <c r="B74" s="589">
        <f>'Sources and Uses Budget'!C74</f>
        <v>2490768</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2133543</v>
      </c>
      <c r="C76" s="590"/>
      <c r="D76" s="590"/>
      <c r="E76" s="589">
        <f>'Sources and Uses Budget'!S76</f>
        <v>2133543</v>
      </c>
      <c r="F76" s="590"/>
      <c r="G76" s="590"/>
      <c r="H76" s="589">
        <f>'Sources and Uses Budget'!T76</f>
        <v>0</v>
      </c>
      <c r="I76" s="590"/>
      <c r="J76" s="590"/>
      <c r="K76" s="587"/>
    </row>
    <row r="77" spans="1:11" s="588" customFormat="1">
      <c r="A77" s="592" t="s">
        <v>63</v>
      </c>
      <c r="B77" s="589">
        <f>'Sources and Uses Budget'!C77</f>
        <v>514249</v>
      </c>
      <c r="C77" s="590"/>
      <c r="D77" s="590"/>
      <c r="E77" s="589">
        <f>'Sources and Uses Budget'!S77</f>
        <v>514249</v>
      </c>
      <c r="F77" s="590"/>
      <c r="G77" s="590"/>
      <c r="H77" s="589">
        <f>'Sources and Uses Budget'!T77</f>
        <v>0</v>
      </c>
      <c r="I77" s="590"/>
      <c r="J77" s="590"/>
      <c r="K77" s="587"/>
    </row>
    <row r="78" spans="1:11" s="588" customFormat="1">
      <c r="A78" s="593" t="s">
        <v>1467</v>
      </c>
      <c r="B78" s="589">
        <f>'Sources and Uses Budget'!C78</f>
        <v>2647792</v>
      </c>
      <c r="C78" s="589">
        <f>SUM(C76:C77)</f>
        <v>0</v>
      </c>
      <c r="D78" s="589">
        <f>SUM(D76:D77)</f>
        <v>0</v>
      </c>
      <c r="E78" s="589">
        <f>'Sources and Uses Budget'!S78</f>
        <v>2647792</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85067</v>
      </c>
      <c r="C80" s="590"/>
      <c r="D80" s="590"/>
      <c r="E80" s="591"/>
      <c r="F80" s="591"/>
      <c r="G80" s="591"/>
      <c r="H80" s="591"/>
      <c r="I80" s="591"/>
      <c r="J80" s="591"/>
      <c r="K80" s="587"/>
    </row>
    <row r="81" spans="1:11" s="588" customFormat="1">
      <c r="A81" s="223" t="s">
        <v>845</v>
      </c>
      <c r="B81" s="589">
        <f>'Sources and Uses Budget'!C81</f>
        <v>51738</v>
      </c>
      <c r="C81" s="590"/>
      <c r="D81" s="590"/>
      <c r="E81" s="589">
        <f>'Sources and Uses Budget'!S81</f>
        <v>51738</v>
      </c>
      <c r="F81" s="590"/>
      <c r="G81" s="590"/>
      <c r="H81" s="589">
        <f>'Sources and Uses Budget'!T81</f>
        <v>0</v>
      </c>
      <c r="I81" s="590"/>
      <c r="J81" s="590"/>
      <c r="K81" s="587"/>
    </row>
    <row r="82" spans="1:11" s="588" customFormat="1">
      <c r="A82" s="223" t="s">
        <v>846</v>
      </c>
      <c r="B82" s="589">
        <f>'Sources and Uses Budget'!C82</f>
        <v>355549</v>
      </c>
      <c r="C82" s="590"/>
      <c r="D82" s="590"/>
      <c r="E82" s="589">
        <f>'Sources and Uses Budget'!S82</f>
        <v>355549</v>
      </c>
      <c r="F82" s="590"/>
      <c r="G82" s="590"/>
      <c r="H82" s="589">
        <f>'Sources and Uses Budget'!T82</f>
        <v>0</v>
      </c>
      <c r="I82" s="590"/>
      <c r="J82" s="590"/>
      <c r="K82" s="587"/>
    </row>
    <row r="83" spans="1:11" s="588" customFormat="1">
      <c r="A83" s="223" t="s">
        <v>847</v>
      </c>
      <c r="B83" s="589">
        <f>'Sources and Uses Budget'!C83</f>
        <v>148298</v>
      </c>
      <c r="C83" s="590"/>
      <c r="D83" s="590"/>
      <c r="E83" s="589">
        <f>'Sources and Uses Budget'!S83</f>
        <v>148298</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200000</v>
      </c>
      <c r="C85" s="590"/>
      <c r="D85" s="590"/>
      <c r="E85" s="591"/>
      <c r="F85" s="591"/>
      <c r="G85" s="591"/>
      <c r="H85" s="591"/>
      <c r="I85" s="591"/>
      <c r="J85" s="591"/>
      <c r="K85" s="587"/>
    </row>
    <row r="86" spans="1:11" s="588" customFormat="1">
      <c r="A86" s="223" t="s">
        <v>850</v>
      </c>
      <c r="B86" s="589">
        <f>'Sources and Uses Budget'!C86</f>
        <v>730682</v>
      </c>
      <c r="C86" s="590"/>
      <c r="D86" s="590"/>
      <c r="E86" s="589">
        <f>'Sources and Uses Budget'!S86</f>
        <v>730682</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14924</v>
      </c>
      <c r="C89" s="590"/>
      <c r="D89" s="590"/>
      <c r="E89" s="589">
        <f>'Sources and Uses Budget'!S89</f>
        <v>14924</v>
      </c>
      <c r="F89" s="590"/>
      <c r="G89" s="590"/>
      <c r="H89" s="589">
        <f>'Sources and Uses Budget'!T89</f>
        <v>0</v>
      </c>
      <c r="I89" s="590"/>
      <c r="J89" s="590"/>
      <c r="K89" s="587"/>
    </row>
    <row r="90" spans="1:11" s="588" customFormat="1">
      <c r="A90" s="595" t="str">
        <f>'Sources and Uses Budget'!$A90</f>
        <v>Other: Transfer Tax</v>
      </c>
      <c r="B90" s="589">
        <f>'Sources and Uses Budget'!C90</f>
        <v>156705</v>
      </c>
      <c r="C90" s="590"/>
      <c r="D90" s="590"/>
      <c r="E90" s="589">
        <f>'Sources and Uses Budget'!S90</f>
        <v>0</v>
      </c>
      <c r="F90" s="590"/>
      <c r="G90" s="590"/>
      <c r="H90" s="589">
        <f>'Sources and Uses Budget'!T90</f>
        <v>0</v>
      </c>
      <c r="I90" s="590"/>
      <c r="J90" s="590"/>
      <c r="K90" s="587"/>
    </row>
    <row r="91" spans="1:11" s="588" customFormat="1">
      <c r="A91" s="595" t="str">
        <f>'Sources and Uses Budget'!$A91</f>
        <v>Other: Owner's Rep</v>
      </c>
      <c r="B91" s="589">
        <f>'Sources and Uses Budget'!C91</f>
        <v>298487</v>
      </c>
      <c r="C91" s="590"/>
      <c r="D91" s="590"/>
      <c r="E91" s="589">
        <f>'Sources and Uses Budget'!S91</f>
        <v>298487</v>
      </c>
      <c r="F91" s="590"/>
      <c r="G91" s="590"/>
      <c r="H91" s="589">
        <f>'Sources and Uses Budget'!T91</f>
        <v>0</v>
      </c>
      <c r="I91" s="590"/>
      <c r="J91" s="590"/>
      <c r="K91" s="587"/>
    </row>
    <row r="92" spans="1:11" s="588" customFormat="1">
      <c r="A92" s="595" t="str">
        <f>'Sources and Uses Budget'!$A92</f>
        <v>Other: Utility Connection Fees</v>
      </c>
      <c r="B92" s="589">
        <f>'Sources and Uses Budget'!C92</f>
        <v>198991</v>
      </c>
      <c r="C92" s="590"/>
      <c r="D92" s="590"/>
      <c r="E92" s="589">
        <f>'Sources and Uses Budget'!S92</f>
        <v>198991</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2250441</v>
      </c>
      <c r="C95" s="589">
        <f>SUM(C80:C94)</f>
        <v>0</v>
      </c>
      <c r="D95" s="589">
        <f>SUM(D80:D94)</f>
        <v>0</v>
      </c>
      <c r="E95" s="589">
        <f>'Sources and Uses Budget'!S95</f>
        <v>1798669</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63904844</v>
      </c>
      <c r="C96" s="589">
        <f>SUM(C63+C67+C74+C78+C95)</f>
        <v>0</v>
      </c>
      <c r="D96" s="589">
        <f>SUM(D63+D67+D74+D78+D95)</f>
        <v>0</v>
      </c>
      <c r="E96" s="589">
        <f>'Sources and Uses Budget'!S96</f>
        <v>50666446</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6805463</v>
      </c>
      <c r="C98" s="590"/>
      <c r="D98" s="590"/>
      <c r="E98" s="589">
        <f>'Sources and Uses Budget'!S98</f>
        <v>6805463</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6805463</v>
      </c>
      <c r="C104" s="589">
        <f>SUM(C98:C103)</f>
        <v>0</v>
      </c>
      <c r="D104" s="589">
        <f>SUM(D98:D103)</f>
        <v>0</v>
      </c>
      <c r="E104" s="589">
        <f>'Sources and Uses Budget'!S104</f>
        <v>6805463</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70710307</v>
      </c>
      <c r="C105" s="596">
        <f>SUM(C96+C104)</f>
        <v>0</v>
      </c>
      <c r="D105" s="596">
        <f>SUM(D96+D104)</f>
        <v>0</v>
      </c>
      <c r="E105" s="589">
        <f>'Sources and Uses Budget'!S105</f>
        <v>57471909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57471909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 zoomScaleNormal="100" zoomScaleSheetLayoutView="100" workbookViewId="0">
      <selection activeCell="AK73" sqref="AK73"/>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1" t="s">
        <v>1600</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406</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57471909</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543</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544</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545</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546</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887</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547</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1068</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1068</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548</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1552</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549</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550</v>
      </c>
      <c r="C23" s="1695"/>
      <c r="D23" s="1695"/>
      <c r="E23" s="1695"/>
      <c r="F23" s="1695"/>
      <c r="G23" s="1695"/>
      <c r="H23" s="1695"/>
      <c r="I23" s="1695"/>
      <c r="J23" s="1695"/>
      <c r="K23" s="1695"/>
      <c r="L23" s="1695"/>
      <c r="M23" s="1695"/>
      <c r="N23" s="1695"/>
      <c r="O23" s="1695"/>
      <c r="P23" s="1695"/>
      <c r="Q23" s="1695"/>
      <c r="R23" s="1695"/>
      <c r="S23" s="1696"/>
      <c r="T23" s="1657">
        <f>T11+T22</f>
        <v>57471909</v>
      </c>
      <c r="U23" s="1660"/>
      <c r="V23" s="1660"/>
      <c r="W23" s="1660"/>
      <c r="X23" s="1660"/>
      <c r="Y23" s="1657">
        <f>Y11+Y22</f>
        <v>0</v>
      </c>
      <c r="Z23" s="1660"/>
      <c r="AA23" s="1660"/>
      <c r="AB23" s="1660"/>
      <c r="AC23" s="1660"/>
      <c r="AD23" s="1657">
        <f>AD11+AD22</f>
        <v>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1069</v>
      </c>
      <c r="C24" s="1640"/>
      <c r="D24" s="1640"/>
      <c r="E24" s="1640"/>
      <c r="F24" s="1640"/>
      <c r="G24" s="1640"/>
      <c r="H24" s="1640"/>
      <c r="I24" s="1640"/>
      <c r="J24" s="1640"/>
      <c r="K24" s="1640"/>
      <c r="L24" s="1640"/>
      <c r="M24" s="1640"/>
      <c r="N24" s="1640"/>
      <c r="O24" s="1640"/>
      <c r="P24" s="1640"/>
      <c r="Q24" s="1640"/>
      <c r="R24" s="1640"/>
      <c r="S24" s="1641"/>
      <c r="T24" s="1655">
        <f>Application!AD1004</f>
        <v>103032713.8</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1553</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551</v>
      </c>
      <c r="C26" s="1640"/>
      <c r="D26" s="1640"/>
      <c r="E26" s="1640"/>
      <c r="F26" s="1640"/>
      <c r="G26" s="1640"/>
      <c r="H26" s="1640"/>
      <c r="I26" s="1640"/>
      <c r="J26" s="1640"/>
      <c r="K26" s="1640"/>
      <c r="L26" s="1640"/>
      <c r="M26" s="1640"/>
      <c r="N26" s="1640"/>
      <c r="O26" s="1640"/>
      <c r="P26" s="1640"/>
      <c r="Q26" s="1640"/>
      <c r="R26" s="1640"/>
      <c r="S26" s="1641"/>
      <c r="T26" s="1671">
        <f>T23*T25</f>
        <v>74713481.700000003</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460</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552</v>
      </c>
      <c r="C28" s="1640"/>
      <c r="D28" s="1640"/>
      <c r="E28" s="1640"/>
      <c r="F28" s="1640"/>
      <c r="G28" s="1640"/>
      <c r="H28" s="1640"/>
      <c r="I28" s="1640"/>
      <c r="J28" s="1640"/>
      <c r="K28" s="1640"/>
      <c r="L28" s="1640"/>
      <c r="M28" s="1640"/>
      <c r="N28" s="1640"/>
      <c r="O28" s="1640"/>
      <c r="P28" s="1640"/>
      <c r="Q28" s="1640"/>
      <c r="R28" s="1640"/>
      <c r="S28" s="1641"/>
      <c r="T28" s="1637">
        <f>IF(ISERROR((T26*T27)),0,(T26*T27))</f>
        <v>74713481.700000003</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569</v>
      </c>
      <c r="C29" s="1640"/>
      <c r="D29" s="1640"/>
      <c r="E29" s="1640"/>
      <c r="F29" s="1640"/>
      <c r="G29" s="1640"/>
      <c r="H29" s="1640"/>
      <c r="I29" s="1640"/>
      <c r="J29" s="1640"/>
      <c r="K29" s="1640"/>
      <c r="L29" s="1640"/>
      <c r="M29" s="1640"/>
      <c r="N29" s="1640"/>
      <c r="O29" s="1640"/>
      <c r="P29" s="1640"/>
      <c r="Q29" s="1640"/>
      <c r="R29" s="1640"/>
      <c r="S29" s="1641"/>
      <c r="T29" s="1655">
        <f>T28+Y28+AD28+AI28</f>
        <v>74713481.700000003</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1557</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1554</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1385</v>
      </c>
      <c r="Z35" s="1658"/>
      <c r="AA35" s="1658"/>
      <c r="AB35" s="1658"/>
      <c r="AC35" s="1658"/>
      <c r="AD35" s="1659" t="s">
        <v>393</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552</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74713481.700000003</v>
      </c>
      <c r="Z38" s="1660"/>
      <c r="AA38" s="1660"/>
      <c r="AB38" s="1660"/>
      <c r="AC38" s="1660"/>
      <c r="AD38" s="1660">
        <f>IF(T24&gt;=(T23+Y23+AD23+AI23),AD28+AI28,0)</f>
        <v>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1555</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692</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2420717</v>
      </c>
      <c r="Z40" s="1660"/>
      <c r="AA40" s="1660"/>
      <c r="AB40" s="1660"/>
      <c r="AC40" s="1660"/>
      <c r="AD40" s="1657">
        <f>ROUND(AD38*AD39,0)</f>
        <v>0</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693</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2420717</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1556</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1587</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71031902</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47183178</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23848724</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f>AB49/Y41/10</f>
        <v>0.98519256897852991</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1181</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24207170</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2420717</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2420717</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23848724</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0</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2" t="s">
        <v>1100</v>
      </c>
      <c r="Z63" s="1642"/>
      <c r="AA63" s="1642"/>
      <c r="AB63" s="1642"/>
      <c r="AC63" s="1642"/>
      <c r="AD63" s="1642" t="s">
        <v>393</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57471909</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1537</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1">
        <f>ROUND(Y64*Y67,0)</f>
        <v>17241573</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1540</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0</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0</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0</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1588</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642</v>
      </c>
      <c r="C85" s="344" t="s">
        <v>1586</v>
      </c>
    </row>
    <row r="86" spans="1:98" ht="12.75">
      <c r="D86" s="344" t="s">
        <v>1642</v>
      </c>
      <c r="AB86" s="1693">
        <f>IF(A61="$500M State Credit",AB77/(Application!AG424-Application!AG425),"N/A")</f>
        <v>0</v>
      </c>
      <c r="AC86" s="1693"/>
      <c r="AD86" s="1693"/>
      <c r="AE86" s="1693"/>
      <c r="AF86" s="1693"/>
    </row>
    <row r="87" spans="1:98" ht="13.5" thickBot="1">
      <c r="D87" s="344" t="s">
        <v>1643</v>
      </c>
      <c r="AB87" s="1692" t="e">
        <f>IF(A61="$500M State Credit",(Application!AG424-Application!AG425)/AB77,"N/A")</f>
        <v>#DIV/0!</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C16" sqref="C16"/>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435000</v>
      </c>
      <c r="G4" s="366">
        <f>E4*$C$4</f>
        <v>445874.99999999994</v>
      </c>
      <c r="I4" s="366">
        <f>G4*$C$4</f>
        <v>457021.87499999988</v>
      </c>
      <c r="K4" s="366">
        <f>I4*$C$4</f>
        <v>468447.42187499983</v>
      </c>
      <c r="M4" s="366">
        <f>K4*$C$4</f>
        <v>480158.60742187477</v>
      </c>
      <c r="O4" s="366">
        <f>M4*$C$4</f>
        <v>492162.57260742161</v>
      </c>
      <c r="Q4" s="366">
        <f>O4*$C$4</f>
        <v>504466.63692260708</v>
      </c>
      <c r="S4" s="366">
        <f>Q4*$C$4</f>
        <v>517078.30284567224</v>
      </c>
      <c r="U4" s="366">
        <f>S4*$C$4</f>
        <v>530005.26041681401</v>
      </c>
      <c r="W4" s="366">
        <f>U4*$C$4</f>
        <v>543255.39192723436</v>
      </c>
      <c r="Y4" s="366">
        <f>W4*$C$4</f>
        <v>556836.77672541514</v>
      </c>
      <c r="AA4" s="366">
        <f>Y4*$C$4</f>
        <v>570757.69614355045</v>
      </c>
      <c r="AC4" s="366">
        <f>AA4*$C$4</f>
        <v>585026.63854713913</v>
      </c>
      <c r="AE4" s="366">
        <f>AC4*$C$4</f>
        <v>599652.30451081751</v>
      </c>
      <c r="AG4" s="366">
        <f>AE4*$C$4</f>
        <v>614643.61212358787</v>
      </c>
    </row>
    <row r="5" spans="1:34" s="350" customFormat="1" ht="14.25">
      <c r="B5" s="350" t="s">
        <v>924</v>
      </c>
      <c r="C5" s="391">
        <f>IF(Application!$D$210="Special Needs",0.1,0.05)</f>
        <v>0.05</v>
      </c>
      <c r="E5" s="368">
        <f>-E4*$C$5</f>
        <v>-21750</v>
      </c>
      <c r="F5" s="368"/>
      <c r="G5" s="368">
        <f>-G4*$C$5</f>
        <v>-22293.75</v>
      </c>
      <c r="H5" s="368"/>
      <c r="I5" s="368">
        <f>-I4*$C$5</f>
        <v>-22851.093749999996</v>
      </c>
      <c r="J5" s="368"/>
      <c r="K5" s="368">
        <f>-K4*$C$5</f>
        <v>-23422.371093749993</v>
      </c>
      <c r="L5" s="368"/>
      <c r="M5" s="368">
        <f>-M4*$C$5</f>
        <v>-24007.930371093738</v>
      </c>
      <c r="N5" s="368"/>
      <c r="O5" s="368">
        <f>-O4*$C$5</f>
        <v>-24608.12863037108</v>
      </c>
      <c r="P5" s="368"/>
      <c r="Q5" s="368">
        <f>-Q4*$C$5</f>
        <v>-25223.331846130357</v>
      </c>
      <c r="R5" s="368"/>
      <c r="S5" s="368">
        <f>-S4*$C$5</f>
        <v>-25853.915142283615</v>
      </c>
      <c r="T5" s="368"/>
      <c r="U5" s="368">
        <f>-U4*$C$5</f>
        <v>-26500.263020840703</v>
      </c>
      <c r="V5" s="368"/>
      <c r="W5" s="368">
        <f>-W4*$C$5</f>
        <v>-27162.769596361719</v>
      </c>
      <c r="X5" s="368"/>
      <c r="Y5" s="368">
        <f>-Y4*$C$5</f>
        <v>-27841.838836270759</v>
      </c>
      <c r="Z5" s="368"/>
      <c r="AA5" s="368">
        <f>-AA4*$C$5</f>
        <v>-28537.884807177525</v>
      </c>
      <c r="AB5" s="368"/>
      <c r="AC5" s="368">
        <f>-AC4*$C$5</f>
        <v>-29251.331927356958</v>
      </c>
      <c r="AD5" s="368"/>
      <c r="AE5" s="368">
        <f>-AE4*$C$5</f>
        <v>-29982.615225540878</v>
      </c>
      <c r="AF5" s="368"/>
      <c r="AG5" s="368">
        <f>-AG4*$C$5</f>
        <v>-30732.180606179394</v>
      </c>
    </row>
    <row r="6" spans="1:34" s="350" customFormat="1" ht="14.25">
      <c r="A6" s="350" t="s">
        <v>922</v>
      </c>
      <c r="C6" s="392">
        <v>1.02</v>
      </c>
      <c r="E6" s="369">
        <f>Application!Z789</f>
        <v>3402383.82</v>
      </c>
      <c r="F6" s="369"/>
      <c r="G6" s="369">
        <f>E6*$C$6</f>
        <v>3470431.4964000001</v>
      </c>
      <c r="H6" s="369"/>
      <c r="I6" s="369">
        <f>G6*$C$6</f>
        <v>3539840.1263280003</v>
      </c>
      <c r="J6" s="369"/>
      <c r="K6" s="369">
        <f>I6*$C$6</f>
        <v>3610636.9288545605</v>
      </c>
      <c r="L6" s="369"/>
      <c r="M6" s="369">
        <f>K6*$C$6</f>
        <v>3682849.6674316516</v>
      </c>
      <c r="N6" s="369"/>
      <c r="O6" s="369">
        <f>M6*$C$6</f>
        <v>3756506.6607802846</v>
      </c>
      <c r="P6" s="369"/>
      <c r="Q6" s="369">
        <f>O6*$C$6</f>
        <v>3831636.7939958903</v>
      </c>
      <c r="R6" s="369"/>
      <c r="S6" s="369">
        <f>Q6*$C$6</f>
        <v>3908269.5298758084</v>
      </c>
      <c r="T6" s="369"/>
      <c r="U6" s="369">
        <f>S6*$C$6</f>
        <v>3986434.9204733246</v>
      </c>
      <c r="V6" s="369"/>
      <c r="W6" s="369">
        <f>U6*$C$6</f>
        <v>4066163.6188827911</v>
      </c>
      <c r="X6" s="369"/>
      <c r="Y6" s="369">
        <f>W6*$C$6</f>
        <v>4147486.891260447</v>
      </c>
      <c r="Z6" s="369"/>
      <c r="AA6" s="369">
        <f>Y6*$C$6</f>
        <v>4230436.6290856563</v>
      </c>
      <c r="AB6" s="369"/>
      <c r="AC6" s="369">
        <f>AA6*$C$6</f>
        <v>4315045.3616673695</v>
      </c>
      <c r="AD6" s="369"/>
      <c r="AE6" s="369">
        <f>AC6*$C$6</f>
        <v>4401346.2689007167</v>
      </c>
      <c r="AF6" s="369"/>
      <c r="AG6" s="369">
        <f>AE6*$C$6</f>
        <v>4489373.194278731</v>
      </c>
    </row>
    <row r="7" spans="1:34" s="350" customFormat="1" ht="14.25">
      <c r="B7" s="350" t="s">
        <v>924</v>
      </c>
      <c r="C7" s="391">
        <f>IF(Application!$D$210="Special Needs",0.1,0.05)</f>
        <v>0.05</v>
      </c>
      <c r="E7" s="368">
        <f>-E6*$C$7</f>
        <v>-170119.19099999999</v>
      </c>
      <c r="F7" s="368"/>
      <c r="G7" s="368">
        <f>-G6*$C$7</f>
        <v>-173521.57482000001</v>
      </c>
      <c r="H7" s="368"/>
      <c r="I7" s="368">
        <f>-I6*$C$7</f>
        <v>-176992.00631640002</v>
      </c>
      <c r="J7" s="368"/>
      <c r="K7" s="368">
        <f>-K6*$C$7</f>
        <v>-180531.84644272804</v>
      </c>
      <c r="L7" s="368"/>
      <c r="M7" s="368">
        <f>-M6*$C$7</f>
        <v>-184142.48337158258</v>
      </c>
      <c r="N7" s="368"/>
      <c r="O7" s="368">
        <f>-O6*$C$7</f>
        <v>-187825.33303901425</v>
      </c>
      <c r="P7" s="368"/>
      <c r="Q7" s="368">
        <f>-Q6*$C$7</f>
        <v>-191581.83969979454</v>
      </c>
      <c r="R7" s="368"/>
      <c r="S7" s="368">
        <f>-S6*$C$7</f>
        <v>-195413.47649379043</v>
      </c>
      <c r="T7" s="368"/>
      <c r="U7" s="368">
        <f>-U6*$C$7</f>
        <v>-199321.74602366623</v>
      </c>
      <c r="V7" s="368"/>
      <c r="W7" s="368">
        <f>-W6*$C$7</f>
        <v>-203308.18094413957</v>
      </c>
      <c r="X7" s="368"/>
      <c r="Y7" s="368">
        <f>-Y6*$C$7</f>
        <v>-207374.34456302237</v>
      </c>
      <c r="Z7" s="368"/>
      <c r="AA7" s="368">
        <f>-AA6*$C$7</f>
        <v>-211521.83145428283</v>
      </c>
      <c r="AB7" s="368"/>
      <c r="AC7" s="368">
        <f>-AC6*$C$7</f>
        <v>-215752.26808336849</v>
      </c>
      <c r="AD7" s="368"/>
      <c r="AE7" s="368">
        <f>-AE6*$C$7</f>
        <v>-220067.31344503583</v>
      </c>
      <c r="AF7" s="368"/>
      <c r="AG7" s="368">
        <f>-AG6*$C$7</f>
        <v>-224468.65971393656</v>
      </c>
    </row>
    <row r="8" spans="1:34" s="350" customFormat="1" ht="14.25">
      <c r="A8" s="350" t="s">
        <v>306</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3645514.6289999997</v>
      </c>
      <c r="G10" s="370">
        <f>SUM(G4:G9)</f>
        <v>3720491.1715799998</v>
      </c>
      <c r="I10" s="370">
        <f>SUM(I4:I9)</f>
        <v>3797018.9012616002</v>
      </c>
      <c r="K10" s="370">
        <f>SUM(K4:K9)</f>
        <v>3875130.1331930826</v>
      </c>
      <c r="M10" s="370">
        <f>SUM(M4:M9)</f>
        <v>3954857.8611108502</v>
      </c>
      <c r="O10" s="370">
        <f>SUM(O4:O9)</f>
        <v>4036235.7717183209</v>
      </c>
      <c r="Q10" s="370">
        <f>SUM(Q4:Q9)</f>
        <v>4119298.2593725724</v>
      </c>
      <c r="S10" s="370">
        <f>SUM(S4:S9)</f>
        <v>4204080.4410854066</v>
      </c>
      <c r="U10" s="370">
        <f>SUM(U4:U9)</f>
        <v>4290618.1718456317</v>
      </c>
      <c r="W10" s="370">
        <f>SUM(W4:W9)</f>
        <v>4378948.0602695243</v>
      </c>
      <c r="Y10" s="370">
        <f>SUM(Y4:Y9)</f>
        <v>4469107.4845865695</v>
      </c>
      <c r="AA10" s="370">
        <f>SUM(AA4:AA9)</f>
        <v>4561134.6089677466</v>
      </c>
      <c r="AC10" s="370">
        <f>SUM(AC4:AC9)</f>
        <v>4655068.4002037831</v>
      </c>
      <c r="AE10" s="370">
        <f>SUM(AE4:AE9)</f>
        <v>4750948.6447409578</v>
      </c>
      <c r="AG10" s="370">
        <f>SUM(AG4:AG9)</f>
        <v>4848815.9660822023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128466</v>
      </c>
      <c r="G14" s="366">
        <f>E14*$C$13</f>
        <v>132962.31</v>
      </c>
      <c r="I14" s="366">
        <f>G14*$C$13</f>
        <v>137615.99084999997</v>
      </c>
      <c r="K14" s="366">
        <f>I14*$C$13</f>
        <v>142432.55052974995</v>
      </c>
      <c r="M14" s="366">
        <f>K14*$C$13</f>
        <v>147417.68979829119</v>
      </c>
      <c r="O14" s="366">
        <f>M14*$C$13</f>
        <v>152577.30894123137</v>
      </c>
      <c r="Q14" s="366">
        <f>O14*$C$13</f>
        <v>157917.51475417445</v>
      </c>
      <c r="S14" s="366">
        <f>Q14*$C$13</f>
        <v>163444.62777057054</v>
      </c>
      <c r="U14" s="366">
        <f>S14*$C$13</f>
        <v>169165.1897425405</v>
      </c>
      <c r="W14" s="366">
        <f>U14*$C$13</f>
        <v>175085.9713835294</v>
      </c>
      <c r="Y14" s="366">
        <f>W14*$C$13</f>
        <v>181213.98038195292</v>
      </c>
      <c r="AA14" s="366">
        <f>Y14*$C$13</f>
        <v>187556.46969532126</v>
      </c>
      <c r="AC14" s="366">
        <f>AA14*$C$13</f>
        <v>194120.94613465748</v>
      </c>
      <c r="AE14" s="366">
        <f>AC14*$C$13</f>
        <v>200915.17924937047</v>
      </c>
      <c r="AG14" s="366">
        <f>AE14*$C$13</f>
        <v>207947.21052309842</v>
      </c>
    </row>
    <row r="15" spans="1:34" s="350" customFormat="1" ht="14.25">
      <c r="A15" s="350" t="s">
        <v>367</v>
      </c>
      <c r="C15" s="380"/>
      <c r="E15" s="369">
        <f>Application!W829</f>
        <v>121800</v>
      </c>
      <c r="F15" s="369"/>
      <c r="G15" s="369">
        <f t="shared" ref="G15:AG20" si="0">E15*$C$13</f>
        <v>126062.99999999999</v>
      </c>
      <c r="H15" s="369"/>
      <c r="I15" s="369">
        <f t="shared" si="0"/>
        <v>130475.20499999997</v>
      </c>
      <c r="J15" s="369"/>
      <c r="K15" s="369">
        <f t="shared" si="0"/>
        <v>135041.83717499996</v>
      </c>
      <c r="L15" s="369"/>
      <c r="M15" s="369">
        <f t="shared" si="0"/>
        <v>139768.30147612497</v>
      </c>
      <c r="N15" s="369"/>
      <c r="O15" s="369">
        <f t="shared" si="0"/>
        <v>144660.19202778934</v>
      </c>
      <c r="P15" s="369"/>
      <c r="Q15" s="369">
        <f t="shared" si="0"/>
        <v>149723.29874876194</v>
      </c>
      <c r="R15" s="369"/>
      <c r="S15" s="369">
        <f t="shared" si="0"/>
        <v>154963.61420496859</v>
      </c>
      <c r="T15" s="369"/>
      <c r="U15" s="369">
        <f t="shared" si="0"/>
        <v>160387.34070214248</v>
      </c>
      <c r="V15" s="369"/>
      <c r="W15" s="369">
        <f t="shared" si="0"/>
        <v>166000.89762671746</v>
      </c>
      <c r="X15" s="369"/>
      <c r="Y15" s="369">
        <f t="shared" si="0"/>
        <v>171810.92904365255</v>
      </c>
      <c r="Z15" s="369"/>
      <c r="AA15" s="369">
        <f t="shared" si="0"/>
        <v>177824.31156018039</v>
      </c>
      <c r="AB15" s="369"/>
      <c r="AC15" s="369">
        <f t="shared" si="0"/>
        <v>184048.1624647867</v>
      </c>
      <c r="AD15" s="369"/>
      <c r="AE15" s="369">
        <f t="shared" si="0"/>
        <v>190489.84815105423</v>
      </c>
      <c r="AF15" s="369"/>
      <c r="AG15" s="369">
        <f t="shared" si="0"/>
        <v>197156.99283634112</v>
      </c>
    </row>
    <row r="16" spans="1:34" s="350" customFormat="1" ht="14.25">
      <c r="A16" s="350" t="s">
        <v>609</v>
      </c>
      <c r="C16" s="380"/>
      <c r="E16" s="369">
        <f>Application!W835</f>
        <v>229553</v>
      </c>
      <c r="F16" s="369"/>
      <c r="G16" s="369">
        <f t="shared" si="0"/>
        <v>237587.35499999998</v>
      </c>
      <c r="H16" s="369"/>
      <c r="I16" s="369">
        <f t="shared" si="0"/>
        <v>245902.91242499996</v>
      </c>
      <c r="J16" s="369"/>
      <c r="K16" s="369">
        <f t="shared" si="0"/>
        <v>254509.51435987494</v>
      </c>
      <c r="L16" s="369"/>
      <c r="M16" s="369">
        <f t="shared" si="0"/>
        <v>263417.34736247052</v>
      </c>
      <c r="N16" s="369"/>
      <c r="O16" s="369">
        <f t="shared" si="0"/>
        <v>272636.95452015696</v>
      </c>
      <c r="P16" s="369"/>
      <c r="Q16" s="369">
        <f t="shared" si="0"/>
        <v>282179.24792836246</v>
      </c>
      <c r="R16" s="369"/>
      <c r="S16" s="369">
        <f t="shared" si="0"/>
        <v>292055.52160585515</v>
      </c>
      <c r="T16" s="369"/>
      <c r="U16" s="369">
        <f t="shared" si="0"/>
        <v>302277.46486206003</v>
      </c>
      <c r="V16" s="369"/>
      <c r="W16" s="369">
        <f t="shared" si="0"/>
        <v>312857.17613223213</v>
      </c>
      <c r="X16" s="369"/>
      <c r="Y16" s="369">
        <f t="shared" si="0"/>
        <v>323807.1772968602</v>
      </c>
      <c r="Z16" s="369"/>
      <c r="AA16" s="369">
        <f t="shared" si="0"/>
        <v>335140.42850225029</v>
      </c>
      <c r="AB16" s="369"/>
      <c r="AC16" s="369">
        <f t="shared" si="0"/>
        <v>346870.343499829</v>
      </c>
      <c r="AD16" s="369"/>
      <c r="AE16" s="369">
        <f t="shared" si="0"/>
        <v>359010.805522323</v>
      </c>
      <c r="AF16" s="369"/>
      <c r="AG16" s="369">
        <f t="shared" si="0"/>
        <v>371576.1837156043</v>
      </c>
    </row>
    <row r="17" spans="1:33" s="350" customFormat="1" ht="14.25">
      <c r="A17" s="350" t="s">
        <v>928</v>
      </c>
      <c r="C17" s="380"/>
      <c r="E17" s="369">
        <f>Application!W840</f>
        <v>630742</v>
      </c>
      <c r="F17" s="369"/>
      <c r="G17" s="369">
        <f t="shared" si="0"/>
        <v>652817.97</v>
      </c>
      <c r="H17" s="369"/>
      <c r="I17" s="369">
        <f t="shared" si="0"/>
        <v>675666.5989499999</v>
      </c>
      <c r="J17" s="369"/>
      <c r="K17" s="369">
        <f t="shared" si="0"/>
        <v>699314.9299132498</v>
      </c>
      <c r="L17" s="369"/>
      <c r="M17" s="369">
        <f t="shared" si="0"/>
        <v>723790.95246021345</v>
      </c>
      <c r="N17" s="369"/>
      <c r="O17" s="369">
        <f t="shared" si="0"/>
        <v>749123.63579632086</v>
      </c>
      <c r="P17" s="369"/>
      <c r="Q17" s="369">
        <f t="shared" si="0"/>
        <v>775342.96304919198</v>
      </c>
      <c r="R17" s="369"/>
      <c r="S17" s="369">
        <f t="shared" si="0"/>
        <v>802479.96675591369</v>
      </c>
      <c r="T17" s="369"/>
      <c r="U17" s="369">
        <f t="shared" si="0"/>
        <v>830566.76559237065</v>
      </c>
      <c r="V17" s="369"/>
      <c r="W17" s="369">
        <f t="shared" si="0"/>
        <v>859636.60238810361</v>
      </c>
      <c r="X17" s="369"/>
      <c r="Y17" s="369">
        <f t="shared" si="0"/>
        <v>889723.88347168721</v>
      </c>
      <c r="Z17" s="369"/>
      <c r="AA17" s="369">
        <f t="shared" si="0"/>
        <v>920864.21939319617</v>
      </c>
      <c r="AB17" s="369"/>
      <c r="AC17" s="369">
        <f t="shared" si="0"/>
        <v>953094.467071958</v>
      </c>
      <c r="AD17" s="369"/>
      <c r="AE17" s="369">
        <f t="shared" si="0"/>
        <v>986452.77341947646</v>
      </c>
      <c r="AF17" s="369"/>
      <c r="AG17" s="369">
        <f t="shared" si="0"/>
        <v>1020978.6204891581</v>
      </c>
    </row>
    <row r="18" spans="1:33" s="350" customFormat="1" ht="14.25">
      <c r="A18" s="350" t="s">
        <v>162</v>
      </c>
      <c r="C18" s="380"/>
      <c r="E18" s="369">
        <f>Application!W841</f>
        <v>160000</v>
      </c>
      <c r="F18" s="369"/>
      <c r="G18" s="369">
        <f t="shared" si="0"/>
        <v>165600</v>
      </c>
      <c r="H18" s="369"/>
      <c r="I18" s="369">
        <f t="shared" si="0"/>
        <v>171396</v>
      </c>
      <c r="J18" s="369"/>
      <c r="K18" s="369">
        <f t="shared" si="0"/>
        <v>177394.86</v>
      </c>
      <c r="L18" s="369"/>
      <c r="M18" s="369">
        <f t="shared" si="0"/>
        <v>183603.68009999997</v>
      </c>
      <c r="N18" s="369"/>
      <c r="O18" s="369">
        <f t="shared" si="0"/>
        <v>190029.80890349994</v>
      </c>
      <c r="P18" s="369"/>
      <c r="Q18" s="369">
        <f t="shared" si="0"/>
        <v>196680.85221512243</v>
      </c>
      <c r="R18" s="369"/>
      <c r="S18" s="369">
        <f t="shared" si="0"/>
        <v>203564.68204265169</v>
      </c>
      <c r="T18" s="369"/>
      <c r="U18" s="369">
        <f t="shared" si="0"/>
        <v>210689.44591414448</v>
      </c>
      <c r="V18" s="369"/>
      <c r="W18" s="369">
        <f t="shared" si="0"/>
        <v>218063.57652113953</v>
      </c>
      <c r="X18" s="369"/>
      <c r="Y18" s="369">
        <f t="shared" si="0"/>
        <v>225695.8016993794</v>
      </c>
      <c r="Z18" s="369"/>
      <c r="AA18" s="369">
        <f t="shared" si="0"/>
        <v>233595.15475885765</v>
      </c>
      <c r="AB18" s="369"/>
      <c r="AC18" s="369">
        <f t="shared" si="0"/>
        <v>241770.98517541765</v>
      </c>
      <c r="AD18" s="369"/>
      <c r="AE18" s="369">
        <f t="shared" si="0"/>
        <v>250232.96965655725</v>
      </c>
      <c r="AF18" s="369"/>
      <c r="AG18" s="369">
        <f t="shared" si="0"/>
        <v>258991.12359453674</v>
      </c>
    </row>
    <row r="19" spans="1:33" s="350" customFormat="1" ht="14.25">
      <c r="A19" s="350" t="s">
        <v>422</v>
      </c>
      <c r="C19" s="380"/>
      <c r="E19" s="369">
        <f>Application!W850</f>
        <v>271860</v>
      </c>
      <c r="F19" s="369"/>
      <c r="G19" s="369">
        <f t="shared" si="0"/>
        <v>281375.09999999998</v>
      </c>
      <c r="H19" s="369"/>
      <c r="I19" s="369">
        <f t="shared" si="0"/>
        <v>291223.22849999997</v>
      </c>
      <c r="J19" s="369"/>
      <c r="K19" s="369">
        <f t="shared" si="0"/>
        <v>301416.04149749991</v>
      </c>
      <c r="L19" s="369"/>
      <c r="M19" s="369">
        <f t="shared" si="0"/>
        <v>311965.60294991237</v>
      </c>
      <c r="N19" s="369"/>
      <c r="O19" s="369">
        <f t="shared" si="0"/>
        <v>322884.39905315929</v>
      </c>
      <c r="P19" s="369"/>
      <c r="Q19" s="369">
        <f t="shared" si="0"/>
        <v>334185.35302001983</v>
      </c>
      <c r="R19" s="369"/>
      <c r="S19" s="369">
        <f t="shared" si="0"/>
        <v>345881.84037572052</v>
      </c>
      <c r="T19" s="369"/>
      <c r="U19" s="369">
        <f t="shared" si="0"/>
        <v>357987.7047888707</v>
      </c>
      <c r="V19" s="369"/>
      <c r="W19" s="369">
        <f t="shared" si="0"/>
        <v>370517.27445648116</v>
      </c>
      <c r="X19" s="369"/>
      <c r="Y19" s="369">
        <f t="shared" si="0"/>
        <v>383485.37906245794</v>
      </c>
      <c r="Z19" s="369"/>
      <c r="AA19" s="369">
        <f t="shared" si="0"/>
        <v>396907.36732964392</v>
      </c>
      <c r="AB19" s="369"/>
      <c r="AC19" s="369">
        <f t="shared" si="0"/>
        <v>410799.12518618145</v>
      </c>
      <c r="AD19" s="369"/>
      <c r="AE19" s="369">
        <f t="shared" si="0"/>
        <v>425177.09456769779</v>
      </c>
      <c r="AF19" s="369"/>
      <c r="AG19" s="369">
        <f t="shared" si="0"/>
        <v>440058.29287756718</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1542421</v>
      </c>
      <c r="G21" s="370">
        <f>SUM(G14:G20)</f>
        <v>1596405.7349999999</v>
      </c>
      <c r="I21" s="370">
        <f>SUM(I14:I20)</f>
        <v>1652279.9357249998</v>
      </c>
      <c r="K21" s="370">
        <f>SUM(K14:K20)</f>
        <v>1710109.7334753748</v>
      </c>
      <c r="M21" s="370">
        <f>SUM(M14:M20)</f>
        <v>1769963.5741470126</v>
      </c>
      <c r="O21" s="370">
        <f>SUM(O14:O20)</f>
        <v>1831912.299242158</v>
      </c>
      <c r="Q21" s="370">
        <f>SUM(Q14:Q20)</f>
        <v>1896029.2297156332</v>
      </c>
      <c r="S21" s="370">
        <f>SUM(S14:S20)</f>
        <v>1962390.2527556801</v>
      </c>
      <c r="U21" s="370">
        <f>SUM(U14:U20)</f>
        <v>2031073.9116021288</v>
      </c>
      <c r="W21" s="370">
        <f>SUM(W14:W20)</f>
        <v>2102161.4985082033</v>
      </c>
      <c r="Y21" s="370">
        <f>SUM(Y14:Y20)</f>
        <v>2175737.1509559904</v>
      </c>
      <c r="AA21" s="370">
        <f>SUM(AA14:AA20)</f>
        <v>2251887.9512394499</v>
      </c>
      <c r="AC21" s="370">
        <f>SUM(AC14:AC20)</f>
        <v>2330704.0295328307</v>
      </c>
      <c r="AE21" s="370">
        <f>SUM(AE14:AE20)</f>
        <v>2412278.6705664792</v>
      </c>
      <c r="AG21" s="370">
        <f>SUM(AG14:AG20)</f>
        <v>2496708.4240363059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77711</v>
      </c>
      <c r="F24" s="369"/>
      <c r="G24" s="369">
        <f>E24*$C$24</f>
        <v>80430.884999999995</v>
      </c>
      <c r="H24" s="369"/>
      <c r="I24" s="369">
        <f>G24*$C$24</f>
        <v>83245.965974999985</v>
      </c>
      <c r="J24" s="369"/>
      <c r="K24" s="369">
        <f>I24*$C$24</f>
        <v>86159.574784124983</v>
      </c>
      <c r="L24" s="369"/>
      <c r="M24" s="369">
        <f>K24*$C$24</f>
        <v>89175.15990156935</v>
      </c>
      <c r="N24" s="369"/>
      <c r="O24" s="369">
        <f>M24*$C$24</f>
        <v>92296.290498124275</v>
      </c>
      <c r="P24" s="369"/>
      <c r="Q24" s="369">
        <f>O24*$C$24</f>
        <v>95526.660665558622</v>
      </c>
      <c r="R24" s="369"/>
      <c r="S24" s="369">
        <f>Q24*$C$24</f>
        <v>98870.093788853163</v>
      </c>
      <c r="T24" s="369"/>
      <c r="U24" s="369">
        <f>S24*$C$24</f>
        <v>102330.54707146302</v>
      </c>
      <c r="V24" s="369"/>
      <c r="W24" s="369">
        <f>U24*$C$24</f>
        <v>105912.11621896422</v>
      </c>
      <c r="X24" s="369"/>
      <c r="Y24" s="369">
        <f>W24*$C$24</f>
        <v>109619.04028662796</v>
      </c>
      <c r="Z24" s="369"/>
      <c r="AA24" s="369">
        <f>Y24*$C$24</f>
        <v>113455.70669665994</v>
      </c>
      <c r="AB24" s="369"/>
      <c r="AC24" s="369">
        <f>AA24*$C$24</f>
        <v>117426.65643104303</v>
      </c>
      <c r="AD24" s="369"/>
      <c r="AE24" s="369">
        <f>AC24*$C$24</f>
        <v>121536.58940612953</v>
      </c>
      <c r="AF24" s="369"/>
      <c r="AG24" s="369">
        <f>AE24*$C$24</f>
        <v>125790.37003534405</v>
      </c>
    </row>
    <row r="25" spans="1:33" s="350" customFormat="1" ht="14.25">
      <c r="A25" s="350" t="s">
        <v>932</v>
      </c>
      <c r="C25" s="392"/>
      <c r="E25" s="369">
        <f>Application!AC867</f>
        <v>87600</v>
      </c>
      <c r="F25" s="369"/>
      <c r="G25" s="369">
        <f>$E$25</f>
        <v>87600</v>
      </c>
      <c r="H25" s="369"/>
      <c r="I25" s="369">
        <f>$E$25</f>
        <v>87600</v>
      </c>
      <c r="J25" s="369"/>
      <c r="K25" s="369">
        <f>$E$25</f>
        <v>87600</v>
      </c>
      <c r="L25" s="369"/>
      <c r="M25" s="369">
        <f>$E$25</f>
        <v>87600</v>
      </c>
      <c r="N25" s="369"/>
      <c r="O25" s="369">
        <f>$E$25</f>
        <v>87600</v>
      </c>
      <c r="P25" s="369"/>
      <c r="Q25" s="369">
        <f>$E$25</f>
        <v>87600</v>
      </c>
      <c r="R25" s="369"/>
      <c r="S25" s="369">
        <f>$E$25</f>
        <v>87600</v>
      </c>
      <c r="T25" s="369"/>
      <c r="U25" s="369">
        <f>$E$25</f>
        <v>87600</v>
      </c>
      <c r="V25" s="369"/>
      <c r="W25" s="369">
        <f>$E$25</f>
        <v>87600</v>
      </c>
      <c r="X25" s="369"/>
      <c r="Y25" s="369">
        <f>$E$25</f>
        <v>87600</v>
      </c>
      <c r="Z25" s="369"/>
      <c r="AA25" s="369">
        <f>$E$25</f>
        <v>87600</v>
      </c>
      <c r="AB25" s="369"/>
      <c r="AC25" s="369">
        <f>$E$25</f>
        <v>87600</v>
      </c>
      <c r="AD25" s="369"/>
      <c r="AE25" s="369">
        <f>$E$25</f>
        <v>87600</v>
      </c>
      <c r="AF25" s="369"/>
      <c r="AG25" s="369">
        <f>$E$25</f>
        <v>87600</v>
      </c>
    </row>
    <row r="26" spans="1:33" s="350" customFormat="1" ht="14.25">
      <c r="A26" s="350" t="s">
        <v>930</v>
      </c>
      <c r="C26" s="390">
        <v>1.02</v>
      </c>
      <c r="E26" s="369">
        <f>Application!AC868</f>
        <v>8850</v>
      </c>
      <c r="F26" s="369"/>
      <c r="G26" s="369">
        <f>E26*$C$26</f>
        <v>9027</v>
      </c>
      <c r="H26" s="369"/>
      <c r="I26" s="369">
        <f>G26*$C$26</f>
        <v>9207.5400000000009</v>
      </c>
      <c r="J26" s="369"/>
      <c r="K26" s="369">
        <f>I26*$C$26</f>
        <v>9391.6908000000003</v>
      </c>
      <c r="L26" s="369"/>
      <c r="M26" s="369">
        <f>K26*$C$26</f>
        <v>9579.5246160000006</v>
      </c>
      <c r="N26" s="369"/>
      <c r="O26" s="369">
        <f>M26*$C$26</f>
        <v>9771.1151083200002</v>
      </c>
      <c r="P26" s="369"/>
      <c r="Q26" s="369">
        <f>O26*$C$26</f>
        <v>9966.5374104864004</v>
      </c>
      <c r="R26" s="369"/>
      <c r="S26" s="369">
        <f>Q26*$C$26</f>
        <v>10165.868158696128</v>
      </c>
      <c r="T26" s="369"/>
      <c r="U26" s="369">
        <f>S26*$C$26</f>
        <v>10369.185521870051</v>
      </c>
      <c r="V26" s="369"/>
      <c r="W26" s="369">
        <f>U26*$C$26</f>
        <v>10576.569232307453</v>
      </c>
      <c r="X26" s="369"/>
      <c r="Y26" s="369">
        <f>W26*$C$26</f>
        <v>10788.100616953601</v>
      </c>
      <c r="Z26" s="369"/>
      <c r="AA26" s="369">
        <f>Y26*$C$26</f>
        <v>11003.862629292673</v>
      </c>
      <c r="AB26" s="369"/>
      <c r="AC26" s="369">
        <f>AA26*$C$26</f>
        <v>11223.939881878527</v>
      </c>
      <c r="AD26" s="369"/>
      <c r="AE26" s="369">
        <f>AC26*$C$26</f>
        <v>11448.418679516097</v>
      </c>
      <c r="AF26" s="369"/>
      <c r="AG26" s="369">
        <f>AE26*$C$26</f>
        <v>11677.387053106419</v>
      </c>
    </row>
    <row r="27" spans="1:33" s="350" customFormat="1" ht="14.25">
      <c r="A27" s="373" t="str">
        <f>Application!E869</f>
        <v>Other (Annual Issuer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t="str">
        <f>Application!E870</f>
        <v>Other (Annual Trustee Fee):</v>
      </c>
      <c r="B28" s="373"/>
      <c r="C28" s="509">
        <v>1</v>
      </c>
      <c r="E28" s="369">
        <f>Application!AC870</f>
        <v>2500</v>
      </c>
      <c r="F28" s="369"/>
      <c r="G28" s="369">
        <f>E28*$C$28</f>
        <v>2500</v>
      </c>
      <c r="H28" s="369"/>
      <c r="I28" s="369">
        <f>G28*$C$28</f>
        <v>2500</v>
      </c>
      <c r="J28" s="369"/>
      <c r="K28" s="369">
        <f>I28*$C$28</f>
        <v>2500</v>
      </c>
      <c r="L28" s="369"/>
      <c r="M28" s="369">
        <f>K28*$C$28</f>
        <v>2500</v>
      </c>
      <c r="N28" s="369"/>
      <c r="O28" s="369">
        <f>M28*$C$28</f>
        <v>2500</v>
      </c>
      <c r="P28" s="369"/>
      <c r="Q28" s="369">
        <f>O28*$C$28</f>
        <v>2500</v>
      </c>
      <c r="R28" s="369"/>
      <c r="S28" s="369">
        <f>Q28*$C$28</f>
        <v>2500</v>
      </c>
      <c r="T28" s="369"/>
      <c r="U28" s="369">
        <f>S28*$C$28</f>
        <v>2500</v>
      </c>
      <c r="V28" s="369"/>
      <c r="W28" s="369">
        <f>U28*$C$28</f>
        <v>2500</v>
      </c>
      <c r="X28" s="369"/>
      <c r="Y28" s="369">
        <f>W28*$C$28</f>
        <v>2500</v>
      </c>
      <c r="Z28" s="369"/>
      <c r="AA28" s="369">
        <f>Y28*$C$28</f>
        <v>2500</v>
      </c>
      <c r="AB28" s="369"/>
      <c r="AC28" s="369">
        <f>AA28*$C$28</f>
        <v>2500</v>
      </c>
      <c r="AD28" s="369"/>
      <c r="AE28" s="369">
        <f>AC28*$C$28</f>
        <v>2500</v>
      </c>
      <c r="AF28" s="369"/>
      <c r="AG28" s="369">
        <f>AE28*$C$28</f>
        <v>2500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1726582</v>
      </c>
      <c r="G30" s="370">
        <f>SUM(G21:G28)</f>
        <v>1783463.6199999999</v>
      </c>
      <c r="I30" s="370">
        <f>SUM(I21:I28)</f>
        <v>1842333.4416999999</v>
      </c>
      <c r="K30" s="370">
        <f>SUM(K21:K28)</f>
        <v>1903260.9990594997</v>
      </c>
      <c r="M30" s="370">
        <f>SUM(M21:M28)</f>
        <v>1966318.2586645819</v>
      </c>
      <c r="O30" s="370">
        <f>SUM(O21:O28)</f>
        <v>2031579.7048486022</v>
      </c>
      <c r="Q30" s="370">
        <f>SUM(Q21:Q28)</f>
        <v>2099122.4277916783</v>
      </c>
      <c r="S30" s="370">
        <f>SUM(S21:S28)</f>
        <v>2169026.2147032293</v>
      </c>
      <c r="U30" s="370">
        <f>SUM(U21:U28)</f>
        <v>2241373.6441954616</v>
      </c>
      <c r="W30" s="370">
        <f>SUM(W21:W28)</f>
        <v>2316250.1839594748</v>
      </c>
      <c r="Y30" s="370">
        <f>SUM(Y21:Y28)</f>
        <v>2393744.2918595723</v>
      </c>
      <c r="AA30" s="370">
        <f>SUM(AA21:AA28)</f>
        <v>2473947.5205654022</v>
      </c>
      <c r="AC30" s="370">
        <f>SUM(AC21:AC28)</f>
        <v>2556954.6258457522</v>
      </c>
      <c r="AE30" s="370">
        <f>SUM(AE21:AE28)</f>
        <v>2642863.6786521249</v>
      </c>
      <c r="AG30" s="370">
        <f>SUM(AG21:AG28)</f>
        <v>2731776.1811247566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1918932.6289999997</v>
      </c>
      <c r="G32" s="370">
        <f>G10-G30</f>
        <v>1937027.55158</v>
      </c>
      <c r="I32" s="370">
        <f>I10-I30</f>
        <v>1954685.4595616003</v>
      </c>
      <c r="K32" s="370">
        <f>K10-K30</f>
        <v>1971869.1341335829</v>
      </c>
      <c r="M32" s="370">
        <f>M10-M30</f>
        <v>1988539.6024462683</v>
      </c>
      <c r="O32" s="370">
        <f>O10-O30</f>
        <v>2004656.0668697187</v>
      </c>
      <c r="Q32" s="370">
        <f>Q10-Q30</f>
        <v>2020175.8315808941</v>
      </c>
      <c r="S32" s="370">
        <f>S10-S30</f>
        <v>2035054.2263821773</v>
      </c>
      <c r="U32" s="370">
        <f>U10-U30</f>
        <v>2049244.52765017</v>
      </c>
      <c r="W32" s="370">
        <f>W10-W30</f>
        <v>2062697.8763100496</v>
      </c>
      <c r="Y32" s="370">
        <f>Y10-Y30</f>
        <v>2075363.1927269972</v>
      </c>
      <c r="AA32" s="370">
        <f>AA10-AA30</f>
        <v>2087187.0884023444</v>
      </c>
      <c r="AC32" s="370">
        <f>AC10-AC30</f>
        <v>2098113.7743580309</v>
      </c>
      <c r="AE32" s="370">
        <f>AE10-AE30</f>
        <v>2108084.9660888328</v>
      </c>
      <c r="AG32" s="370">
        <f>AG10-AG30</f>
        <v>2117039.7849574457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 Exempt Bonds - Public Sale</v>
      </c>
      <c r="B35" s="373"/>
      <c r="C35" s="367"/>
      <c r="E35" s="369">
        <f>Application!AB618</f>
        <v>1667298</v>
      </c>
      <c r="F35" s="369"/>
      <c r="G35" s="369">
        <f>$E$35</f>
        <v>1667298</v>
      </c>
      <c r="H35" s="369"/>
      <c r="I35" s="369">
        <f>$E$35</f>
        <v>1667298</v>
      </c>
      <c r="J35" s="369"/>
      <c r="K35" s="369">
        <f>$E$35</f>
        <v>1667298</v>
      </c>
      <c r="L35" s="369"/>
      <c r="M35" s="369">
        <f>$E$35</f>
        <v>1667298</v>
      </c>
      <c r="N35" s="369"/>
      <c r="O35" s="369">
        <f>$E$35</f>
        <v>1667298</v>
      </c>
      <c r="P35" s="369"/>
      <c r="Q35" s="369">
        <f>$E$35</f>
        <v>1667298</v>
      </c>
      <c r="R35" s="369"/>
      <c r="S35" s="369">
        <f>$E$35</f>
        <v>1667298</v>
      </c>
      <c r="T35" s="369"/>
      <c r="U35" s="369">
        <f>$E$35</f>
        <v>1667298</v>
      </c>
      <c r="V35" s="369"/>
      <c r="W35" s="369">
        <f>$E$35</f>
        <v>1667298</v>
      </c>
      <c r="X35" s="369"/>
      <c r="Y35" s="369">
        <f>$E$35</f>
        <v>1667298</v>
      </c>
      <c r="Z35" s="369"/>
      <c r="AA35" s="369">
        <f>$E$35</f>
        <v>1667298</v>
      </c>
      <c r="AB35" s="369"/>
      <c r="AC35" s="369">
        <f>$E$35</f>
        <v>1667298</v>
      </c>
      <c r="AD35" s="369"/>
      <c r="AE35" s="369">
        <f>$E$35</f>
        <v>1667298</v>
      </c>
      <c r="AF35" s="369"/>
      <c r="AG35" s="369">
        <f>$E$35</f>
        <v>1667298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1667298</v>
      </c>
      <c r="G38" s="370">
        <f>SUM(G35:G37)</f>
        <v>1667298</v>
      </c>
      <c r="I38" s="370">
        <f>SUM(I35:I37)</f>
        <v>1667298</v>
      </c>
      <c r="K38" s="370">
        <f>SUM(K35:K37)</f>
        <v>1667298</v>
      </c>
      <c r="M38" s="370">
        <f>SUM(M35:M37)</f>
        <v>1667298</v>
      </c>
      <c r="O38" s="370">
        <f>SUM(O35:O37)</f>
        <v>1667298</v>
      </c>
      <c r="Q38" s="370">
        <f>SUM(Q35:Q37)</f>
        <v>1667298</v>
      </c>
      <c r="S38" s="370">
        <f>SUM(S35:S37)</f>
        <v>1667298</v>
      </c>
      <c r="U38" s="370">
        <f>SUM(U35:U37)</f>
        <v>1667298</v>
      </c>
      <c r="W38" s="370">
        <f>SUM(W35:W37)</f>
        <v>1667298</v>
      </c>
      <c r="Y38" s="370">
        <f>SUM(Y35:Y37)</f>
        <v>1667298</v>
      </c>
      <c r="AA38" s="370">
        <f>SUM(AA35:AA37)</f>
        <v>1667298</v>
      </c>
      <c r="AC38" s="370">
        <f>SUM(AC35:AC37)</f>
        <v>1667298</v>
      </c>
      <c r="AE38" s="370">
        <f>SUM(AE35:AE37)</f>
        <v>1667298</v>
      </c>
      <c r="AG38" s="370">
        <f>SUM(AG35:AG37)</f>
        <v>1667298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251634.62899999972</v>
      </c>
      <c r="G40" s="370">
        <f>G32-G38</f>
        <v>269729.55157999997</v>
      </c>
      <c r="I40" s="370">
        <f>I32-I38</f>
        <v>287387.45956160035</v>
      </c>
      <c r="K40" s="370">
        <f>K32-K38</f>
        <v>304571.13413358293</v>
      </c>
      <c r="M40" s="370">
        <f>M32-M38</f>
        <v>321241.60244626831</v>
      </c>
      <c r="O40" s="370">
        <f>O32-O38</f>
        <v>337358.06686971872</v>
      </c>
      <c r="Q40" s="370">
        <f>Q32-Q38</f>
        <v>352877.83158089407</v>
      </c>
      <c r="S40" s="370">
        <f>S32-S38</f>
        <v>367756.22638217732</v>
      </c>
      <c r="U40" s="370">
        <f>U32-U38</f>
        <v>381946.52765017003</v>
      </c>
      <c r="W40" s="370">
        <f>W32-W38</f>
        <v>395399.87631004956</v>
      </c>
      <c r="Y40" s="370">
        <f>Y32-Y38</f>
        <v>408065.19272699719</v>
      </c>
      <c r="AA40" s="370">
        <f>AA32-AA38</f>
        <v>419889.08840234438</v>
      </c>
      <c r="AC40" s="370">
        <f>AC32-AC38</f>
        <v>430815.77435803087</v>
      </c>
      <c r="AE40" s="370">
        <f>AE32-AE38</f>
        <v>440786.96608883282</v>
      </c>
      <c r="AG40" s="370">
        <f>AG32-AG38</f>
        <v>449741.78495744569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6.5574527022423251E-2</v>
      </c>
      <c r="G42" s="374">
        <f>G40/(G4+G6+G8)</f>
        <v>6.8873453042540056E-2</v>
      </c>
      <c r="I42" s="374">
        <f>I40/(I4+I6+I8)</f>
        <v>7.1903272984184294E-2</v>
      </c>
      <c r="K42" s="374">
        <f>K40/(K4+K6+K8)</f>
        <v>7.4666544730586204E-2</v>
      </c>
      <c r="M42" s="374">
        <f>M40/(M4+M6+M8)</f>
        <v>7.7165737187387895E-2</v>
      </c>
      <c r="O42" s="374">
        <f>O40/(O4+O6+O8)</f>
        <v>7.9403231538625552E-2</v>
      </c>
      <c r="Q42" s="374">
        <f>Q40/(Q4+Q6+Q8)</f>
        <v>8.1381322471393527E-2</v>
      </c>
      <c r="S42" s="374">
        <f>S40/(S4+S6+S8)</f>
        <v>8.3102219369729446E-2</v>
      </c>
      <c r="U42" s="374">
        <f>U40/(U4+U6+U8)</f>
        <v>8.4568047478244868E-2</v>
      </c>
      <c r="W42" s="374">
        <f>W40/(W4+W6+W8)</f>
        <v>8.5780849036018736E-2</v>
      </c>
      <c r="Y42" s="374">
        <f>Y40/(Y4+Y6+Y8)</f>
        <v>8.6742584381254678E-2</v>
      </c>
      <c r="AA42" s="374">
        <f>AA40/(AA4+AA6+AA8)</f>
        <v>8.7455133027197152E-2</v>
      </c>
      <c r="AC42" s="374">
        <f>AC40/(AC4+AC6+AC8)</f>
        <v>8.7920294709786143E-2</v>
      </c>
      <c r="AE42" s="374">
        <f>AE40/(AE4+AE6+AE8)</f>
        <v>8.813979040752673E-2</v>
      </c>
      <c r="AG42" s="374">
        <f>AG40/(AG4+AG6+AG8)</f>
        <v>8.8115263334028138E-2</v>
      </c>
    </row>
    <row r="43" spans="1:35" s="374" customFormat="1" ht="14.25">
      <c r="A43" s="374" t="s">
        <v>938</v>
      </c>
      <c r="C43" s="367"/>
      <c r="E43" s="374">
        <f>E40/E38</f>
        <v>0.15092360753746464</v>
      </c>
      <c r="G43" s="374">
        <f>G40/G38</f>
        <v>0.16177645002872909</v>
      </c>
      <c r="I43" s="374">
        <f>I40/I38</f>
        <v>0.17236718304802162</v>
      </c>
      <c r="K43" s="374">
        <f>K40/K38</f>
        <v>0.18267348376449977</v>
      </c>
      <c r="M43" s="374">
        <f>M40/M38</f>
        <v>0.19267197732275113</v>
      </c>
      <c r="O43" s="374">
        <f>O40/O38</f>
        <v>0.20233819441378728</v>
      </c>
      <c r="Q43" s="374">
        <f>Q40/Q38</f>
        <v>0.21164652724401642</v>
      </c>
      <c r="S43" s="374">
        <f>S40/S38</f>
        <v>0.22057018384366642</v>
      </c>
      <c r="U43" s="374">
        <f>U40/U38</f>
        <v>0.22908114065402227</v>
      </c>
      <c r="W43" s="374">
        <f>W40/W38</f>
        <v>0.23715009333067608</v>
      </c>
      <c r="Y43" s="374">
        <f>Y40/Y38</f>
        <v>0.24474640569772002</v>
      </c>
      <c r="AA43" s="374">
        <f>AA40/AA38</f>
        <v>0.25183805678549626</v>
      </c>
      <c r="AC43" s="374">
        <f>AC40/AC38</f>
        <v>0.25839158588208638</v>
      </c>
      <c r="AE43" s="374">
        <f>AE40/AE38</f>
        <v>0.26437203552624233</v>
      </c>
      <c r="AG43" s="374">
        <f>AG40/AG38</f>
        <v>0.26974289236683885</v>
      </c>
    </row>
    <row r="44" spans="1:35" s="375" customFormat="1" ht="14.25">
      <c r="A44" s="375" t="s">
        <v>936</v>
      </c>
      <c r="C44" s="376"/>
      <c r="E44" s="375">
        <f>E32/E38</f>
        <v>1.1509236075374647</v>
      </c>
      <c r="G44" s="375">
        <f>G32/G38</f>
        <v>1.1617764500287291</v>
      </c>
      <c r="I44" s="375">
        <f>I32/I38</f>
        <v>1.1723671830480216</v>
      </c>
      <c r="K44" s="375">
        <f>K32/K38</f>
        <v>1.1826734837644999</v>
      </c>
      <c r="M44" s="375">
        <f>M32/M38</f>
        <v>1.1926719773227512</v>
      </c>
      <c r="O44" s="375">
        <f>O32/O38</f>
        <v>1.2023381944137872</v>
      </c>
      <c r="Q44" s="375">
        <f>Q32/Q38</f>
        <v>1.2116465272440164</v>
      </c>
      <c r="S44" s="375">
        <f>S32/S38</f>
        <v>1.2205701838436664</v>
      </c>
      <c r="U44" s="375">
        <f>U32/U38</f>
        <v>1.2290811406540223</v>
      </c>
      <c r="W44" s="375">
        <f>W32/W38</f>
        <v>1.237150093330676</v>
      </c>
      <c r="Y44" s="375">
        <f>Y32/Y38</f>
        <v>1.24474640569772</v>
      </c>
      <c r="AA44" s="375">
        <f>AA32/AA38</f>
        <v>1.2518380567854963</v>
      </c>
      <c r="AC44" s="375">
        <f>AC32/AC38</f>
        <v>1.2583915858820864</v>
      </c>
      <c r="AE44" s="375">
        <f>AE32/AE38</f>
        <v>1.2643720355262424</v>
      </c>
      <c r="AG44" s="375">
        <f>AG32/AG38</f>
        <v>1.2697428923668388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1.03</v>
      </c>
      <c r="E47" s="383">
        <v>25000</v>
      </c>
      <c r="G47" s="255">
        <f>E47*$C$47</f>
        <v>25750</v>
      </c>
      <c r="I47" s="255">
        <f t="shared" ref="I47" si="1">G47*$C$47</f>
        <v>26522.5</v>
      </c>
      <c r="K47" s="255">
        <f t="shared" ref="K47" si="2">I47*$C$47</f>
        <v>27318.174999999999</v>
      </c>
      <c r="M47" s="255">
        <f t="shared" ref="M47" si="3">K47*$C$47</f>
        <v>28137.720249999998</v>
      </c>
      <c r="O47" s="255">
        <f t="shared" ref="O47" si="4">M47*$C$47</f>
        <v>28981.851857499998</v>
      </c>
      <c r="Q47" s="255">
        <f t="shared" ref="Q47" si="5">O47*$C$47</f>
        <v>29851.307413225</v>
      </c>
      <c r="S47" s="255">
        <f t="shared" ref="S47" si="6">Q47*$C$47</f>
        <v>30746.84663562175</v>
      </c>
      <c r="U47" s="255">
        <f t="shared" ref="U47" si="7">S47*$C$47</f>
        <v>31669.252034690402</v>
      </c>
      <c r="W47" s="255">
        <f t="shared" ref="W47" si="8">U47*$C$47</f>
        <v>32619.329595731117</v>
      </c>
      <c r="Y47" s="255">
        <f t="shared" ref="Y47" si="9">W47*$C$47</f>
        <v>33597.909483603049</v>
      </c>
      <c r="AA47" s="255">
        <f t="shared" ref="AA47" si="10">Y47*$C$47</f>
        <v>34605.846768111143</v>
      </c>
      <c r="AC47" s="255">
        <f t="shared" ref="AC47" si="11">AA47*$C$47</f>
        <v>35644.02217115448</v>
      </c>
      <c r="AE47" s="255">
        <f t="shared" ref="AE47" si="12">AC47*$C$47</f>
        <v>36713.342836289114</v>
      </c>
      <c r="AG47" s="255">
        <f t="shared" ref="AG47" si="13">AE47*$C$47</f>
        <v>37814.743121377789</v>
      </c>
    </row>
    <row r="48" spans="1:35" s="152" customFormat="1">
      <c r="A48" s="152" t="s">
        <v>941</v>
      </c>
      <c r="C48" s="394">
        <v>1.03</v>
      </c>
      <c r="E48" s="384">
        <v>7500</v>
      </c>
      <c r="F48" s="363"/>
      <c r="G48" s="956">
        <f>E48*$C$48</f>
        <v>7725</v>
      </c>
      <c r="H48" s="363"/>
      <c r="I48" s="956">
        <f t="shared" ref="I48" si="14">G48*$C$48</f>
        <v>7956.75</v>
      </c>
      <c r="J48" s="363"/>
      <c r="K48" s="956">
        <f t="shared" ref="K48" si="15">I48*$C$48</f>
        <v>8195.4524999999994</v>
      </c>
      <c r="L48" s="363"/>
      <c r="M48" s="956">
        <f t="shared" ref="M48" si="16">K48*$C$48</f>
        <v>8441.3160749999988</v>
      </c>
      <c r="N48" s="363"/>
      <c r="O48" s="956">
        <f t="shared" ref="O48" si="17">M48*$C$48</f>
        <v>8694.5555572499998</v>
      </c>
      <c r="P48" s="363"/>
      <c r="Q48" s="956">
        <f t="shared" ref="Q48" si="18">O48*$C$48</f>
        <v>8955.3922239674994</v>
      </c>
      <c r="R48" s="363"/>
      <c r="S48" s="956">
        <f t="shared" ref="S48" si="19">Q48*$C$48</f>
        <v>9224.0539906865251</v>
      </c>
      <c r="T48" s="363"/>
      <c r="U48" s="956">
        <f t="shared" ref="U48" si="20">S48*$C$48</f>
        <v>9500.7756104071213</v>
      </c>
      <c r="V48" s="363"/>
      <c r="W48" s="956">
        <f t="shared" ref="W48" si="21">U48*$C$48</f>
        <v>9785.7988787193353</v>
      </c>
      <c r="X48" s="363"/>
      <c r="Y48" s="956">
        <f t="shared" ref="Y48" si="22">W48*$C$48</f>
        <v>10079.372845080916</v>
      </c>
      <c r="Z48" s="363"/>
      <c r="AA48" s="956">
        <f t="shared" ref="AA48" si="23">Y48*$C$48</f>
        <v>10381.754030433343</v>
      </c>
      <c r="AB48" s="363"/>
      <c r="AC48" s="956">
        <f t="shared" ref="AC48" si="24">AA48*$C$48</f>
        <v>10693.206651346343</v>
      </c>
      <c r="AD48" s="363"/>
      <c r="AE48" s="956">
        <f t="shared" ref="AE48" si="25">AC48*$C$48</f>
        <v>11014.002850886734</v>
      </c>
      <c r="AF48" s="363"/>
      <c r="AG48" s="956">
        <f t="shared" ref="AG48" si="26">AE48*$C$48</f>
        <v>11344.422936413337</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32500</v>
      </c>
      <c r="F52" s="363"/>
      <c r="G52" s="363">
        <f>SUM(G47:G51)</f>
        <v>33475</v>
      </c>
      <c r="H52" s="363"/>
      <c r="I52" s="363">
        <f>SUM(I47:I51)</f>
        <v>34479.25</v>
      </c>
      <c r="J52" s="363"/>
      <c r="K52" s="363">
        <f>SUM(K47:K51)</f>
        <v>35513.627500000002</v>
      </c>
      <c r="L52" s="363"/>
      <c r="M52" s="363">
        <f>SUM(M47:M51)</f>
        <v>36579.036324999994</v>
      </c>
      <c r="N52" s="363"/>
      <c r="O52" s="363">
        <f>SUM(O47:O51)</f>
        <v>37676.40741475</v>
      </c>
      <c r="P52" s="363"/>
      <c r="Q52" s="363">
        <f>SUM(Q47:Q51)</f>
        <v>38806.699637192498</v>
      </c>
      <c r="R52" s="363"/>
      <c r="S52" s="363">
        <f>SUM(S47:S51)</f>
        <v>39970.900626308277</v>
      </c>
      <c r="T52" s="363"/>
      <c r="U52" s="363">
        <f>SUM(U47:U51)</f>
        <v>41170.027645097522</v>
      </c>
      <c r="V52" s="363"/>
      <c r="W52" s="363">
        <f>SUM(W47:W51)</f>
        <v>42405.128474450452</v>
      </c>
      <c r="X52" s="363"/>
      <c r="Y52" s="363">
        <f>SUM(Y47:Y51)</f>
        <v>43677.282328683963</v>
      </c>
      <c r="Z52" s="363"/>
      <c r="AA52" s="363">
        <f>SUM(AA47:AA51)</f>
        <v>44987.600798544488</v>
      </c>
      <c r="AB52" s="363"/>
      <c r="AC52" s="363">
        <f>SUM(AC47:AC51)</f>
        <v>46337.228822500823</v>
      </c>
      <c r="AD52" s="363"/>
      <c r="AE52" s="363">
        <f>SUM(AE47:AE51)</f>
        <v>47727.345687175846</v>
      </c>
      <c r="AF52" s="363"/>
      <c r="AG52" s="363">
        <f>SUM(AG47:AG51)</f>
        <v>49159.166057791124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219134.62899999972</v>
      </c>
      <c r="G54" s="255">
        <f>G40-G52</f>
        <v>236254.55157999997</v>
      </c>
      <c r="I54" s="255">
        <f>I40-I52</f>
        <v>252908.20956160035</v>
      </c>
      <c r="K54" s="255">
        <f>K40-K52</f>
        <v>269057.50663358293</v>
      </c>
      <c r="M54" s="255">
        <f>M40-M52</f>
        <v>284662.56612126832</v>
      </c>
      <c r="O54" s="255">
        <f>O40-O52</f>
        <v>299681.6594549687</v>
      </c>
      <c r="Q54" s="255">
        <f>Q40-Q52</f>
        <v>314071.13194370159</v>
      </c>
      <c r="S54" s="255">
        <f>S40-S52</f>
        <v>327785.32575586904</v>
      </c>
      <c r="U54" s="255">
        <f>U40-U52</f>
        <v>340776.50000507251</v>
      </c>
      <c r="W54" s="255">
        <f>W40-W52</f>
        <v>352994.74783559912</v>
      </c>
      <c r="Y54" s="255">
        <f>Y40-Y52</f>
        <v>364387.91039831325</v>
      </c>
      <c r="AA54" s="255">
        <f>AA40-AA52</f>
        <v>374901.48760379991</v>
      </c>
      <c r="AC54" s="255">
        <f>AC40-AC52</f>
        <v>384478.54553553008</v>
      </c>
      <c r="AE54" s="255">
        <f>AE40-AE52</f>
        <v>393059.62040165695</v>
      </c>
      <c r="AG54" s="255">
        <f>AG40-AG52</f>
        <v>400582.6188996546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1774</v>
      </c>
      <c r="B59" s="383"/>
      <c r="C59" s="381"/>
      <c r="E59" s="383">
        <f>E54*0.5</f>
        <v>109567.31449999986</v>
      </c>
      <c r="G59" s="383">
        <f t="shared" ref="G59" si="27">G54*0.5</f>
        <v>118127.27578999999</v>
      </c>
      <c r="I59" s="383">
        <f t="shared" ref="I59" si="28">I54*0.5</f>
        <v>126454.10478080017</v>
      </c>
      <c r="K59" s="383">
        <f t="shared" ref="K59" si="29">K54*0.5</f>
        <v>134528.75331679147</v>
      </c>
      <c r="M59" s="383">
        <f t="shared" ref="M59" si="30">M54*0.5</f>
        <v>142331.28306063416</v>
      </c>
      <c r="O59" s="383">
        <f t="shared" ref="O59" si="31">O54*0.5</f>
        <v>149840.82972748435</v>
      </c>
      <c r="Q59" s="383">
        <f t="shared" ref="Q59" si="32">Q54*0.5</f>
        <v>157035.5659718508</v>
      </c>
      <c r="S59" s="383">
        <f t="shared" ref="S59" si="33">S54*0.5</f>
        <v>163892.66287793452</v>
      </c>
      <c r="U59" s="383">
        <f t="shared" ref="U59" si="34">U54*0.5</f>
        <v>170388.25000253625</v>
      </c>
      <c r="W59" s="383">
        <f t="shared" ref="W59" si="35">W54*0.5</f>
        <v>176497.37391779956</v>
      </c>
      <c r="Y59" s="383">
        <f t="shared" ref="Y59" si="36">Y54*0.5</f>
        <v>182193.95519915663</v>
      </c>
      <c r="AA59" s="383">
        <f t="shared" ref="AA59" si="37">AA54*0.5</f>
        <v>187450.74380189995</v>
      </c>
      <c r="AC59" s="383">
        <f t="shared" ref="AC59" si="38">AC54*0.5</f>
        <v>192239.27276776504</v>
      </c>
      <c r="AE59" s="383">
        <f t="shared" ref="AE59" si="39">AE54*0.5</f>
        <v>196529.81020082848</v>
      </c>
      <c r="AG59" s="383">
        <f t="shared" ref="AG59" si="40">AG54*0.5</f>
        <v>200291.3094498273</v>
      </c>
    </row>
    <row r="60" spans="1:35" s="363" customFormat="1">
      <c r="A60" s="384" t="str">
        <f>Application!C619</f>
        <v xml:space="preserve">Homes for the Homeless Fund (HHF) Permanent Loan												</v>
      </c>
      <c r="B60" s="384"/>
      <c r="C60" s="364"/>
      <c r="E60" s="384">
        <f>E59</f>
        <v>109567.31449999986</v>
      </c>
      <c r="G60" s="384">
        <f t="shared" ref="G60" si="41">G59</f>
        <v>118127.27578999999</v>
      </c>
      <c r="I60" s="384">
        <f t="shared" ref="I60" si="42">I59</f>
        <v>126454.10478080017</v>
      </c>
      <c r="K60" s="384">
        <f>K59</f>
        <v>134528.75331679147</v>
      </c>
      <c r="M60" s="384">
        <f t="shared" ref="M60" si="43">M59</f>
        <v>142331.28306063416</v>
      </c>
      <c r="O60" s="384">
        <f t="shared" ref="O60" si="44">O59</f>
        <v>149840.82972748435</v>
      </c>
      <c r="Q60" s="384">
        <f t="shared" ref="Q60" si="45">Q59</f>
        <v>157035.5659718508</v>
      </c>
      <c r="S60" s="384">
        <f t="shared" ref="S60" si="46">S59</f>
        <v>163892.66287793452</v>
      </c>
      <c r="U60" s="384">
        <f t="shared" ref="U60" si="47">U59</f>
        <v>170388.25000253625</v>
      </c>
      <c r="W60" s="384">
        <f t="shared" ref="W60" si="48">W59</f>
        <v>176497.37391779956</v>
      </c>
      <c r="Y60" s="384">
        <f t="shared" ref="Y60" si="49">Y59</f>
        <v>182193.95519915663</v>
      </c>
      <c r="AA60" s="384">
        <f t="shared" ref="AA60" si="50">AA59</f>
        <v>187450.74380189995</v>
      </c>
      <c r="AC60" s="384">
        <f t="shared" ref="AC60" si="51">AC59</f>
        <v>192239.27276776504</v>
      </c>
      <c r="AE60" s="384">
        <f>AE59</f>
        <v>196529.81020082848</v>
      </c>
      <c r="AG60" s="958">
        <f>AG59</f>
        <v>200291.3094498273</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7" t="s">
        <v>950</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2020-01-02T23:41:05Z</cp:lastPrinted>
  <dcterms:created xsi:type="dcterms:W3CDTF">2007-12-27T18:26:28Z</dcterms:created>
  <dcterms:modified xsi:type="dcterms:W3CDTF">2020-02-11T21:09:10Z</dcterms:modified>
</cp:coreProperties>
</file>