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minimized="1" xWindow="105" yWindow="135" windowWidth="28695" windowHeight="1216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29" i="4" l="1"/>
  <c r="C29" i="4" l="1"/>
  <c r="E29" i="4"/>
  <c r="AG433" i="3" l="1"/>
  <c r="S43" i="4" l="1"/>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D10" i="11" s="1"/>
  <c r="B11" i="11"/>
  <c r="C10" i="11"/>
  <c r="C11" i="11"/>
  <c r="B14" i="11"/>
  <c r="C14" i="11"/>
  <c r="D14" i="11" s="1"/>
  <c r="B15" i="11"/>
  <c r="C15" i="11"/>
  <c r="B16" i="11"/>
  <c r="C16" i="11"/>
  <c r="B18" i="11"/>
  <c r="D18" i="11" s="1"/>
  <c r="C18" i="11"/>
  <c r="B19" i="11"/>
  <c r="C19" i="11"/>
  <c r="D19" i="11" s="1"/>
  <c r="B20" i="11"/>
  <c r="C20" i="11"/>
  <c r="B21" i="11"/>
  <c r="C21" i="11"/>
  <c r="D21" i="11" s="1"/>
  <c r="B22" i="11"/>
  <c r="C22" i="11"/>
  <c r="B23" i="11"/>
  <c r="C23" i="11"/>
  <c r="B24" i="11"/>
  <c r="C24" i="11"/>
  <c r="B25" i="11"/>
  <c r="C25" i="11"/>
  <c r="B27" i="11"/>
  <c r="C27" i="11"/>
  <c r="B29" i="11"/>
  <c r="B30" i="11"/>
  <c r="B31" i="11"/>
  <c r="B32" i="11"/>
  <c r="B33" i="11"/>
  <c r="B34" i="11"/>
  <c r="B35" i="11"/>
  <c r="B36" i="11"/>
  <c r="C29" i="11"/>
  <c r="C30" i="11"/>
  <c r="C31" i="11"/>
  <c r="C32" i="11"/>
  <c r="D32" i="11" s="1"/>
  <c r="C33" i="11"/>
  <c r="D33" i="11" s="1"/>
  <c r="C34" i="11"/>
  <c r="C35" i="11"/>
  <c r="D35" i="11" s="1"/>
  <c r="C36" i="11"/>
  <c r="B39" i="11"/>
  <c r="C39" i="11"/>
  <c r="C40" i="11"/>
  <c r="B40" i="11"/>
  <c r="B42" i="11"/>
  <c r="C42" i="11"/>
  <c r="B44" i="11"/>
  <c r="C44" i="11"/>
  <c r="B45" i="11"/>
  <c r="C45" i="11"/>
  <c r="B46" i="11"/>
  <c r="B47" i="11"/>
  <c r="B48" i="11"/>
  <c r="B49" i="11"/>
  <c r="B50" i="11"/>
  <c r="B51" i="11"/>
  <c r="B52" i="11"/>
  <c r="B53" i="11"/>
  <c r="C46" i="11"/>
  <c r="D46" i="11" s="1"/>
  <c r="C47" i="11"/>
  <c r="D47" i="11" s="1"/>
  <c r="C48" i="11"/>
  <c r="D48" i="11" s="1"/>
  <c r="C49" i="11"/>
  <c r="D49" i="11" s="1"/>
  <c r="C50" i="11"/>
  <c r="C51" i="11"/>
  <c r="D51" i="11" s="1"/>
  <c r="C52" i="11"/>
  <c r="D52" i="11" s="1"/>
  <c r="C53" i="11"/>
  <c r="B56" i="11"/>
  <c r="C56" i="11"/>
  <c r="B57" i="11"/>
  <c r="C57" i="11"/>
  <c r="B58" i="11"/>
  <c r="C58" i="11"/>
  <c r="B59" i="11"/>
  <c r="C59" i="11"/>
  <c r="B60" i="11"/>
  <c r="C60" i="11"/>
  <c r="B61" i="11"/>
  <c r="C61" i="11"/>
  <c r="B62" i="11"/>
  <c r="C62" i="11"/>
  <c r="D62" i="11" s="1"/>
  <c r="B66" i="11"/>
  <c r="B67" i="11"/>
  <c r="C66" i="11"/>
  <c r="C67" i="11"/>
  <c r="B70" i="11"/>
  <c r="D70" i="11" s="1"/>
  <c r="C70" i="11"/>
  <c r="B71" i="11"/>
  <c r="C71" i="11"/>
  <c r="B72" i="11"/>
  <c r="C72" i="11"/>
  <c r="B73" i="11"/>
  <c r="C73" i="11"/>
  <c r="B74" i="11"/>
  <c r="C74" i="11"/>
  <c r="B81" i="11"/>
  <c r="C81" i="11"/>
  <c r="B82" i="11"/>
  <c r="C82" i="11"/>
  <c r="C83" i="11"/>
  <c r="C84" i="11"/>
  <c r="C85" i="11"/>
  <c r="C86" i="11"/>
  <c r="C87" i="11"/>
  <c r="C88" i="11"/>
  <c r="C89" i="11"/>
  <c r="C90" i="11"/>
  <c r="D90" i="11" s="1"/>
  <c r="C91" i="11"/>
  <c r="C92" i="11"/>
  <c r="C93" i="11"/>
  <c r="C94" i="11"/>
  <c r="C95" i="11"/>
  <c r="B83" i="11"/>
  <c r="B84" i="11"/>
  <c r="B85" i="11"/>
  <c r="B86" i="11"/>
  <c r="B87" i="11"/>
  <c r="B88" i="11"/>
  <c r="B89" i="11"/>
  <c r="B90" i="11"/>
  <c r="B91" i="11"/>
  <c r="B92" i="11"/>
  <c r="B93" i="11"/>
  <c r="B94" i="11"/>
  <c r="B95" i="11"/>
  <c r="B99" i="11"/>
  <c r="C99" i="11"/>
  <c r="B100" i="11"/>
  <c r="B101" i="11"/>
  <c r="B102" i="11"/>
  <c r="D102" i="11" s="1"/>
  <c r="B103" i="11"/>
  <c r="B104" i="11"/>
  <c r="C100" i="11"/>
  <c r="C105" i="11" s="1"/>
  <c r="C101" i="11"/>
  <c r="D101" i="11" s="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11" i="4"/>
  <c r="D25" i="4"/>
  <c r="D36" i="4"/>
  <c r="D40" i="4"/>
  <c r="D53" i="4"/>
  <c r="D62" i="4"/>
  <c r="D67" i="4"/>
  <c r="B67" i="4" s="1"/>
  <c r="D74" i="4"/>
  <c r="B74" i="4" s="1"/>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2" i="4" s="1"/>
  <c r="H11" i="4"/>
  <c r="I8" i="4"/>
  <c r="I11" i="4"/>
  <c r="J8" i="4"/>
  <c r="J12" i="4" s="1"/>
  <c r="J11" i="4"/>
  <c r="J25" i="4"/>
  <c r="J36" i="4"/>
  <c r="J40" i="4"/>
  <c r="J53" i="4"/>
  <c r="J62" i="4"/>
  <c r="J67" i="4"/>
  <c r="J74" i="4"/>
  <c r="J95" i="4"/>
  <c r="J104" i="4"/>
  <c r="K8" i="4"/>
  <c r="K11" i="4"/>
  <c r="L8" i="4"/>
  <c r="L11" i="4"/>
  <c r="L12"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Y719" i="3"/>
  <c r="Y720" i="3"/>
  <c r="Y721" i="3"/>
  <c r="Y722" i="3"/>
  <c r="Y723" i="3"/>
  <c r="AI723" i="3" s="1"/>
  <c r="Y724" i="3"/>
  <c r="Y725" i="3"/>
  <c r="Y726" i="3"/>
  <c r="Y727" i="3"/>
  <c r="Y728" i="3"/>
  <c r="Y729" i="3"/>
  <c r="Y730" i="3"/>
  <c r="Y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94" i="11"/>
  <c r="D15" i="11"/>
  <c r="D71" i="11"/>
  <c r="D8" i="11"/>
  <c r="D53" i="11"/>
  <c r="D100" i="11"/>
  <c r="D7" i="11"/>
  <c r="G8" i="7" l="1"/>
  <c r="E8" i="7"/>
  <c r="AI726" i="3"/>
  <c r="D92" i="11"/>
  <c r="K12" i="4"/>
  <c r="D73" i="11"/>
  <c r="D16" i="11"/>
  <c r="AI727" i="3"/>
  <c r="AI717" i="3"/>
  <c r="D67" i="11"/>
  <c r="AI729" i="3"/>
  <c r="O12" i="4"/>
  <c r="F12" i="4"/>
  <c r="AI731" i="3"/>
  <c r="D82" i="11"/>
  <c r="D72" i="11"/>
  <c r="B68" i="11"/>
  <c r="D60" i="11"/>
  <c r="D24" i="11"/>
  <c r="AG432" i="3"/>
  <c r="AI27" i="15" s="1"/>
  <c r="D39" i="11"/>
  <c r="AI719" i="3"/>
  <c r="D74" i="11"/>
  <c r="D58" i="11"/>
  <c r="D27" i="11"/>
  <c r="D22" i="11"/>
  <c r="AI722" i="3"/>
  <c r="C9" i="11"/>
  <c r="J63" i="13"/>
  <c r="J96" i="13" s="1"/>
  <c r="J105" i="13" s="1"/>
  <c r="J107" i="13" s="1"/>
  <c r="AI725" i="3"/>
  <c r="AI709" i="3"/>
  <c r="D57" i="11"/>
  <c r="B12" i="11"/>
  <c r="F63" i="13"/>
  <c r="F96" i="13" s="1"/>
  <c r="F105" i="13" s="1"/>
  <c r="F107" i="13" s="1"/>
  <c r="D81" i="11"/>
  <c r="D89" i="11"/>
  <c r="D93" i="11"/>
  <c r="D34" i="11"/>
  <c r="AI715" i="3"/>
  <c r="AI721" i="3"/>
  <c r="AI714" i="3"/>
  <c r="AI713" i="3"/>
  <c r="AI728" i="3"/>
  <c r="AI711" i="3"/>
  <c r="AI710" i="3"/>
  <c r="D25" i="11"/>
  <c r="C12" i="13"/>
  <c r="I63" i="13"/>
  <c r="I96" i="13" s="1"/>
  <c r="I105" i="13" s="1"/>
  <c r="I107" i="13" s="1"/>
  <c r="AI716" i="3"/>
  <c r="I12" i="4"/>
  <c r="D6" i="11"/>
  <c r="G63" i="4"/>
  <c r="G96" i="4" s="1"/>
  <c r="G105" i="4" s="1"/>
  <c r="D66" i="11"/>
  <c r="D20" i="11"/>
  <c r="L63" i="4"/>
  <c r="L96" i="4" s="1"/>
  <c r="L105" i="4" s="1"/>
  <c r="Q12" i="4"/>
  <c r="H63" i="4"/>
  <c r="H96" i="4" s="1"/>
  <c r="H105" i="4" s="1"/>
  <c r="B9" i="11"/>
  <c r="B13" i="11" s="1"/>
  <c r="R67" i="4"/>
  <c r="AI720" i="3"/>
  <c r="AI730" i="3"/>
  <c r="AI712" i="3"/>
  <c r="G63" i="13"/>
  <c r="G96" i="13" s="1"/>
  <c r="G105" i="13" s="1"/>
  <c r="G107" i="13" s="1"/>
  <c r="O63" i="4"/>
  <c r="O96" i="4" s="1"/>
  <c r="O105" i="4" s="1"/>
  <c r="I63" i="4"/>
  <c r="I96" i="4" s="1"/>
  <c r="I105" i="4" s="1"/>
  <c r="J63" i="4"/>
  <c r="J96" i="4" s="1"/>
  <c r="J105" i="4" s="1"/>
  <c r="B75" i="11"/>
  <c r="AI724" i="3"/>
  <c r="AI718" i="3"/>
  <c r="P63" i="4"/>
  <c r="P96" i="4" s="1"/>
  <c r="P105" i="4" s="1"/>
  <c r="G12" i="4"/>
  <c r="D103" i="11"/>
  <c r="C68" i="11"/>
  <c r="D68" i="11" s="1"/>
  <c r="D99" i="11"/>
  <c r="D88" i="11"/>
  <c r="D84" i="11"/>
  <c r="D91" i="11"/>
  <c r="D87" i="11"/>
  <c r="D83" i="11"/>
  <c r="D85" i="11"/>
  <c r="D86" i="11"/>
  <c r="B79" i="11"/>
  <c r="D78" i="11"/>
  <c r="C75" i="11"/>
  <c r="D56" i="11"/>
  <c r="D61" i="11"/>
  <c r="D59" i="11"/>
  <c r="B63" i="11"/>
  <c r="C54" i="11"/>
  <c r="D44" i="11"/>
  <c r="B53" i="4"/>
  <c r="D45" i="11"/>
  <c r="D42" i="11"/>
  <c r="B41" i="11"/>
  <c r="B40" i="4"/>
  <c r="D30" i="11"/>
  <c r="D36" i="11"/>
  <c r="C96" i="11"/>
  <c r="R78" i="4"/>
  <c r="C79" i="11"/>
  <c r="R74" i="4"/>
  <c r="M12" i="4"/>
  <c r="R62" i="4"/>
  <c r="C63" i="11"/>
  <c r="B62" i="4"/>
  <c r="R53" i="4"/>
  <c r="B54" i="11"/>
  <c r="D54" i="11" s="1"/>
  <c r="R40" i="4"/>
  <c r="D40" i="11"/>
  <c r="C41" i="11"/>
  <c r="D41" i="11" s="1"/>
  <c r="F63" i="4"/>
  <c r="F96" i="4" s="1"/>
  <c r="F105" i="4" s="1"/>
  <c r="R36" i="4"/>
  <c r="B36" i="4"/>
  <c r="B37" i="11"/>
  <c r="C37" i="11"/>
  <c r="N12" i="4"/>
  <c r="D12" i="4"/>
  <c r="B11" i="4"/>
  <c r="R8" i="4"/>
  <c r="R12" i="4" s="1"/>
  <c r="D5" i="11"/>
  <c r="AB48" i="15"/>
  <c r="C63" i="13"/>
  <c r="C96" i="13" s="1"/>
  <c r="C105" i="13" s="1"/>
  <c r="D63" i="13"/>
  <c r="D96" i="13" s="1"/>
  <c r="D105" i="13" s="1"/>
  <c r="D95" i="11"/>
  <c r="D63" i="4"/>
  <c r="D96" i="4" s="1"/>
  <c r="D105" i="4" s="1"/>
  <c r="D77" i="11"/>
  <c r="D31" i="11"/>
  <c r="B8" i="4"/>
  <c r="Q63" i="4"/>
  <c r="Q96" i="4" s="1"/>
  <c r="Q105" i="4" s="1"/>
  <c r="B78" i="4"/>
  <c r="B26" i="11"/>
  <c r="C12" i="11"/>
  <c r="R25" i="4"/>
  <c r="B25" i="4"/>
  <c r="K63" i="4"/>
  <c r="K96" i="4" s="1"/>
  <c r="K105" i="4" s="1"/>
  <c r="B104" i="4"/>
  <c r="N63" i="4"/>
  <c r="N96" i="4" s="1"/>
  <c r="N105" i="4" s="1"/>
  <c r="M63" i="4"/>
  <c r="M96" i="4" s="1"/>
  <c r="M105" i="4" s="1"/>
  <c r="S63" i="4"/>
  <c r="E63" i="13" s="1"/>
  <c r="M38" i="7"/>
  <c r="D50" i="11"/>
  <c r="D29" i="11"/>
  <c r="R95" i="4"/>
  <c r="R104" i="4"/>
  <c r="D12" i="13"/>
  <c r="B105" i="11"/>
  <c r="D105"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79" i="11" l="1"/>
  <c r="D75" i="11"/>
  <c r="D9" i="11"/>
  <c r="Y27" i="15"/>
  <c r="AD27" i="15"/>
  <c r="T27" i="15"/>
  <c r="C13" i="11"/>
  <c r="D13" i="11" s="1"/>
  <c r="B12" i="4"/>
  <c r="D96" i="11"/>
  <c r="D37" i="11"/>
  <c r="D63" i="11"/>
  <c r="B64" i="11"/>
  <c r="B97" i="11" s="1"/>
  <c r="B106" i="11" s="1"/>
  <c r="B63" i="4"/>
  <c r="S96" i="4"/>
  <c r="E96" i="13" s="1"/>
  <c r="R63" i="4"/>
  <c r="R96" i="4" s="1"/>
  <c r="R105" i="4" s="1"/>
  <c r="D12" i="11"/>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D64" i="11" l="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55" i="3"/>
  <c r="AQ877" i="3" s="1"/>
  <c r="AD965" i="3"/>
  <c r="AQ879" i="3" s="1"/>
  <c r="E105" i="13"/>
  <c r="AD1000" i="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D1004" i="3" l="1"/>
  <c r="T24" i="15" s="1"/>
  <c r="AD38" i="15" s="1"/>
  <c r="AD40" i="15" s="1"/>
  <c r="AQ886" i="3"/>
  <c r="AQ888" i="3"/>
  <c r="B1012" i="3"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K59" i="7" s="1"/>
  <c r="O7" i="7"/>
  <c r="O10" i="7" s="1"/>
  <c r="O32" i="7" s="1"/>
  <c r="Q6" i="7"/>
  <c r="M27" i="3" l="1"/>
  <c r="P204" i="3" s="1"/>
  <c r="P203" i="3" s="1"/>
  <c r="AB86" i="15"/>
  <c r="AB78" i="15"/>
  <c r="AB80" i="15" s="1"/>
  <c r="J81" i="15" s="1"/>
  <c r="Q5" i="7"/>
  <c r="O40" i="7"/>
  <c r="O44" i="7"/>
  <c r="W21" i="7"/>
  <c r="W30" i="7" s="1"/>
  <c r="Y14" i="7"/>
  <c r="W8" i="7"/>
  <c r="U9" i="7"/>
  <c r="M43" i="7"/>
  <c r="M42" i="7"/>
  <c r="M54" i="7"/>
  <c r="M59" i="7" s="1"/>
  <c r="U4" i="7"/>
  <c r="S5" i="7"/>
  <c r="Q7" i="7"/>
  <c r="S6" i="7"/>
  <c r="Q10" i="7" l="1"/>
  <c r="Q32" i="7" s="1"/>
  <c r="Q44" i="7" s="1"/>
  <c r="W4" i="7"/>
  <c r="U5" i="7"/>
  <c r="Y8" i="7"/>
  <c r="W9" i="7"/>
  <c r="Y21" i="7"/>
  <c r="Y30" i="7" s="1"/>
  <c r="AA14" i="7"/>
  <c r="S7" i="7"/>
  <c r="S10" i="7" s="1"/>
  <c r="S32" i="7" s="1"/>
  <c r="U6" i="7"/>
  <c r="O54" i="7"/>
  <c r="O59" i="7" s="1"/>
  <c r="O42" i="7"/>
  <c r="O43" i="7"/>
  <c r="Q40" i="7" l="1"/>
  <c r="Q42" i="7" s="1"/>
  <c r="S40" i="7"/>
  <c r="S44" i="7"/>
  <c r="W6" i="7"/>
  <c r="U7" i="7"/>
  <c r="U10" i="7" s="1"/>
  <c r="U32" i="7" s="1"/>
  <c r="Y4" i="7"/>
  <c r="W5" i="7"/>
  <c r="AA21" i="7"/>
  <c r="AA30" i="7" s="1"/>
  <c r="AC14" i="7"/>
  <c r="Y9" i="7"/>
  <c r="AA8" i="7"/>
  <c r="Q54" i="7" l="1"/>
  <c r="Q59" i="7" s="1"/>
  <c r="Q43" i="7"/>
  <c r="U40" i="7"/>
  <c r="U44" i="7"/>
  <c r="AE14" i="7"/>
  <c r="AC21" i="7"/>
  <c r="AC30" i="7" s="1"/>
  <c r="W7" i="7"/>
  <c r="W10" i="7" s="1"/>
  <c r="W32" i="7" s="1"/>
  <c r="Y6" i="7"/>
  <c r="AA4" i="7"/>
  <c r="Y5" i="7"/>
  <c r="AA9" i="7"/>
  <c r="AC8" i="7"/>
  <c r="S54" i="7"/>
  <c r="S59" i="7" s="1"/>
  <c r="S43" i="7"/>
  <c r="S42" i="7"/>
  <c r="AA6" i="7" l="1"/>
  <c r="Y7" i="7"/>
  <c r="Y10" i="7" s="1"/>
  <c r="Y32" i="7" s="1"/>
  <c r="AE8" i="7"/>
  <c r="AC9" i="7"/>
  <c r="AC4" i="7"/>
  <c r="AA5" i="7"/>
  <c r="W44" i="7"/>
  <c r="W40" i="7"/>
  <c r="AG14" i="7"/>
  <c r="AG21" i="7" s="1"/>
  <c r="AG30" i="7" s="1"/>
  <c r="AE21" i="7"/>
  <c r="AE30" i="7" s="1"/>
  <c r="U43" i="7"/>
  <c r="U42" i="7"/>
  <c r="U54" i="7"/>
  <c r="U59" i="7" s="1"/>
  <c r="W42" i="7" l="1"/>
  <c r="W54" i="7"/>
  <c r="W59" i="7" s="1"/>
  <c r="W43" i="7"/>
  <c r="Y40" i="7"/>
  <c r="Y44" i="7"/>
  <c r="AE4" i="7"/>
  <c r="AC5" i="7"/>
  <c r="AE9" i="7"/>
  <c r="AG8" i="7"/>
  <c r="AG9" i="7" s="1"/>
  <c r="AA7" i="7"/>
  <c r="AA10" i="7" s="1"/>
  <c r="AA32" i="7" s="1"/>
  <c r="AC6" i="7"/>
  <c r="AA44" i="7" l="1"/>
  <c r="AA40" i="7"/>
  <c r="AE5" i="7"/>
  <c r="AG4" i="7"/>
  <c r="Y43" i="7"/>
  <c r="Y42" i="7"/>
  <c r="Y54" i="7"/>
  <c r="Y59" i="7" s="1"/>
  <c r="AC7" i="7"/>
  <c r="AC10" i="7" s="1"/>
  <c r="AC32" i="7" s="1"/>
  <c r="AE6" i="7"/>
  <c r="AE7" i="7" l="1"/>
  <c r="AE10" i="7" s="1"/>
  <c r="AE32" i="7" s="1"/>
  <c r="AG6" i="7"/>
  <c r="AG7" i="7" s="1"/>
  <c r="AC40" i="7"/>
  <c r="AC44" i="7"/>
  <c r="AG5" i="7"/>
  <c r="AA42" i="7"/>
  <c r="AA43" i="7"/>
  <c r="AA54" i="7"/>
  <c r="AA59" i="7" s="1"/>
  <c r="AG10" i="7" l="1"/>
  <c r="AG32" i="7" s="1"/>
  <c r="AG44" i="7" s="1"/>
  <c r="AE44" i="7"/>
  <c r="AE40" i="7"/>
  <c r="AC42" i="7"/>
  <c r="AC54" i="7"/>
  <c r="AC59" i="7" s="1"/>
  <c r="AC43" i="7"/>
  <c r="AG40" i="7" l="1"/>
  <c r="AG42" i="7" s="1"/>
  <c r="AE54" i="7"/>
  <c r="AE59" i="7" s="1"/>
  <c r="AE42" i="7"/>
  <c r="AE43" i="7"/>
  <c r="AG54" i="7" l="1"/>
  <c r="AG59"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McDonough, Marlene</author>
    <author>Shim, Jonghyun</author>
  </authors>
  <commentList>
    <comment ref="B8" authorId="0" shapeId="0">
      <text>
        <r>
          <rPr>
            <b/>
            <sz val="9"/>
            <color indexed="81"/>
            <rFont val="Tahoma"/>
            <family val="2"/>
          </rPr>
          <t>McDonough, Marlene:</t>
        </r>
        <r>
          <rPr>
            <sz val="9"/>
            <color indexed="81"/>
            <rFont val="Tahoma"/>
            <family val="2"/>
          </rPr>
          <t xml:space="preserve">
this is described as an operating subidy to help with ooperatings expenses and services.  Should this be under expenses?  If so when moved the entire project goes negative. The MOU says $298,080 annually..took off inflator.</t>
        </r>
      </text>
    </comment>
    <comment ref="A20" authorId="1" shapeId="0">
      <text>
        <r>
          <rPr>
            <b/>
            <sz val="9"/>
            <color indexed="81"/>
            <rFont val="Tahoma"/>
            <family val="2"/>
          </rPr>
          <t>Shim, Jonghyun:</t>
        </r>
        <r>
          <rPr>
            <sz val="9"/>
            <color indexed="81"/>
            <rFont val="Tahoma"/>
            <family val="2"/>
          </rPr>
          <t xml:space="preserve">
Misc Costs (Special, Tax Assessments) + Ground lease</t>
        </r>
      </text>
    </comment>
    <comment ref="B27" authorId="1" shapeId="0">
      <text>
        <r>
          <rPr>
            <b/>
            <sz val="9"/>
            <color indexed="81"/>
            <rFont val="Tahoma"/>
            <family val="2"/>
          </rPr>
          <t>Shim, Jonghyun:</t>
        </r>
        <r>
          <rPr>
            <sz val="9"/>
            <color indexed="81"/>
            <rFont val="Tahoma"/>
            <family val="2"/>
          </rPr>
          <t xml:space="preserve">
Moved ground lease from opeating expense to total expense with 1% multiflier</t>
        </r>
      </text>
    </comment>
  </commentList>
</comments>
</file>

<file path=xl/sharedStrings.xml><?xml version="1.0" encoding="utf-8"?>
<sst xmlns="http://schemas.openxmlformats.org/spreadsheetml/2006/main" count="3686" uniqueCount="1787">
  <si>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</si>
  <si>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</si>
  <si>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</si>
  <si>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</si>
  <si>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</si>
  <si>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</si>
  <si>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</si>
  <si>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</si>
  <si>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</si>
  <si>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</si>
  <si>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</si>
  <si>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</si>
  <si>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</si>
  <si>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</si>
  <si>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</si>
  <si>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</si>
  <si>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</si>
  <si>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</si>
  <si>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</si>
  <si>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</si>
  <si>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</si>
  <si>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</si>
  <si>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</si>
  <si>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</si>
  <si>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</si>
  <si>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</si>
  <si>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</si>
  <si>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</si>
  <si>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</si>
  <si>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</si>
  <si>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</si>
  <si>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</si>
  <si>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</si>
  <si>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</si>
  <si>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</si>
  <si>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</si>
  <si>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</si>
  <si>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</si>
  <si>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</si>
  <si>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</si>
  <si>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</si>
  <si>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</si>
  <si>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</si>
  <si>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</si>
  <si>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</si>
  <si>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</si>
  <si>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</si>
  <si>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</si>
  <si>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</si>
  <si>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</si>
  <si>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</si>
  <si>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</si>
  <si>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</si>
  <si>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</si>
  <si>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</si>
  <si>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</si>
  <si>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</si>
  <si>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</si>
  <si>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</si>
  <si>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</si>
  <si>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</si>
  <si>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</si>
  <si>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</si>
  <si>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</si>
  <si>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</si>
  <si>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</si>
  <si>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</si>
  <si>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</si>
  <si>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</si>
  <si>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</si>
  <si>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</si>
  <si>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</si>
  <si>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</si>
  <si>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</si>
  <si>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</si>
  <si>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</si>
  <si>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</si>
  <si>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</si>
  <si>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</si>
  <si>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</si>
  <si>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</si>
  <si>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</si>
  <si>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</si>
  <si>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</si>
  <si>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</si>
  <si>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</si>
  <si>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</si>
  <si>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</si>
  <si>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</si>
  <si>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</si>
  <si>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</si>
  <si>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</si>
  <si>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</si>
  <si>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</si>
  <si>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</si>
  <si>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</si>
  <si>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</si>
  <si>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</si>
  <si>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</si>
  <si>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</si>
  <si>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</si>
  <si>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</si>
  <si>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</si>
  <si>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</si>
  <si>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</si>
  <si>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</si>
  <si>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</si>
  <si>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</si>
  <si>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</si>
  <si>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</si>
  <si>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</si>
  <si>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</si>
  <si>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</si>
  <si>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</si>
  <si>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</si>
  <si>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</si>
  <si>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</si>
  <si>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</si>
  <si>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</si>
  <si>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</si>
  <si>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</si>
  <si>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</si>
  <si>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</si>
  <si>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</si>
  <si>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</si>
  <si>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</si>
  <si>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</si>
  <si>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</si>
  <si>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</si>
  <si>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</si>
  <si>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</si>
  <si>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</si>
  <si>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</si>
  <si>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</si>
  <si>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</si>
  <si>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</si>
  <si>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</si>
  <si>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</si>
  <si>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</si>
  <si>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</si>
  <si>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</si>
  <si>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</si>
  <si>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</si>
  <si>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</si>
  <si>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</si>
  <si>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</si>
  <si>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</si>
  <si>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</si>
  <si>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</si>
  <si>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</si>
  <si>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</si>
  <si>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</si>
  <si>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</si>
  <si>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</si>
  <si>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</si>
  <si>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</si>
  <si>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</si>
  <si>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</si>
  <si>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</si>
  <si>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</si>
  <si>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</si>
  <si>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</si>
  <si>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</si>
  <si>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</si>
  <si>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</si>
  <si>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</si>
  <si>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</si>
  <si>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</si>
  <si>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</si>
  <si>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</si>
  <si>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</si>
  <si>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</si>
  <si>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</si>
  <si>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</si>
  <si>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</si>
  <si>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</si>
  <si>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</si>
  <si>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</si>
  <si>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</si>
  <si>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</si>
  <si>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</si>
  <si>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</si>
  <si>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</si>
  <si>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</si>
  <si>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</si>
  <si>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</si>
  <si>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</si>
  <si>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</si>
  <si>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</si>
  <si>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</si>
  <si>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</si>
  <si>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</si>
  <si>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</si>
  <si>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</si>
  <si>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</si>
  <si>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</si>
  <si>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</si>
  <si>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</si>
  <si>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</si>
  <si>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</si>
  <si>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</si>
  <si>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</si>
  <si>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</si>
  <si>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</si>
  <si>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</si>
  <si>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</si>
  <si>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</si>
  <si>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</si>
  <si>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</si>
  <si>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</si>
  <si>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</si>
  <si>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</si>
  <si>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</si>
  <si>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</si>
  <si>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</si>
  <si>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</si>
  <si>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</si>
  <si>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</si>
  <si>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</si>
  <si>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</si>
  <si>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</si>
  <si>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</si>
  <si>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</si>
  <si>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</si>
  <si>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</si>
  <si>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</si>
  <si>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</si>
  <si>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</si>
  <si>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</si>
  <si>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</si>
  <si>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</si>
  <si>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</si>
  <si>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</si>
  <si>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</si>
  <si>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</si>
  <si>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</si>
  <si>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</si>
  <si>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</si>
  <si>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</si>
  <si>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</si>
  <si>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</si>
  <si>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</si>
  <si>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</si>
  <si>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</si>
  <si>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</si>
  <si>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</si>
  <si>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</si>
  <si>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</si>
  <si>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</si>
  <si>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</si>
  <si>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</si>
  <si>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</si>
  <si>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</si>
  <si>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</si>
  <si>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</si>
  <si>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</si>
  <si>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</si>
  <si>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</si>
  <si>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</si>
  <si>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</si>
  <si>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</si>
  <si>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</si>
  <si>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</si>
  <si>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</si>
  <si>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</si>
  <si>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</si>
  <si>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</si>
  <si>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</si>
  <si>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</si>
  <si>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</si>
  <si>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</si>
  <si>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</si>
  <si>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</si>
  <si>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</si>
  <si>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</si>
  <si>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</si>
  <si>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</si>
  <si>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</si>
  <si>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</si>
  <si>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</si>
  <si>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</si>
  <si>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</si>
  <si>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</si>
  <si>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</si>
  <si>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</si>
  <si>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</si>
  <si>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</si>
  <si>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</si>
  <si>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</si>
  <si>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</si>
  <si>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</si>
  <si>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</si>
  <si>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</si>
  <si>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</si>
  <si>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</si>
  <si>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</si>
  <si>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</si>
  <si>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</si>
  <si>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</si>
  <si>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</si>
  <si>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</si>
  <si>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</si>
  <si>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</si>
  <si>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</si>
  <si>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</si>
  <si>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</si>
  <si>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</si>
  <si>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</si>
  <si>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</si>
  <si>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</si>
  <si>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</si>
  <si>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</si>
  <si>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</si>
  <si>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</si>
  <si>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</si>
  <si>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</si>
  <si>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</si>
  <si>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</si>
  <si>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</si>
  <si>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</si>
  <si>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</si>
  <si>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</si>
  <si>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</si>
  <si>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</si>
  <si>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</si>
  <si>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</si>
  <si>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</si>
  <si>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</si>
  <si>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</si>
  <si>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</si>
  <si>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</si>
  <si>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</si>
  <si>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</si>
  <si>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</si>
  <si>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</si>
  <si>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</si>
  <si>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</si>
  <si>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</si>
  <si>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</si>
  <si>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</si>
  <si>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</si>
  <si>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</si>
  <si>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</si>
  <si>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</si>
  <si>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</si>
  <si>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</si>
  <si>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</si>
  <si>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</si>
  <si>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</si>
  <si>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</si>
  <si>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</si>
  <si>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</si>
  <si>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</si>
  <si>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</si>
  <si>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</si>
  <si>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</si>
  <si>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</si>
  <si>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</si>
  <si>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</si>
  <si>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</si>
  <si>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</si>
  <si>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</si>
  <si>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</si>
  <si>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</si>
  <si>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</si>
  <si>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</si>
  <si>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</si>
  <si>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</si>
  <si>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</si>
  <si>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</si>
  <si>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</si>
  <si>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</si>
  <si>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</si>
  <si>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</si>
  <si>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</si>
  <si>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</si>
  <si>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</si>
  <si>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</si>
  <si>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</si>
  <si>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</si>
  <si>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</si>
  <si>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</si>
  <si>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</si>
  <si>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</si>
  <si>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</si>
  <si>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</si>
  <si>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</si>
  <si>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</si>
  <si>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</si>
  <si>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</si>
  <si>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</si>
  <si>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</si>
  <si>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</si>
  <si>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</si>
  <si>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</si>
  <si>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</si>
  <si>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</si>
  <si>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</si>
  <si>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</si>
  <si>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</si>
  <si>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</si>
  <si>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</si>
  <si>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</si>
  <si>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</si>
  <si>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</si>
  <si>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</si>
  <si>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</si>
  <si>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</si>
  <si>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</si>
  <si>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</si>
  <si>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</si>
  <si>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</si>
  <si>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</si>
  <si>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</si>
  <si>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</si>
  <si>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</si>
  <si>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</si>
  <si>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</si>
  <si>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</si>
  <si>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</si>
  <si>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</si>
  <si>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</si>
  <si>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</si>
  <si>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</si>
  <si>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</si>
  <si>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</si>
  <si>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</si>
  <si>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</si>
  <si>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</si>
  <si>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</si>
  <si>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</si>
  <si>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</si>
  <si>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</si>
  <si>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</si>
  <si>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</si>
  <si>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</si>
  <si>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</si>
  <si>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</si>
  <si>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</si>
  <si>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</si>
  <si>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</si>
  <si>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</si>
  <si>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</si>
  <si>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</si>
  <si>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</si>
  <si>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</si>
  <si>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</si>
  <si>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</si>
  <si>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</si>
  <si>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</si>
  <si>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</si>
  <si>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</si>
  <si>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</si>
  <si>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</si>
  <si>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</si>
  <si>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</si>
  <si>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</si>
  <si>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</si>
  <si>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</si>
  <si>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</si>
  <si>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</si>
  <si>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</si>
  <si>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</si>
  <si>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</si>
  <si>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</si>
  <si>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</si>
  <si>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</si>
  <si>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</si>
  <si>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</si>
  <si>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</si>
  <si>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</si>
  <si>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</si>
  <si>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</si>
  <si>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</si>
  <si>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</si>
  <si>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</si>
  <si>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</si>
  <si>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</si>
  <si>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</si>
  <si>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</si>
  <si>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</si>
  <si>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</si>
  <si>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</si>
  <si>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</si>
  <si>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</si>
  <si>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</si>
  <si>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</si>
  <si>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</si>
  <si>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</si>
  <si>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</si>
  <si>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</si>
  <si>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</si>
  <si>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</si>
  <si>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</si>
  <si>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</si>
  <si>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</si>
  <si>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</si>
  <si>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</si>
  <si>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</si>
  <si>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</si>
  <si>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</si>
  <si>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</si>
  <si>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</si>
  <si>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</si>
  <si>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</si>
  <si>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</si>
  <si>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</si>
  <si>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</si>
  <si>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</si>
  <si>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</si>
  <si>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</si>
  <si>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</si>
  <si>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</si>
  <si>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</si>
  <si>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</si>
  <si>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</si>
  <si>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</si>
  <si>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</si>
  <si>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</si>
  <si>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</si>
  <si>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</si>
  <si>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</si>
  <si>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</si>
  <si>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</si>
  <si>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</si>
  <si>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</si>
  <si>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</si>
  <si>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</si>
  <si>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</si>
  <si>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</si>
  <si>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</si>
  <si>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</si>
  <si>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</si>
  <si>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</si>
  <si>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</si>
  <si>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</si>
  <si>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</si>
  <si>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</si>
  <si>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</si>
  <si>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</si>
  <si>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</si>
  <si>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</si>
  <si>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</si>
  <si>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</si>
  <si>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</si>
  <si>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</si>
  <si>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</si>
  <si>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</si>
  <si>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</si>
  <si>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</si>
  <si>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</si>
  <si>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</si>
  <si>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</si>
  <si>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</si>
  <si>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</si>
  <si>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</si>
  <si>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</si>
  <si>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</si>
  <si>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</si>
  <si>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</si>
  <si>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</si>
  <si>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</si>
  <si>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</si>
  <si>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</si>
  <si>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</si>
  <si>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</si>
  <si>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</si>
  <si>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</si>
  <si>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</si>
  <si>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</si>
  <si>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</si>
  <si>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</si>
  <si>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</si>
  <si>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</si>
  <si>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</si>
  <si>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</si>
  <si>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</si>
  <si>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</si>
  <si>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</si>
  <si>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</si>
  <si>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</si>
  <si>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</si>
  <si>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</si>
  <si>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</si>
  <si>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</si>
  <si>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</si>
  <si>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</si>
  <si>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</si>
  <si>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</si>
  <si>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</si>
  <si>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</si>
  <si>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</si>
  <si>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</si>
  <si>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</si>
  <si>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</si>
  <si>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</si>
  <si>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</si>
  <si>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</si>
  <si>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</si>
  <si>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</si>
  <si>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</si>
  <si>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</si>
  <si>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</si>
  <si>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</si>
  <si>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</si>
  <si>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</si>
  <si>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</si>
  <si>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</si>
  <si>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</si>
  <si>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</si>
  <si>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</si>
  <si>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</si>
  <si>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</si>
  <si>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</si>
  <si>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</si>
  <si>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</si>
  <si>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</si>
  <si>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</si>
  <si>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</si>
  <si>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</si>
  <si>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</si>
  <si>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</si>
  <si>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</si>
  <si>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</si>
  <si>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</si>
  <si>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</si>
  <si>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</si>
  <si>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</si>
  <si>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</si>
  <si>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</si>
  <si>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</si>
  <si>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</si>
  <si>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</si>
  <si>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</si>
  <si>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</si>
  <si>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</si>
  <si>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</si>
  <si>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</si>
  <si>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</si>
  <si>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</si>
  <si>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</si>
  <si>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</si>
  <si>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</si>
  <si>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</si>
  <si>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</si>
  <si>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</si>
  <si>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</si>
  <si>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</si>
  <si>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</si>
  <si>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</si>
  <si>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</si>
  <si>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</si>
  <si>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</si>
  <si>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</si>
  <si>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</si>
  <si>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</si>
  <si>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</si>
  <si>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</si>
  <si>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</si>
  <si>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</si>
  <si>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</si>
  <si>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</si>
  <si>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</si>
  <si>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</si>
  <si>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</si>
  <si>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</si>
  <si>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</si>
  <si>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</si>
  <si>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</si>
  <si>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</si>
  <si>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</si>
  <si>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</si>
  <si>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</si>
  <si>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</si>
  <si>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</si>
  <si>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</si>
  <si>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</si>
  <si>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</si>
  <si>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</si>
  <si>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</si>
  <si>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</si>
  <si>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</si>
  <si>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</si>
  <si>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</si>
  <si>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</si>
  <si>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</si>
  <si>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</si>
  <si>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</si>
  <si>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</si>
  <si>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</si>
  <si>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</si>
  <si>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</si>
  <si>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</si>
  <si>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</si>
  <si>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</si>
  <si>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</si>
  <si>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</si>
  <si>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</si>
  <si>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</si>
  <si>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</si>
  <si>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</si>
  <si>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</si>
  <si>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</si>
  <si>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</si>
  <si>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</si>
  <si>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</si>
  <si>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</si>
  <si>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</si>
  <si>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</si>
  <si>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</si>
  <si>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</si>
  <si>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</si>
  <si>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</si>
  <si>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</si>
  <si>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</si>
  <si>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</si>
  <si>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</si>
  <si>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</si>
  <si>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</si>
  <si>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</si>
  <si>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</si>
  <si>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</si>
  <si>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</si>
  <si>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</si>
  <si>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</si>
  <si>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</si>
  <si>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</si>
  <si>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</si>
  <si>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</si>
  <si>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</si>
  <si>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</si>
  <si>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</si>
  <si>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</si>
  <si>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</si>
  <si>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</si>
  <si>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</si>
  <si>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</si>
  <si>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</si>
  <si>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</si>
  <si>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</si>
  <si>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</si>
  <si>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</si>
  <si>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</si>
  <si>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</si>
  <si>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</si>
  <si>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</si>
  <si>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</si>
  <si>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</si>
  <si>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</si>
  <si>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</si>
  <si>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</si>
  <si>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</si>
  <si>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</si>
  <si>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</si>
  <si>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</si>
  <si>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</si>
  <si>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</si>
  <si>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</si>
  <si>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</si>
  <si>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</si>
  <si>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</si>
  <si>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</si>
  <si>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</si>
  <si>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</si>
  <si>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</si>
  <si>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</si>
  <si>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</si>
  <si>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</si>
  <si>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</si>
  <si>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</si>
  <si>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</si>
  <si>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</si>
  <si>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</si>
  <si>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</si>
  <si>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</si>
  <si>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</si>
  <si>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</si>
  <si>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</si>
  <si>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</si>
  <si>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</si>
  <si>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</si>
  <si>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</si>
  <si>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</si>
  <si>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</si>
  <si>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</si>
  <si>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</si>
  <si>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</si>
  <si>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</si>
  <si>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</si>
  <si>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</si>
  <si>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</si>
  <si>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</si>
  <si>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</si>
  <si>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</si>
  <si>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</si>
  <si>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</si>
  <si>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</si>
  <si>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</si>
  <si>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</si>
  <si>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</si>
  <si>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</si>
  <si>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</si>
  <si>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</si>
  <si>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</si>
  <si>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</si>
  <si>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</si>
  <si>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</si>
  <si>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</si>
  <si>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</si>
  <si>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</si>
  <si>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</si>
  <si>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</si>
  <si>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</si>
  <si>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</si>
  <si>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</si>
  <si>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</si>
  <si>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</si>
  <si>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</si>
  <si>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</si>
  <si>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</si>
  <si>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</si>
  <si>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</si>
  <si>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</si>
  <si>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</si>
  <si>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</si>
  <si>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</si>
  <si>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</si>
  <si>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</si>
  <si>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</si>
  <si>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</si>
  <si>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</si>
  <si>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</si>
  <si>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</si>
  <si>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</si>
  <si>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</si>
  <si>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</si>
  <si>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</si>
  <si>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</si>
  <si>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</si>
  <si>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</si>
  <si>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</si>
  <si>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</si>
  <si>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</si>
  <si>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</si>
  <si>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</si>
  <si>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</si>
  <si>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</si>
  <si>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</si>
  <si>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</si>
  <si>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</si>
  <si>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</si>
  <si>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</si>
  <si>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</si>
  <si>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</si>
  <si>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</si>
  <si>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</si>
  <si>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</si>
  <si>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</si>
  <si>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</si>
  <si>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</si>
  <si>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</si>
  <si>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</si>
  <si>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</si>
  <si>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</si>
  <si>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</si>
  <si>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</si>
  <si>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</si>
  <si>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</si>
  <si>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</si>
  <si>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</si>
  <si>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</si>
  <si>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</si>
  <si>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</si>
  <si>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</si>
  <si>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</si>
  <si>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</si>
  <si>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</si>
  <si>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</si>
  <si>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</si>
  <si>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</si>
  <si>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</si>
  <si>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</si>
  <si>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</si>
  <si>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</si>
  <si>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</si>
  <si>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</si>
  <si>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</si>
  <si>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</si>
  <si>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</si>
  <si>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</si>
  <si>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</si>
  <si>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</si>
  <si>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</si>
  <si>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</si>
  <si>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</si>
  <si>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</si>
  <si>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</si>
  <si>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</si>
  <si>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</si>
  <si>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</si>
  <si>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</si>
  <si>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</si>
  <si>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</si>
  <si>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</si>
  <si>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</si>
  <si>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</si>
  <si>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</si>
  <si>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</si>
  <si>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</si>
  <si>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</si>
  <si>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</si>
  <si>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</si>
  <si>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</si>
  <si>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</si>
  <si>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</si>
  <si>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</si>
  <si>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</si>
  <si>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</si>
  <si>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</si>
  <si>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</si>
  <si>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</si>
  <si>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</si>
  <si>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</si>
  <si>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</si>
  <si>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</si>
  <si>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</si>
  <si>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</si>
  <si>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</si>
  <si>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</si>
  <si>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</si>
  <si>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</si>
  <si>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</si>
  <si>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</si>
  <si>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</si>
  <si>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</si>
  <si>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</si>
  <si>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</si>
  <si>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</si>
  <si>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</si>
  <si>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</si>
  <si>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</si>
  <si>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</si>
  <si>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</si>
  <si>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</si>
  <si>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</si>
  <si>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</si>
  <si>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</si>
  <si>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</si>
  <si>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</si>
  <si>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</si>
  <si>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</si>
  <si>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</si>
  <si>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</si>
  <si>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</si>
  <si>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</si>
  <si>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</si>
  <si>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</si>
  <si>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</si>
  <si>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</si>
  <si>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</si>
  <si>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</si>
  <si>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</si>
  <si>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</si>
  <si>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</si>
  <si>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</si>
  <si>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</si>
  <si>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</si>
  <si>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</si>
  <si>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</si>
  <si>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</si>
  <si>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</si>
  <si>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</si>
  <si>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</si>
  <si>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</si>
  <si>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</si>
  <si>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</si>
  <si>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</si>
  <si>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</si>
  <si>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</si>
  <si>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</si>
  <si>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</si>
  <si>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</si>
  <si>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</si>
  <si>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</si>
  <si>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</si>
  <si>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</si>
  <si>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</si>
  <si>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</si>
  <si>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</si>
  <si>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</si>
  <si>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</si>
  <si>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</si>
  <si>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</si>
  <si>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</si>
  <si>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</si>
  <si>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</si>
  <si>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</si>
  <si>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</si>
  <si>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</si>
  <si>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</si>
  <si>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</si>
  <si>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</si>
  <si>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</si>
  <si>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</si>
  <si>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</si>
  <si>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</si>
  <si>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</si>
  <si>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</si>
  <si>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</si>
  <si>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</si>
  <si>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</si>
  <si>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</si>
  <si>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</si>
  <si>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</si>
  <si>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</si>
  <si>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</si>
  <si>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</si>
  <si>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</si>
  <si>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</si>
  <si>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</si>
  <si>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</si>
  <si>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</si>
  <si>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</si>
  <si>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</si>
  <si>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</si>
  <si>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</si>
  <si>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</si>
  <si>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</si>
  <si>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</si>
  <si>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</si>
  <si>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</si>
  <si>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</si>
  <si>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</si>
  <si>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</si>
  <si>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</si>
  <si>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</si>
  <si>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</si>
  <si>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</si>
  <si>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</si>
  <si>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</si>
  <si>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</si>
  <si>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</si>
  <si>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</si>
  <si>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</si>
  <si>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</si>
  <si>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</si>
  <si>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</si>
  <si>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</si>
  <si>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</si>
  <si>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</si>
  <si>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</si>
  <si>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</si>
  <si>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</si>
  <si>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</si>
  <si>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</si>
  <si>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</si>
  <si>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</si>
  <si>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</si>
  <si>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</si>
  <si>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</si>
  <si>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</si>
  <si>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</si>
  <si>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</si>
  <si>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</si>
  <si>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</si>
  <si>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</si>
  <si>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</si>
  <si>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</si>
  <si>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</si>
  <si>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</si>
  <si>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</si>
  <si>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</si>
  <si>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</si>
  <si>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</si>
  <si>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</si>
  <si>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</si>
  <si>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</si>
  <si>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</si>
  <si>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</si>
  <si>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</si>
  <si>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</si>
  <si>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</si>
  <si>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</si>
  <si>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</si>
  <si>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</si>
  <si>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</si>
  <si>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</si>
  <si>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</si>
  <si>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</si>
  <si>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</si>
  <si>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</si>
  <si>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</si>
  <si>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</si>
  <si>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</si>
  <si>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</si>
  <si>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</si>
  <si>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</si>
  <si>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</si>
  <si>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</si>
  <si>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</si>
  <si>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</si>
  <si>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</si>
  <si>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</si>
  <si>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</si>
  <si>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</si>
  <si>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</si>
  <si>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</si>
  <si>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</si>
  <si>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</si>
  <si>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</si>
  <si>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</si>
  <si>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</si>
  <si>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</si>
  <si>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</si>
  <si>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</si>
  <si>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</si>
  <si>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</si>
  <si>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</si>
  <si>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</si>
  <si>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</si>
  <si>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</si>
  <si>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</si>
  <si>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</si>
  <si>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</si>
  <si>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</si>
  <si>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</si>
  <si>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</si>
  <si>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</si>
  <si>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</si>
  <si>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</si>
  <si>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</si>
  <si>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</si>
  <si>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</si>
  <si>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</si>
  <si>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</si>
  <si>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</si>
  <si>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</si>
  <si>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</si>
  <si>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</si>
  <si>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</si>
  <si>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</si>
  <si>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</si>
  <si>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</si>
  <si>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</si>
  <si>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</si>
  <si>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</si>
  <si>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</si>
  <si>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</si>
  <si>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</si>
  <si>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</si>
  <si>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</si>
  <si>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</si>
  <si>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</si>
  <si>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</si>
  <si>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</si>
  <si>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</si>
  <si>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</si>
  <si>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</si>
  <si>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</si>
  <si>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</si>
  <si>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</si>
  <si>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</si>
  <si>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</si>
  <si>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</si>
  <si>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</si>
  <si>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</si>
  <si>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</si>
  <si>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</si>
  <si>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</si>
  <si>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</si>
  <si>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</si>
  <si>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</si>
  <si>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</si>
  <si>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</si>
  <si>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</si>
  <si>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</si>
  <si>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</si>
  <si>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</si>
  <si>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</si>
  <si>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</si>
  <si>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</si>
  <si>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</si>
  <si>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</si>
  <si>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</si>
  <si>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</si>
  <si>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</si>
  <si>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</si>
  <si>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</si>
  <si>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</si>
  <si>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</si>
  <si>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</si>
  <si>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</si>
  <si>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</si>
  <si>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</si>
  <si>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</si>
  <si>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</si>
  <si>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</si>
  <si>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</si>
  <si>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</si>
  <si>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</si>
  <si>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</si>
  <si>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</si>
  <si>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</si>
  <si>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</si>
  <si>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</si>
  <si>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</si>
  <si>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</si>
  <si>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</si>
  <si>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</si>
  <si>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</si>
  <si>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</si>
  <si>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</si>
  <si>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</si>
  <si>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</si>
  <si>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</si>
  <si>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</si>
  <si>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</si>
  <si>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</si>
  <si>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</si>
  <si>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</si>
  <si>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</si>
  <si>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</si>
  <si>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</si>
  <si>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</si>
  <si>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</si>
  <si>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</si>
  <si>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</si>
  <si>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</si>
  <si>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</si>
  <si>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</si>
  <si>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</si>
  <si>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</si>
  <si>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</si>
  <si>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</si>
  <si>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</si>
  <si>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</si>
  <si>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</si>
  <si>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</si>
  <si>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</si>
  <si>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</si>
  <si>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</si>
  <si>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</si>
  <si>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</si>
  <si>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</si>
  <si>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</si>
  <si>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</si>
  <si>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</si>
  <si>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</si>
  <si>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</si>
  <si>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</si>
  <si>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</si>
  <si>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</si>
  <si>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</si>
  <si>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</si>
  <si>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</si>
  <si>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</si>
  <si>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</si>
  <si>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</si>
  <si>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</si>
  <si>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</si>
  <si>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</si>
  <si>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</si>
  <si>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</si>
  <si>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</si>
  <si>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</si>
  <si>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</si>
  <si>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</si>
  <si>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</si>
  <si>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</si>
  <si>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</si>
  <si>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</si>
  <si>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</si>
  <si>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</si>
  <si>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</si>
  <si>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</si>
  <si>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</si>
  <si>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</si>
  <si>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</si>
  <si>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</si>
  <si>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</si>
  <si>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</si>
  <si>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</si>
  <si>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</si>
  <si>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</si>
  <si>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</si>
  <si>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</si>
  <si>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</si>
  <si>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</si>
  <si>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</si>
  <si>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</si>
  <si>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</si>
  <si>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</si>
  <si>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</si>
  <si>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</si>
  <si>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</si>
  <si>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</si>
  <si>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</si>
  <si>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</si>
  <si>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</si>
  <si>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</si>
  <si>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</si>
  <si>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</si>
  <si>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</si>
  <si>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</si>
  <si>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</si>
  <si>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</si>
  <si>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</si>
  <si>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</si>
  <si>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</si>
  <si>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</si>
  <si>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</si>
  <si>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</si>
  <si>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</si>
  <si>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</si>
  <si>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</si>
  <si>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</si>
  <si>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</si>
  <si>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</si>
  <si>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</si>
  <si>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</si>
  <si>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</si>
  <si>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</si>
  <si>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</si>
  <si>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</si>
  <si>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</si>
  <si>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</si>
  <si>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</si>
  <si>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</si>
  <si>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</si>
  <si>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</si>
  <si>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</si>
  <si>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</si>
  <si>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</si>
  <si>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</si>
  <si>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</si>
  <si>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</si>
  <si>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</si>
  <si>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</si>
  <si>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</si>
  <si>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</si>
  <si>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</si>
  <si>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</si>
  <si>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</si>
  <si>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</si>
  <si>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</si>
  <si>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</si>
  <si>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</si>
  <si>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</si>
  <si>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</si>
  <si>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</si>
  <si>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</si>
  <si>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</si>
  <si>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</si>
  <si>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</si>
  <si>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</si>
  <si>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</si>
  <si>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</si>
  <si>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</si>
  <si>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</si>
  <si>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</si>
  <si>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</si>
  <si>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</si>
  <si>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</si>
  <si>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</si>
  <si>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</si>
  <si>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</si>
  <si>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</si>
  <si>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</si>
  <si>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</si>
  <si>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</si>
  <si>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</si>
  <si>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</si>
  <si>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</si>
  <si>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</si>
  <si>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</si>
  <si>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</si>
  <si>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</si>
  <si>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</si>
  <si>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</si>
  <si>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</si>
  <si>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</si>
  <si>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</si>
  <si>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</si>
  <si>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</si>
  <si>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</si>
  <si>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</si>
  <si>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</si>
  <si>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</si>
  <si>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</si>
  <si>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</si>
  <si>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</si>
  <si>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</si>
  <si>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</si>
  <si>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</si>
  <si>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</si>
  <si>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</si>
  <si>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</si>
  <si>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</si>
  <si>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</si>
  <si>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</si>
  <si>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</si>
  <si>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</si>
  <si>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</si>
  <si>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</si>
  <si>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</si>
  <si>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</si>
  <si>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</si>
  <si>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</si>
  <si>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</si>
  <si>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</si>
  <si>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</si>
  <si>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</si>
  <si>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</si>
  <si>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</si>
  <si>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</si>
  <si>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</si>
  <si>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</si>
  <si>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</si>
  <si>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</si>
  <si>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</si>
  <si>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</si>
  <si>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</si>
  <si>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</si>
  <si>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</si>
  <si>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</si>
  <si>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</si>
  <si>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</si>
  <si>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</si>
  <si>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</si>
  <si>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</si>
  <si>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</si>
  <si>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</si>
  <si>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</si>
  <si>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</si>
  <si>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</si>
  <si>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</si>
  <si>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</si>
  <si>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</si>
  <si>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</si>
  <si>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</si>
  <si>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</si>
  <si>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</si>
  <si>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</si>
  <si>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</si>
  <si>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</si>
  <si>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</si>
  <si>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</si>
  <si>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</si>
  <si>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</si>
  <si>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</si>
  <si>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</si>
  <si>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</si>
  <si>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</si>
  <si>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</si>
  <si>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</si>
  <si>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</si>
  <si>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</si>
  <si>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</si>
  <si>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</si>
  <si>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</si>
  <si>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</si>
  <si>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</si>
  <si>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</si>
  <si>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</si>
  <si>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</si>
  <si>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</si>
  <si>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</si>
  <si>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</si>
  <si>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</si>
  <si>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</si>
  <si>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</si>
  <si>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</si>
  <si>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</si>
  <si>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</si>
  <si>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</si>
  <si>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</si>
  <si>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</si>
  <si>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</si>
  <si>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</si>
  <si>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</si>
  <si>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</si>
  <si>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</si>
  <si>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</si>
  <si>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</si>
  <si>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</si>
  <si>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</si>
  <si>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</si>
  <si>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</si>
  <si>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</si>
  <si>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</si>
  <si>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</si>
  <si>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</si>
  <si>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</si>
  <si>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</si>
  <si>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</si>
  <si>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</si>
  <si>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</si>
  <si>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</si>
  <si>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</si>
  <si>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</si>
  <si>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</si>
  <si>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</si>
  <si>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</si>
  <si>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</si>
  <si>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</si>
  <si>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</si>
  <si>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</si>
  <si>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</si>
  <si>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</si>
  <si>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</si>
  <si>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</si>
  <si>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</si>
  <si>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</si>
  <si>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</si>
  <si>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</si>
  <si>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</si>
  <si>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</si>
  <si>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</si>
  <si>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</si>
  <si>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</si>
  <si>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</si>
  <si>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</si>
  <si>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</si>
  <si>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</si>
  <si>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</si>
  <si>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</si>
  <si>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</si>
  <si>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</si>
  <si>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</si>
  <si>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</si>
  <si>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</si>
  <si>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</si>
  <si>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</si>
  <si>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</si>
  <si>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</si>
  <si>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</si>
  <si>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</si>
  <si>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</si>
  <si>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</si>
  <si>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</si>
  <si>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</si>
  <si>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</si>
  <si>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</si>
  <si>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</si>
  <si>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</si>
  <si>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</si>
  <si>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</si>
  <si>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</si>
  <si>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</si>
  <si>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</si>
  <si>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</si>
  <si>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</si>
  <si>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</si>
  <si>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</si>
  <si>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</si>
  <si>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</si>
  <si>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</si>
  <si>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</si>
  <si>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</si>
  <si>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</si>
  <si>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</si>
  <si>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</si>
  <si>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</si>
  <si>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</si>
  <si>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</si>
  <si>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</si>
  <si>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</si>
  <si>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</si>
  <si>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</si>
  <si>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</si>
  <si>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</si>
  <si>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</si>
  <si>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</si>
  <si>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</si>
  <si>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</si>
  <si>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</si>
  <si>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</si>
  <si>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</si>
  <si>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</si>
  <si>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</si>
  <si>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</si>
  <si>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</si>
  <si>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</si>
  <si>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</si>
  <si>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</si>
  <si>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</si>
  <si>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</si>
  <si>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</si>
  <si>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</si>
  <si>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</si>
  <si>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</si>
  <si>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</si>
  <si>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</si>
  <si>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</si>
  <si>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</si>
  <si>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</si>
  <si>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</si>
  <si>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</si>
  <si>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</si>
  <si>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</si>
  <si>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</si>
  <si>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</si>
  <si>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</si>
  <si>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</si>
  <si>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</si>
  <si>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</si>
  <si>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</si>
  <si>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</si>
  <si>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</si>
  <si>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</si>
  <si>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</si>
  <si>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</si>
  <si>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</si>
  <si>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</si>
  <si>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</si>
  <si>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</si>
  <si>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</si>
  <si>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</si>
  <si>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</si>
  <si>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</si>
  <si>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</si>
  <si>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</si>
  <si>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</si>
  <si>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</si>
  <si>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</si>
  <si>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</si>
  <si>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</si>
  <si>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</si>
  <si>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</si>
  <si>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</si>
  <si>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</si>
  <si>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</si>
  <si>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</si>
  <si>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</si>
  <si>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</si>
  <si>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</si>
  <si>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</si>
  <si>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</si>
  <si>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</si>
  <si>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</si>
  <si>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</si>
  <si>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</si>
  <si>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</si>
  <si>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</si>
  <si>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Hollywood Arts Collective LP</t>
  </si>
  <si>
    <t>Hollywood Arts Collective</t>
  </si>
  <si>
    <t>Rich Llewellyn</t>
  </si>
  <si>
    <t>City Administrative Officer</t>
  </si>
  <si>
    <t>200 N. Main Street, Room 150</t>
  </si>
  <si>
    <t>(213) 473-7500</t>
  </si>
  <si>
    <t>(213) 473-7540</t>
  </si>
  <si>
    <t>CDLAC-TCAC Joint Application (submitting concurrently)</t>
  </si>
  <si>
    <t xml:space="preserve">1637 Wilcox Ave. </t>
  </si>
  <si>
    <t>5547-016-907; 5547-016-908; 5547-016-909</t>
  </si>
  <si>
    <t xml:space="preserve">11811 San Vicente Blvd. </t>
  </si>
  <si>
    <t>CA</t>
  </si>
  <si>
    <t>Jordan Pynes</t>
  </si>
  <si>
    <t>(310) 820-4888</t>
  </si>
  <si>
    <t>jordan@tsahousing.com</t>
  </si>
  <si>
    <t>Hollywood Arts Collective LLC</t>
  </si>
  <si>
    <t>Administrative GP</t>
  </si>
  <si>
    <t xml:space="preserve">Thomas Safran &amp; Associates Development, Inc. </t>
  </si>
  <si>
    <t>Actors Fund</t>
  </si>
  <si>
    <t>Managing GP</t>
  </si>
  <si>
    <t>5757 Wilshire Blvd, Suite 400</t>
  </si>
  <si>
    <t xml:space="preserve">Los Angeles </t>
  </si>
  <si>
    <t>Keith McNutt</t>
  </si>
  <si>
    <t>(323) 330-2414</t>
  </si>
  <si>
    <t>kmcnutt@actorsfund.org</t>
  </si>
  <si>
    <t>Courtney DeBeikes</t>
  </si>
  <si>
    <t>(424) 372-9800</t>
  </si>
  <si>
    <t>courtney@tsahousing.com</t>
  </si>
  <si>
    <t xml:space="preserve">Thomas Safran &amp; Associates Development, Inc.  </t>
  </si>
  <si>
    <t>Los Angeles, CA 90049</t>
  </si>
  <si>
    <t>Tyler Monroe</t>
  </si>
  <si>
    <t>(310) 207-6986</t>
  </si>
  <si>
    <t>tyler@tsahousing.com</t>
  </si>
  <si>
    <t>2251 West 190th Street</t>
  </si>
  <si>
    <t>Torrance, CA 90504</t>
  </si>
  <si>
    <t>Jim Williams</t>
  </si>
  <si>
    <t>(424) 266-6869</t>
  </si>
  <si>
    <t>(310) 217-0425</t>
  </si>
  <si>
    <t>jwilliams@witheemalcolm.com</t>
  </si>
  <si>
    <t>Withee Malcolm Architects, LLP</t>
  </si>
  <si>
    <t xml:space="preserve">Partner Energy </t>
  </si>
  <si>
    <t>680 Knox St., Suite 150</t>
  </si>
  <si>
    <t>Los Angeles, CA 90502</t>
  </si>
  <si>
    <t>Greg Switzer</t>
  </si>
  <si>
    <t>(310) 220-6199</t>
  </si>
  <si>
    <t>(310) 862-2399</t>
  </si>
  <si>
    <t>gswitzer@ptrenergy.com</t>
  </si>
  <si>
    <t>Novogradac &amp; Company LLP</t>
  </si>
  <si>
    <t>211 East Ocean Blvd. Suite 600</t>
  </si>
  <si>
    <t>Long Beach, CA 90802</t>
  </si>
  <si>
    <t>Craig Staswick</t>
  </si>
  <si>
    <t>(562) 256-3555</t>
  </si>
  <si>
    <t>Craig.Staswick@novoco.com</t>
  </si>
  <si>
    <t>TBD</t>
  </si>
  <si>
    <t>1300 114th Ave, Suite 240</t>
  </si>
  <si>
    <t>Bellevue, WA 98004</t>
  </si>
  <si>
    <t>Thomas Stagg</t>
  </si>
  <si>
    <t>(425) 453-5783</t>
  </si>
  <si>
    <t>Thomas.Stagg@novoco.com</t>
  </si>
  <si>
    <t>City of LA (HCIDLA)</t>
  </si>
  <si>
    <t>1200 W 7th Street</t>
  </si>
  <si>
    <t>Los Angeles, CA 90017</t>
  </si>
  <si>
    <t>Cecilia Rosales</t>
  </si>
  <si>
    <t>(213) 808-8981</t>
  </si>
  <si>
    <t>cecilia.rosales@lacity.org</t>
  </si>
  <si>
    <t>Thomas Safran &amp; Associates, Inc.</t>
  </si>
  <si>
    <t>Rushmore Cervantes</t>
  </si>
  <si>
    <t>Sean Spear</t>
  </si>
  <si>
    <t>General Manager, HCIDLA</t>
  </si>
  <si>
    <t>Asst. Gen. Mgr., HCIDLA</t>
  </si>
  <si>
    <t>1200 W 7th Street, Suite 900</t>
  </si>
  <si>
    <t>Construction Close</t>
  </si>
  <si>
    <t>(213) 275-3493</t>
  </si>
  <si>
    <t>Inner City Infill Site</t>
  </si>
  <si>
    <t>Regional Center Commericial</t>
  </si>
  <si>
    <t>C4-2D/ C4-2D-SN</t>
  </si>
  <si>
    <t>TOC Tier 3</t>
  </si>
  <si>
    <t>HCIDLA - HOME</t>
  </si>
  <si>
    <t>HCD - AHSC</t>
  </si>
  <si>
    <t>Construction Loan</t>
  </si>
  <si>
    <t>HCID - HOME</t>
  </si>
  <si>
    <t>Deferred Interest on Soft Loans</t>
  </si>
  <si>
    <t>Deferred Developer Fee</t>
  </si>
  <si>
    <t>LP Equity</t>
  </si>
  <si>
    <t>Equity Bridge Loan</t>
  </si>
  <si>
    <t>333 S Grand Ave, 9th Floor</t>
  </si>
  <si>
    <t>Christian Von Merkatz</t>
  </si>
  <si>
    <t>(213) 253-7275</t>
  </si>
  <si>
    <t>LIBOR + 2.15%</t>
  </si>
  <si>
    <t>1200 West 7th Street, 8th Floor</t>
  </si>
  <si>
    <t>Timothy Elliott</t>
  </si>
  <si>
    <t>(213) 808-8596</t>
  </si>
  <si>
    <t>Residual Receipts</t>
  </si>
  <si>
    <t>600 California Street, 3rd Floor</t>
  </si>
  <si>
    <t>San Francisco, California 94108</t>
  </si>
  <si>
    <t>Eric Circourel</t>
  </si>
  <si>
    <t>(415) 616-2542</t>
  </si>
  <si>
    <t>HCID - Ground Lease</t>
  </si>
  <si>
    <t>2020 West El Camino Ave</t>
  </si>
  <si>
    <t xml:space="preserve">Sacramento </t>
  </si>
  <si>
    <t>Brian Ridgway</t>
  </si>
  <si>
    <t>(916) 263-6543</t>
  </si>
  <si>
    <t>Electricity Air Conditioning</t>
  </si>
  <si>
    <t>Housing Authority of the City of Los Angeles</t>
  </si>
  <si>
    <t>Telephone, Internet, Office Supplies</t>
  </si>
  <si>
    <t>Misc Costs (Special, Tax Assessments)</t>
  </si>
  <si>
    <t>AHSC</t>
  </si>
  <si>
    <t>HOME</t>
  </si>
  <si>
    <t>Other: Pre Construction Services, DAS Fire Antenna System</t>
  </si>
  <si>
    <t>Other: Deferred Soft Loan Interest</t>
  </si>
  <si>
    <t>Other: Transactional Legal Fees</t>
  </si>
  <si>
    <t>Other: Consulting</t>
  </si>
  <si>
    <t>Other: Soils &amp; ALTA Survey</t>
  </si>
  <si>
    <t>Other: Deputy Inspections</t>
  </si>
  <si>
    <t>AHSC Loan</t>
  </si>
  <si>
    <t xml:space="preserve">Prior and Associates </t>
  </si>
  <si>
    <t>Thad Rahn</t>
  </si>
  <si>
    <t>303-861-2728</t>
  </si>
  <si>
    <t>501 S. Cherry Street Ste 600</t>
  </si>
  <si>
    <t>Denver, CO 80246</t>
  </si>
  <si>
    <t>trahn@priorassociates.com</t>
  </si>
  <si>
    <t>Fixed</t>
  </si>
  <si>
    <t>Developer</t>
  </si>
  <si>
    <t>HCIDLA</t>
  </si>
  <si>
    <t>Roughly 8,200 of non-residential space dedicated to supportive and community services</t>
  </si>
  <si>
    <t>0.5/unit plus 30% reduction for non-residential</t>
  </si>
  <si>
    <t>77 feet and 7 stories</t>
  </si>
  <si>
    <t>Laura Orellana</t>
  </si>
  <si>
    <t>818-844-4953</t>
  </si>
  <si>
    <t>100 W. Broadway, Suite 100</t>
  </si>
  <si>
    <t>Glendale. CA</t>
  </si>
  <si>
    <t>Permanent Debt</t>
  </si>
  <si>
    <t>Wells Fargo- Construction Loan</t>
  </si>
  <si>
    <t>CCRC- Perm Loan</t>
  </si>
  <si>
    <t>Deferred Reserves</t>
  </si>
  <si>
    <t>40%/60% Average Income</t>
  </si>
  <si>
    <t>LIHTC Equity</t>
  </si>
  <si>
    <t>Deferred Costs</t>
  </si>
  <si>
    <t>Bridge Loan</t>
  </si>
  <si>
    <t>Deferred Interest</t>
  </si>
  <si>
    <t>HCID HOME Loan</t>
  </si>
  <si>
    <t>Other (Ground Lease)</t>
  </si>
  <si>
    <t>Actors Fund Operating Subsidy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</si>
</sst>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3" fontId="11" fillId="47" borderId="0" xfId="0" applyNumberFormat="1" applyFont="1" applyFill="1"/>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7" zoomScaleNormal="100" zoomScaleSheetLayoutView="100" workbookViewId="0">
      <selection activeCell="E31" sqref="E31:AK3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596</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1431</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1439</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1432</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1597</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1440</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1441</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1506</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1426</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1131</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1438</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706</v>
      </c>
      <c r="F40" s="962" t="s">
        <v>1399</v>
      </c>
    </row>
    <row r="41" spans="1:38" s="962"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1529</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1442</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2" t="s">
        <v>1531</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2" t="s">
        <v>1401</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555</v>
      </c>
      <c r="G67" s="962" t="s">
        <v>1402</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2" t="s">
        <v>1403</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555</v>
      </c>
      <c r="G72" s="962" t="s">
        <v>1404</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1405</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1406</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1407</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1408</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1409</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1410</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2" t="s">
        <v>1411</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2" t="s">
        <v>1386</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1504</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1503</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1493</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1561</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1009</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v>
      </c>
      <c r="C4" s="682">
        <f>Application!K709</f>
        <v>518</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3</v>
      </c>
      <c r="C5" s="682">
        <f>Application!K710</f>
        <v>701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4</v>
      </c>
      <c r="C6" s="682">
        <f>Application!K711</f>
        <v>883</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7</v>
      </c>
      <c r="C7" s="682">
        <f>Application!K712</f>
        <v>1066</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3</v>
      </c>
      <c r="C8" s="682">
        <f>Application!K713</f>
        <v>548</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13</v>
      </c>
      <c r="C9" s="682">
        <f>Application!K714</f>
        <v>744</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13</v>
      </c>
      <c r="C10" s="682">
        <f>Application!K715</f>
        <v>940</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25</v>
      </c>
      <c r="C11" s="682">
        <f>Application!K716</f>
        <v>1136</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16</v>
      </c>
      <c r="C12" s="682">
        <f>Application!K717</f>
        <v>1528</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3</v>
      </c>
      <c r="C13" s="682">
        <f>Application!K718</f>
        <v>655</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6</v>
      </c>
      <c r="C14" s="682">
        <f>Application!K719</f>
        <v>890</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6</v>
      </c>
      <c r="C15" s="682">
        <f>Application!K720</f>
        <v>1125</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14</v>
      </c>
      <c r="C16" s="682">
        <f>Application!K721</f>
        <v>1360</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10</v>
      </c>
      <c r="C17" s="682">
        <f>Application!K722</f>
        <v>1830</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2</v>
      </c>
      <c r="C18" s="682">
        <f>Application!K723</f>
        <v>752</v>
      </c>
      <c r="D18" s="683"/>
      <c r="E18" s="493"/>
      <c r="F18" s="684">
        <f t="shared" si="0"/>
        <v>0</v>
      </c>
      <c r="G18" s="685"/>
      <c r="H18" s="682" t="str">
        <f t="shared" si="1"/>
        <v xml:space="preserve"> </v>
      </c>
      <c r="I18" s="684" t="str">
        <f t="shared" si="2"/>
        <v xml:space="preserve"> </v>
      </c>
      <c r="J18" s="335"/>
      <c r="K18" s="490"/>
    </row>
    <row r="19" spans="1:11">
      <c r="A19" s="682" t="str">
        <f>Application!B724</f>
        <v>3 Bedrooms</v>
      </c>
      <c r="B19" s="691">
        <f>Application!G724</f>
        <v>4</v>
      </c>
      <c r="C19" s="682">
        <f>Application!K724</f>
        <v>1024</v>
      </c>
      <c r="D19" s="683"/>
      <c r="E19" s="493"/>
      <c r="F19" s="684">
        <f t="shared" si="0"/>
        <v>0</v>
      </c>
      <c r="G19" s="685"/>
      <c r="H19" s="682" t="str">
        <f t="shared" si="1"/>
        <v xml:space="preserve"> </v>
      </c>
      <c r="I19" s="684" t="str">
        <f t="shared" si="2"/>
        <v xml:space="preserve"> </v>
      </c>
      <c r="J19" s="335"/>
      <c r="K19" s="490"/>
    </row>
    <row r="20" spans="1:11">
      <c r="A20" s="682" t="str">
        <f>Application!B725</f>
        <v>3 Bedrooms</v>
      </c>
      <c r="B20" s="691">
        <f>Application!G725</f>
        <v>3</v>
      </c>
      <c r="C20" s="682">
        <f>Application!K725</f>
        <v>1295</v>
      </c>
      <c r="D20" s="683"/>
      <c r="E20" s="493"/>
      <c r="F20" s="684">
        <f t="shared" si="0"/>
        <v>0</v>
      </c>
      <c r="G20" s="685"/>
      <c r="H20" s="682" t="str">
        <f t="shared" si="1"/>
        <v xml:space="preserve"> </v>
      </c>
      <c r="I20" s="684" t="str">
        <f t="shared" si="2"/>
        <v xml:space="preserve"> </v>
      </c>
      <c r="J20" s="335"/>
      <c r="K20" s="490"/>
    </row>
    <row r="21" spans="1:11">
      <c r="A21" s="682" t="str">
        <f>Application!B726</f>
        <v>3 Bedrooms</v>
      </c>
      <c r="B21" s="691">
        <f>Application!G726</f>
        <v>7</v>
      </c>
      <c r="C21" s="682">
        <f>Application!K726</f>
        <v>1567</v>
      </c>
      <c r="D21" s="683"/>
      <c r="E21" s="493"/>
      <c r="F21" s="684">
        <f t="shared" si="0"/>
        <v>0</v>
      </c>
      <c r="G21" s="685"/>
      <c r="H21" s="682" t="str">
        <f t="shared" si="1"/>
        <v xml:space="preserve"> </v>
      </c>
      <c r="I21" s="684" t="str">
        <f t="shared" si="2"/>
        <v xml:space="preserve"> </v>
      </c>
      <c r="J21" s="335"/>
      <c r="K21" s="490"/>
    </row>
    <row r="22" spans="1:11">
      <c r="A22" s="682" t="str">
        <f>Application!B727</f>
        <v>3 Bedrooms</v>
      </c>
      <c r="B22" s="691">
        <f>Application!G727</f>
        <v>6</v>
      </c>
      <c r="C22" s="682">
        <f>Application!K727</f>
        <v>2110</v>
      </c>
      <c r="D22" s="683"/>
      <c r="E22" s="493"/>
      <c r="F22" s="684">
        <f t="shared" si="0"/>
        <v>0</v>
      </c>
      <c r="G22" s="685"/>
      <c r="H22" s="682" t="str">
        <f t="shared" si="1"/>
        <v xml:space="preserve"> </v>
      </c>
      <c r="I22" s="684" t="str">
        <f t="shared" si="2"/>
        <v xml:space="preserve"> </v>
      </c>
      <c r="J22" s="335"/>
      <c r="K22" s="490"/>
    </row>
    <row r="23" spans="1:11">
      <c r="A23" s="682" t="str">
        <f>Application!B728</f>
        <v>SRO/Studio</v>
      </c>
      <c r="B23" s="691">
        <f>Application!G728</f>
        <v>5</v>
      </c>
      <c r="C23" s="682">
        <f>Application!K728</f>
        <v>1432</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181668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8"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100000</v>
      </c>
      <c r="C6" s="438">
        <f>'Sources and Uses Budget'!$C5</f>
        <v>100000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100001</v>
      </c>
      <c r="C9" s="442">
        <f>SUM(C5:C8)</f>
        <v>100001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200000</v>
      </c>
      <c r="C11" s="438">
        <f>'Sources and Uses Budget'!$C10</f>
        <v>200000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200000</v>
      </c>
      <c r="C12" s="442">
        <f>SUM(C10:C11)</f>
        <v>200000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300001</v>
      </c>
      <c r="C13" s="442">
        <f>SUM(C9+C12)</f>
        <v>300001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3762900</v>
      </c>
      <c r="C29" s="438">
        <f>'Sources and Uses Budget'!$C28</f>
        <v>3762900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49578520</v>
      </c>
      <c r="C30" s="438">
        <f>'Sources and Uses Budget'!$C29</f>
        <v>49578520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3239503</v>
      </c>
      <c r="C31" s="438">
        <f>'Sources and Uses Budget'!$C30</f>
        <v>3239503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2159669</v>
      </c>
      <c r="C32" s="438">
        <f>'Sources and Uses Budget'!$C31</f>
        <v>2159669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600308</v>
      </c>
      <c r="C34" s="438">
        <f>'Sources and Uses Budget'!$C33</f>
        <v>600308</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539917</v>
      </c>
      <c r="C35" s="438">
        <f>'Sources and Uses Budget'!$C34</f>
        <v>539917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150000</v>
      </c>
      <c r="C36" s="438">
        <f>'Sources and Uses Budget'!$C35</f>
        <v>150000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60030817</v>
      </c>
      <c r="C37" s="442">
        <f>SUM(C29:C36)</f>
        <v>60030817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1450000</v>
      </c>
      <c r="C39" s="438">
        <f>'Sources and Uses Budget'!$C38</f>
        <v>1450000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1550000</v>
      </c>
      <c r="C41" s="442">
        <f>SUM(C39:C40)</f>
        <v>1550000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1168800</v>
      </c>
      <c r="C42" s="438">
        <f>'Sources and Uses Budget'!$C41</f>
        <v>1168800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3717444</v>
      </c>
      <c r="C44" s="438">
        <f>'Sources and Uses Budget'!$C43</f>
        <v>3717444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358750</v>
      </c>
      <c r="C45" s="438">
        <f>'Sources and Uses Budget'!$C44</f>
        <v>358750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539917</v>
      </c>
      <c r="C47" s="438">
        <f>'Sources and Uses Budget'!$C46</f>
        <v>539917</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298249</v>
      </c>
      <c r="C48" s="438">
        <f>'Sources and Uses Budget'!$C47</f>
        <v>298249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150000</v>
      </c>
      <c r="C49" s="438">
        <f>'Sources and Uses Budget'!$C48</f>
        <v>150000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400000</v>
      </c>
      <c r="C51" s="438">
        <f>'Sources and Uses Budget'!$C50</f>
        <v>400000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351028</v>
      </c>
      <c r="C52" s="438">
        <f>'Sources and Uses Budget'!$C51</f>
        <v>351028</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5830388</v>
      </c>
      <c r="C54" s="445">
        <f>SUM(C44:C53)</f>
        <v>5830388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207500</v>
      </c>
      <c r="C56" s="438">
        <f>'Sources and Uses Budget'!$C55</f>
        <v>207500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95000</v>
      </c>
      <c r="C61" s="438">
        <f>'Sources and Uses Budget'!$C60</f>
        <v>95000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312500</v>
      </c>
      <c r="C63" s="442">
        <f>SUM(C56:C62)</f>
        <v>312500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69192506</v>
      </c>
      <c r="C64" s="442">
        <f>SUM(C9+C12+C14+C15+C17+C26+C27+C37+C41+C42+C54+C63)</f>
        <v>69192506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115000</v>
      </c>
      <c r="C66" s="438">
        <f>'Sources and Uses Budget'!$C65</f>
        <v>115000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115000</v>
      </c>
      <c r="C68" s="442">
        <f>SUM(C66:C67)</f>
        <v>115000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543058</v>
      </c>
      <c r="C73" s="438">
        <f>'Sources and Uses Budget'!$C72</f>
        <v>543058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543058</v>
      </c>
      <c r="C75" s="442">
        <f>SUM(C70:C74)</f>
        <v>543058</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4837658</v>
      </c>
      <c r="C77" s="438">
        <f>'Sources and Uses Budget'!$C76</f>
        <v>4837658</v>
      </c>
      <c r="D77" s="442">
        <f t="shared" si="1"/>
        <v>0</v>
      </c>
      <c r="E77" s="440"/>
      <c r="F77" s="439"/>
      <c r="G77" s="577"/>
    </row>
    <row r="78" spans="1:253" s="571" customFormat="1">
      <c r="A78" s="893" t="s">
        <v>63</v>
      </c>
      <c r="B78" s="438">
        <f>'Sources and Uses Budget'!$C77</f>
        <v>807371</v>
      </c>
      <c r="C78" s="438">
        <f>'Sources and Uses Budget'!$C77</f>
        <v>807371</v>
      </c>
      <c r="D78" s="442">
        <f t="shared" ref="D78" si="2">C78-B78</f>
        <v>0</v>
      </c>
      <c r="E78" s="440"/>
      <c r="F78" s="439"/>
      <c r="G78" s="577"/>
    </row>
    <row r="79" spans="1:253" s="571" customFormat="1">
      <c r="A79" s="443" t="s">
        <v>1467</v>
      </c>
      <c r="B79" s="442">
        <f>SUM(B77:B78)</f>
        <v>5645029</v>
      </c>
      <c r="C79" s="442">
        <f>SUM(C77:C78)</f>
        <v>5645029</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95222</v>
      </c>
      <c r="C81" s="438">
        <f>'Sources and Uses Budget'!$C80</f>
        <v>95222</v>
      </c>
      <c r="D81" s="442">
        <f t="shared" si="1"/>
        <v>0</v>
      </c>
      <c r="E81" s="440"/>
      <c r="F81" s="439"/>
      <c r="G81" s="577"/>
    </row>
    <row r="82" spans="1:7" s="571" customFormat="1">
      <c r="A82" s="441" t="s">
        <v>845</v>
      </c>
      <c r="B82" s="438">
        <f>'Sources and Uses Budget'!$C81</f>
        <v>40000</v>
      </c>
      <c r="C82" s="438">
        <f>'Sources and Uses Budget'!$C81</f>
        <v>40000</v>
      </c>
      <c r="D82" s="442">
        <f t="shared" si="1"/>
        <v>0</v>
      </c>
      <c r="E82" s="440"/>
      <c r="F82" s="439"/>
      <c r="G82" s="577"/>
    </row>
    <row r="83" spans="1:7" s="571" customFormat="1">
      <c r="A83" s="441" t="s">
        <v>846</v>
      </c>
      <c r="B83" s="438">
        <f>'Sources and Uses Budget'!$C82</f>
        <v>770650</v>
      </c>
      <c r="C83" s="438">
        <f>'Sources and Uses Budget'!$C82</f>
        <v>770650</v>
      </c>
      <c r="D83" s="442">
        <f t="shared" si="1"/>
        <v>0</v>
      </c>
      <c r="E83" s="440"/>
      <c r="F83" s="439"/>
      <c r="G83" s="577"/>
    </row>
    <row r="84" spans="1:7" s="571" customFormat="1">
      <c r="A84" s="441" t="s">
        <v>847</v>
      </c>
      <c r="B84" s="438">
        <f>'Sources and Uses Budget'!$C83</f>
        <v>1397736</v>
      </c>
      <c r="C84" s="438">
        <f>'Sources and Uses Budget'!$C83</f>
        <v>1397736</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150000</v>
      </c>
      <c r="C86" s="438">
        <f>'Sources and Uses Budget'!$C85</f>
        <v>150000</v>
      </c>
      <c r="D86" s="442">
        <f t="shared" si="1"/>
        <v>0</v>
      </c>
      <c r="E86" s="440"/>
      <c r="F86" s="439"/>
      <c r="G86" s="577"/>
    </row>
    <row r="87" spans="1:7" s="571" customFormat="1">
      <c r="A87" s="441" t="s">
        <v>850</v>
      </c>
      <c r="B87" s="438">
        <f>'Sources and Uses Budget'!$C86</f>
        <v>200000</v>
      </c>
      <c r="C87" s="438">
        <f>'Sources and Uses Budget'!$C86</f>
        <v>200000</v>
      </c>
      <c r="D87" s="442">
        <f t="shared" si="1"/>
        <v>0</v>
      </c>
      <c r="E87" s="440"/>
      <c r="F87" s="439"/>
      <c r="G87" s="577"/>
    </row>
    <row r="88" spans="1:7" s="571" customFormat="1">
      <c r="A88" s="441" t="s">
        <v>851</v>
      </c>
      <c r="B88" s="438">
        <f>'Sources and Uses Budget'!$C87</f>
        <v>7500</v>
      </c>
      <c r="C88" s="438">
        <f>'Sources and Uses Budget'!$C87</f>
        <v>7500</v>
      </c>
      <c r="D88" s="442">
        <f t="shared" si="1"/>
        <v>0</v>
      </c>
      <c r="E88" s="440"/>
      <c r="F88" s="439"/>
      <c r="G88" s="577"/>
    </row>
    <row r="89" spans="1:7" s="571" customFormat="1">
      <c r="A89" s="447" t="s">
        <v>404</v>
      </c>
      <c r="B89" s="438">
        <f>'Sources and Uses Budget'!$C88</f>
        <v>130000</v>
      </c>
      <c r="C89" s="438">
        <f>'Sources and Uses Budget'!$C88</f>
        <v>130000</v>
      </c>
      <c r="D89" s="442">
        <f t="shared" si="1"/>
        <v>0</v>
      </c>
      <c r="E89" s="440"/>
      <c r="F89" s="439"/>
      <c r="G89" s="577"/>
    </row>
    <row r="90" spans="1:7" s="571" customFormat="1">
      <c r="A90" s="892" t="s">
        <v>1469</v>
      </c>
      <c r="B90" s="438">
        <f>'Sources and Uses Budget'!$C89</f>
        <v>6000</v>
      </c>
      <c r="C90" s="438">
        <f>'Sources and Uses Budget'!$C89</f>
        <v>6000</v>
      </c>
      <c r="D90" s="442">
        <f t="shared" si="1"/>
        <v>0</v>
      </c>
      <c r="E90" s="440"/>
      <c r="F90" s="439"/>
      <c r="G90" s="577"/>
    </row>
    <row r="91" spans="1:7" s="571" customFormat="1">
      <c r="A91" s="444" t="s">
        <v>37</v>
      </c>
      <c r="B91" s="438">
        <f>'Sources and Uses Budget'!$C90</f>
        <v>85000</v>
      </c>
      <c r="C91" s="438">
        <f>'Sources and Uses Budget'!$C90</f>
        <v>85000</v>
      </c>
      <c r="D91" s="442">
        <f t="shared" si="1"/>
        <v>0</v>
      </c>
      <c r="E91" s="440"/>
      <c r="F91" s="439"/>
      <c r="G91" s="577"/>
    </row>
    <row r="92" spans="1:7" s="571" customFormat="1">
      <c r="A92" s="444" t="s">
        <v>37</v>
      </c>
      <c r="B92" s="438">
        <f>'Sources and Uses Budget'!$C91</f>
        <v>115000</v>
      </c>
      <c r="C92" s="438">
        <f>'Sources and Uses Budget'!$C91</f>
        <v>115000</v>
      </c>
      <c r="D92" s="442">
        <f t="shared" si="1"/>
        <v>0</v>
      </c>
      <c r="E92" s="440"/>
      <c r="F92" s="439"/>
      <c r="G92" s="577"/>
    </row>
    <row r="93" spans="1:7" s="571" customFormat="1">
      <c r="A93" s="444" t="s">
        <v>37</v>
      </c>
      <c r="B93" s="438">
        <f>'Sources and Uses Budget'!$C92</f>
        <v>300000</v>
      </c>
      <c r="C93" s="438">
        <f>'Sources and Uses Budget'!$C92</f>
        <v>300000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3297108</v>
      </c>
      <c r="C96" s="442">
        <f>SUM(C81:C95)</f>
        <v>3297108</v>
      </c>
      <c r="D96" s="442">
        <f t="shared" si="1"/>
        <v>0</v>
      </c>
      <c r="E96" s="440"/>
      <c r="F96" s="439"/>
      <c r="G96" s="577"/>
    </row>
    <row r="97" spans="1:7" s="571" customFormat="1">
      <c r="A97" s="443" t="s">
        <v>853</v>
      </c>
      <c r="B97" s="442">
        <f>SUM(B64+B68+B75+B79+B96)</f>
        <v>78792701</v>
      </c>
      <c r="C97" s="442">
        <f>SUM(C64+C68+C75+C79+C96)</f>
        <v>78792701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3010000</v>
      </c>
      <c r="C99" s="438">
        <f>'Sources and Uses Budget'!$C98</f>
        <v>3010000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3010000</v>
      </c>
      <c r="C105" s="442">
        <f>SUM(C99:C104)</f>
        <v>3010000</v>
      </c>
      <c r="D105" s="442">
        <f t="shared" si="1"/>
        <v>0</v>
      </c>
      <c r="E105" s="440"/>
      <c r="F105" s="439"/>
      <c r="G105" s="575"/>
    </row>
    <row r="106" spans="1:7" s="570" customFormat="1">
      <c r="A106" s="443" t="s">
        <v>861</v>
      </c>
      <c r="B106" s="445">
        <f>SUM(B97+B105)</f>
        <v>81802701</v>
      </c>
      <c r="C106" s="445">
        <f>SUM(C97+C105)</f>
        <v>81802701</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1197</v>
      </c>
      <c r="B2" s="1012"/>
      <c r="C2" s="1013"/>
      <c r="D2" s="1013"/>
      <c r="E2" s="1013"/>
      <c r="F2" s="1013"/>
      <c r="G2" s="1013"/>
    </row>
    <row r="3" spans="1:9" s="265" customFormat="1">
      <c r="A3" s="1012" t="s">
        <v>1124</v>
      </c>
      <c r="B3" s="1012"/>
      <c r="C3" s="1013"/>
      <c r="D3" s="1013"/>
      <c r="E3" s="1013"/>
      <c r="F3" s="1013"/>
      <c r="G3" s="1013"/>
      <c r="I3" s="701" t="s">
        <v>329</v>
      </c>
    </row>
    <row r="4" spans="1:9">
      <c r="I4" s="702" t="s">
        <v>1198</v>
      </c>
    </row>
    <row r="5" spans="1:9" s="39" customFormat="1">
      <c r="A5" s="1016" t="s">
        <v>1125</v>
      </c>
      <c r="B5" s="1016"/>
      <c r="C5" s="1017"/>
      <c r="D5" s="1017"/>
      <c r="E5" s="1017"/>
      <c r="F5" s="1017"/>
      <c r="G5" s="1017"/>
      <c r="I5" s="702" t="s">
        <v>1199</v>
      </c>
    </row>
    <row r="6" spans="1:9" s="39" customFormat="1">
      <c r="A6" s="1016" t="s">
        <v>903</v>
      </c>
      <c r="B6" s="1016"/>
      <c r="C6" s="1017"/>
      <c r="D6" s="1017"/>
      <c r="E6" s="1017"/>
      <c r="F6" s="1017"/>
      <c r="G6" s="1017"/>
      <c r="I6" s="701" t="s">
        <v>641</v>
      </c>
    </row>
    <row r="7" spans="1:9" ht="11.85" customHeight="1"/>
    <row r="8" spans="1:9" s="39" customFormat="1">
      <c r="A8" s="1014" t="s">
        <v>1294</v>
      </c>
      <c r="B8" s="1014"/>
      <c r="C8" s="1015"/>
      <c r="D8" s="1015"/>
      <c r="E8" s="1015"/>
      <c r="F8" s="1015"/>
      <c r="G8" s="1015"/>
    </row>
    <row r="9" spans="1:9" s="39" customFormat="1">
      <c r="A9" s="1014" t="s">
        <v>1295</v>
      </c>
      <c r="B9" s="1014"/>
      <c r="C9" s="1015"/>
      <c r="D9" s="1015"/>
      <c r="E9" s="1015"/>
      <c r="F9" s="1015"/>
      <c r="G9" s="1015"/>
    </row>
    <row r="10" spans="1:9">
      <c r="A10" s="267"/>
      <c r="B10" s="267"/>
      <c r="C10" s="264"/>
      <c r="D10" s="264"/>
      <c r="E10" s="264"/>
      <c r="F10" s="264"/>
    </row>
    <row r="11" spans="1:9">
      <c r="A11" s="1018" t="s">
        <v>1297</v>
      </c>
      <c r="B11" s="1018"/>
      <c r="C11" s="1018"/>
      <c r="D11" s="1018"/>
      <c r="E11" s="1018"/>
      <c r="F11" s="1018"/>
      <c r="G11" s="1018"/>
    </row>
    <row r="12" spans="1:9">
      <c r="A12" s="264"/>
      <c r="B12" s="697"/>
      <c r="E12" s="50"/>
    </row>
    <row r="13" spans="1:9" ht="13.15" customHeight="1">
      <c r="C13" s="264"/>
      <c r="D13" s="1036" t="s">
        <v>1296</v>
      </c>
      <c r="E13" s="1036"/>
      <c r="F13" s="1036"/>
    </row>
    <row r="14" spans="1:9">
      <c r="C14" s="264"/>
      <c r="D14" s="1036"/>
      <c r="E14" s="1036"/>
      <c r="F14" s="1036"/>
    </row>
    <row r="15" spans="1:9">
      <c r="A15" s="269"/>
      <c r="B15" s="269"/>
      <c r="C15" s="269"/>
      <c r="D15" s="975" t="s">
        <v>1279</v>
      </c>
      <c r="E15" s="975"/>
      <c r="F15" s="975"/>
    </row>
    <row r="16" spans="1:9">
      <c r="A16" s="269"/>
      <c r="B16" s="269"/>
      <c r="C16" s="269"/>
      <c r="D16" s="337"/>
    </row>
    <row r="17" spans="1:7" ht="14.25">
      <c r="A17" s="270"/>
      <c r="B17" s="703" t="s">
        <v>329</v>
      </c>
      <c r="C17" s="323"/>
      <c r="D17" s="962" t="s">
        <v>1280</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1281</v>
      </c>
      <c r="E21" s="1028"/>
      <c r="F21" s="1028"/>
    </row>
    <row r="22" spans="1:7" ht="14.25">
      <c r="A22" s="270"/>
      <c r="B22" s="270"/>
      <c r="D22" s="138"/>
    </row>
    <row r="23" spans="1:7" ht="14.25">
      <c r="A23" s="270"/>
      <c r="B23" s="703" t="s">
        <v>329</v>
      </c>
      <c r="D23" s="962" t="s">
        <v>1282</v>
      </c>
      <c r="E23" s="962"/>
      <c r="F23" s="962"/>
    </row>
    <row r="24" spans="1:7" ht="14.25">
      <c r="A24" s="270"/>
      <c r="B24" s="270"/>
      <c r="D24" s="962"/>
      <c r="E24" s="962"/>
      <c r="F24" s="962"/>
    </row>
    <row r="25" spans="1:7"/>
    <row r="26" spans="1:7" ht="14.25">
      <c r="A26" s="270"/>
      <c r="B26" s="703" t="s">
        <v>329</v>
      </c>
      <c r="D26" s="997" t="s">
        <v>1283</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1284</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1285</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1286</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1287</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1288</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1289</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1290</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1291</v>
      </c>
      <c r="E61" s="963"/>
      <c r="F61" s="963"/>
    </row>
    <row r="62" spans="1:7">
      <c r="D62" s="963"/>
      <c r="E62" s="963"/>
      <c r="F62" s="963"/>
    </row>
    <row r="63" spans="1:7"/>
    <row r="64" spans="1:7" ht="14.25">
      <c r="A64" s="270"/>
      <c r="B64" s="703" t="s">
        <v>329</v>
      </c>
      <c r="D64" s="963" t="s">
        <v>1292</v>
      </c>
      <c r="E64" s="963"/>
      <c r="F64" s="963"/>
    </row>
    <row r="65" spans="1:7">
      <c r="D65" s="963"/>
      <c r="E65" s="963"/>
      <c r="F65" s="963"/>
    </row>
    <row r="66" spans="1:7">
      <c r="A66" s="579"/>
      <c r="C66" s="579"/>
      <c r="D66" s="963"/>
      <c r="E66" s="963"/>
      <c r="F66" s="963"/>
    </row>
    <row r="67" spans="1:7">
      <c r="D67" s="12"/>
    </row>
    <row r="68" spans="1:7" ht="14.25">
      <c r="A68" s="270"/>
      <c r="B68" s="703" t="s">
        <v>329</v>
      </c>
      <c r="D68" s="962" t="s">
        <v>1293</v>
      </c>
      <c r="E68" s="962"/>
      <c r="F68" s="962"/>
    </row>
    <row r="69" spans="1:7">
      <c r="D69" s="962"/>
      <c r="E69" s="962"/>
      <c r="F69" s="962"/>
    </row>
    <row r="70" spans="1:7" ht="14.25">
      <c r="A70" s="270"/>
      <c r="B70" s="270"/>
      <c r="D70" s="138"/>
    </row>
    <row r="71" spans="1:7">
      <c r="A71" s="982" t="s">
        <v>1200</v>
      </c>
      <c r="B71" s="982"/>
      <c r="C71" s="982"/>
      <c r="D71" s="982"/>
      <c r="E71" s="982"/>
      <c r="F71" s="982"/>
      <c r="G71" s="982"/>
    </row>
    <row r="72" spans="1:7"/>
    <row r="73" spans="1:7">
      <c r="C73" s="271"/>
      <c r="D73" s="1011" t="s">
        <v>1298</v>
      </c>
      <c r="E73" s="1011"/>
      <c r="F73" s="1011"/>
    </row>
    <row r="74" spans="1:7">
      <c r="A74" s="138"/>
      <c r="B74" s="138"/>
      <c r="D74" s="962" t="s">
        <v>1325</v>
      </c>
      <c r="E74" s="962"/>
      <c r="F74" s="962"/>
    </row>
    <row r="75" spans="1:7">
      <c r="A75" s="138"/>
      <c r="B75" s="138"/>
    </row>
    <row r="76" spans="1:7" ht="14.25">
      <c r="A76" s="270"/>
      <c r="B76" s="703" t="s">
        <v>329</v>
      </c>
      <c r="D76" s="962" t="s">
        <v>1299</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1398</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1300</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1301</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1302</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1303</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1304</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1412</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1305</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1306</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1307</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1010" t="s">
        <v>483</v>
      </c>
      <c r="C170" s="1010"/>
      <c r="D170" s="1010"/>
      <c r="E170" s="1010"/>
      <c r="F170" s="1010"/>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1310</v>
      </c>
      <c r="E174" s="1006"/>
      <c r="F174" s="1006"/>
      <c r="G174" s="57"/>
    </row>
    <row r="175" spans="1:7">
      <c r="A175" s="273"/>
      <c r="B175" s="273"/>
      <c r="C175" s="274"/>
      <c r="D175" s="1006"/>
      <c r="E175" s="1006"/>
      <c r="F175" s="1006"/>
      <c r="G175" s="57"/>
    </row>
    <row r="176" spans="1:7" s="743" customFormat="1">
      <c r="A176" s="745"/>
      <c r="B176" s="745"/>
      <c r="C176" s="274"/>
      <c r="D176" s="1007" t="s">
        <v>1311</v>
      </c>
      <c r="E176" s="1007"/>
      <c r="F176" s="1007"/>
      <c r="G176" s="57"/>
    </row>
    <row r="177" spans="1:7" ht="12" customHeight="1">
      <c r="A177" s="273"/>
      <c r="B177" s="273"/>
      <c r="C177" s="274"/>
      <c r="D177" s="57"/>
      <c r="E177" s="49"/>
      <c r="F177" s="57"/>
      <c r="G177" s="57"/>
    </row>
    <row r="178" spans="1:7" ht="14.25">
      <c r="A178" s="270"/>
      <c r="B178" s="703" t="s">
        <v>329</v>
      </c>
      <c r="C178" s="274"/>
      <c r="D178" s="1000" t="s">
        <v>1309</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1218</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1308</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1332</v>
      </c>
      <c r="E194" s="987"/>
      <c r="F194" s="987"/>
    </row>
    <row r="195" spans="1:6" ht="12" customHeight="1">
      <c r="A195" s="23"/>
      <c r="B195" s="699"/>
      <c r="C195" s="23"/>
    </row>
    <row r="196" spans="1:6" ht="13.15" customHeight="1">
      <c r="A196" s="23"/>
      <c r="C196" s="23"/>
      <c r="D196" s="985" t="s">
        <v>592</v>
      </c>
      <c r="E196" s="985"/>
      <c r="F196" s="985"/>
    </row>
    <row r="197" spans="1:6" ht="14.25">
      <c r="A197" s="270"/>
      <c r="B197" s="703" t="s">
        <v>329</v>
      </c>
      <c r="D197" s="962" t="s">
        <v>1326</v>
      </c>
      <c r="E197" s="962"/>
      <c r="F197" s="962"/>
    </row>
    <row r="198" spans="1:6" ht="14.25">
      <c r="A198" s="270"/>
      <c r="B198" s="270"/>
      <c r="D198" s="962"/>
      <c r="E198" s="962"/>
      <c r="F198" s="962"/>
    </row>
    <row r="199" spans="1:6"/>
    <row r="200" spans="1:6" ht="14.25">
      <c r="A200" s="270"/>
      <c r="B200" s="703" t="s">
        <v>329</v>
      </c>
      <c r="D200" s="962" t="s">
        <v>1327</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1328</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1329</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45" customHeight="1">
      <c r="A214" s="270"/>
      <c r="B214" s="703" t="s">
        <v>329</v>
      </c>
      <c r="D214" s="976" t="s">
        <v>1331</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1330</v>
      </c>
      <c r="E220" s="962"/>
      <c r="F220" s="962"/>
    </row>
    <row r="221" spans="1:7" ht="14.25">
      <c r="A221" s="270"/>
      <c r="B221" s="270"/>
      <c r="D221" s="962"/>
      <c r="E221" s="962"/>
      <c r="F221" s="962"/>
    </row>
    <row r="222" spans="1:7">
      <c r="D222" s="29"/>
    </row>
    <row r="223" spans="1:7">
      <c r="A223" s="982" t="s">
        <v>1204</v>
      </c>
      <c r="B223" s="982"/>
      <c r="C223" s="982"/>
      <c r="D223" s="982"/>
      <c r="E223" s="982"/>
      <c r="F223" s="982"/>
      <c r="G223" s="982"/>
    </row>
    <row r="224" spans="1:7">
      <c r="D224" s="29"/>
    </row>
    <row r="225" spans="1:6">
      <c r="C225" s="271"/>
      <c r="D225" s="985" t="s">
        <v>1333</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1334</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1335</v>
      </c>
      <c r="E231" s="976"/>
      <c r="F231" s="976"/>
    </row>
    <row r="232" spans="1:6">
      <c r="D232" s="976"/>
      <c r="E232" s="976"/>
      <c r="F232" s="976"/>
    </row>
    <row r="233" spans="1:6">
      <c r="D233" s="987" t="s">
        <v>983</v>
      </c>
      <c r="E233" s="987"/>
      <c r="F233" s="987"/>
    </row>
    <row r="234" spans="1:6">
      <c r="D234" s="138"/>
      <c r="E234" s="138"/>
      <c r="F234" s="138"/>
    </row>
    <row r="235" spans="1:6" ht="14.45" customHeight="1">
      <c r="A235" s="270"/>
      <c r="B235" s="703" t="s">
        <v>329</v>
      </c>
      <c r="D235" s="976" t="s">
        <v>1337</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1336</v>
      </c>
      <c r="E241" s="962"/>
      <c r="F241" s="962"/>
    </row>
    <row r="242" spans="1:7">
      <c r="D242" s="962"/>
      <c r="E242" s="962"/>
      <c r="F242" s="962"/>
    </row>
    <row r="243" spans="1:7">
      <c r="D243" s="962"/>
      <c r="E243" s="962"/>
      <c r="F243" s="962"/>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1011" t="s">
        <v>1338</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1339</v>
      </c>
      <c r="E251" s="993"/>
      <c r="F251" s="993"/>
    </row>
    <row r="252" spans="1:7">
      <c r="E252" s="138"/>
      <c r="F252" s="138"/>
    </row>
    <row r="253" spans="1:7" ht="14.25">
      <c r="A253" s="270"/>
      <c r="B253" s="703" t="s">
        <v>329</v>
      </c>
      <c r="D253" s="962" t="s">
        <v>1340</v>
      </c>
      <c r="E253" s="962"/>
      <c r="F253" s="962"/>
    </row>
    <row r="254" spans="1:7" ht="14.25">
      <c r="A254" s="270"/>
      <c r="B254" s="270"/>
      <c r="D254" s="962"/>
      <c r="E254" s="962"/>
      <c r="F254" s="962"/>
    </row>
    <row r="255" spans="1:7">
      <c r="D255" s="138"/>
      <c r="E255" s="138"/>
      <c r="F255" s="138"/>
    </row>
    <row r="256" spans="1:7" ht="14.25">
      <c r="A256" s="270"/>
      <c r="B256" s="703" t="s">
        <v>329</v>
      </c>
      <c r="D256" s="976" t="s">
        <v>1341</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1342</v>
      </c>
      <c r="E260" s="962"/>
      <c r="F260" s="962"/>
    </row>
    <row r="261" spans="1:7" ht="14.25">
      <c r="A261" s="270"/>
      <c r="B261" s="270"/>
      <c r="D261" s="962"/>
      <c r="E261" s="962"/>
      <c r="F261" s="962"/>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5" t="s">
        <v>735</v>
      </c>
      <c r="E265" s="985"/>
      <c r="F265" s="985"/>
    </row>
    <row r="266" spans="1:7">
      <c r="C266" s="23"/>
      <c r="D266" s="975" t="s">
        <v>1343</v>
      </c>
      <c r="E266" s="975"/>
      <c r="F266" s="975"/>
    </row>
    <row r="267" spans="1:7">
      <c r="C267" s="23"/>
      <c r="D267" s="268"/>
    </row>
    <row r="268" spans="1:7">
      <c r="A268" s="282"/>
      <c r="B268" s="703" t="s">
        <v>329</v>
      </c>
      <c r="D268" s="975" t="s">
        <v>1344</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1345</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1346</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1347</v>
      </c>
      <c r="E279" s="975"/>
      <c r="F279" s="975"/>
    </row>
    <row r="280" spans="1:7">
      <c r="E280" s="138"/>
      <c r="F280" s="138"/>
    </row>
    <row r="281" spans="1:7" ht="14.25">
      <c r="A281" s="270"/>
      <c r="B281" s="703" t="s">
        <v>329</v>
      </c>
      <c r="D281" s="976" t="s">
        <v>1348</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1349</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1350</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1092</v>
      </c>
      <c r="E314" s="994"/>
      <c r="F314" s="994"/>
      <c r="G314" s="12"/>
    </row>
    <row r="315" spans="1:7" s="743" customFormat="1" ht="13.5" thickTop="1">
      <c r="A315" s="755"/>
      <c r="B315" s="755"/>
      <c r="C315" s="755"/>
      <c r="D315" s="995" t="s">
        <v>1351</v>
      </c>
      <c r="E315" s="995"/>
      <c r="F315" s="995"/>
    </row>
    <row r="316" spans="1:7">
      <c r="A316" s="335"/>
      <c r="B316" s="335"/>
      <c r="C316" s="335"/>
      <c r="D316" s="484"/>
      <c r="E316" s="484"/>
      <c r="F316" s="138"/>
      <c r="G316" s="12"/>
    </row>
    <row r="317" spans="1:7" ht="14.25">
      <c r="A317" s="270"/>
      <c r="B317" s="703" t="s">
        <v>329</v>
      </c>
      <c r="C317" s="335"/>
      <c r="D317" s="996" t="s">
        <v>1352</v>
      </c>
      <c r="E317" s="996"/>
      <c r="F317" s="996"/>
      <c r="G317" s="12"/>
    </row>
    <row r="318" spans="1:7">
      <c r="A318" s="335"/>
      <c r="B318" s="335"/>
      <c r="C318" s="335"/>
      <c r="D318" s="484"/>
      <c r="E318" s="484"/>
      <c r="F318" s="138"/>
      <c r="G318" s="12"/>
    </row>
    <row r="319" spans="1:7">
      <c r="A319" s="335"/>
      <c r="B319" s="703" t="s">
        <v>329</v>
      </c>
      <c r="C319" s="335"/>
      <c r="D319" s="991" t="s">
        <v>1353</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1354</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1355</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1356</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1357</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1358</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1359</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1360</v>
      </c>
      <c r="E405" s="975"/>
      <c r="F405" s="975"/>
    </row>
    <row r="406" spans="1:7">
      <c r="D406" s="992" t="s">
        <v>1117</v>
      </c>
      <c r="E406" s="992"/>
      <c r="F406" s="992"/>
    </row>
    <row r="407" spans="1:7">
      <c r="D407" s="976" t="s">
        <v>1361</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1362</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1363</v>
      </c>
      <c r="E416" s="976"/>
      <c r="F416" s="976"/>
      <c r="G416" s="12"/>
    </row>
    <row r="417" spans="1:7">
      <c r="D417" s="976"/>
      <c r="E417" s="976"/>
      <c r="F417" s="976"/>
      <c r="G417" s="12"/>
    </row>
    <row r="418" spans="1:7">
      <c r="D418" s="138"/>
      <c r="E418" s="138"/>
      <c r="F418" s="138"/>
      <c r="G418" s="12"/>
    </row>
    <row r="419" spans="1:7" ht="14.25">
      <c r="B419" s="703" t="s">
        <v>329</v>
      </c>
      <c r="C419" s="270"/>
      <c r="D419" s="976" t="s">
        <v>1364</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1365</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1366</v>
      </c>
      <c r="E440" s="977"/>
      <c r="F440" s="977"/>
    </row>
    <row r="441" spans="1:7">
      <c r="A441" s="138"/>
      <c r="B441" s="138"/>
    </row>
    <row r="442" spans="1:7">
      <c r="A442" s="982" t="s">
        <v>1207</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1367</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1368</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1369</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1370</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1371</v>
      </c>
      <c r="E459" s="975"/>
      <c r="F459" s="975"/>
      <c r="G459" s="12"/>
    </row>
    <row r="460" spans="1:7" ht="14.25">
      <c r="A460" s="270"/>
      <c r="B460" s="270"/>
      <c r="D460" s="754"/>
      <c r="E460" s="6"/>
      <c r="F460" s="6"/>
      <c r="G460" s="12"/>
    </row>
    <row r="461" spans="1:7" ht="14.25">
      <c r="A461" s="270"/>
      <c r="B461" s="703" t="s">
        <v>329</v>
      </c>
      <c r="D461" s="962" t="s">
        <v>1372</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1373</v>
      </c>
      <c r="E464" s="975"/>
      <c r="F464" s="975"/>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874</v>
      </c>
      <c r="E468" s="983"/>
      <c r="F468" s="983"/>
      <c r="G468" s="187"/>
    </row>
    <row r="469" spans="1:7" customFormat="1" ht="13.15" customHeight="1">
      <c r="A469" s="269"/>
      <c r="B469" s="269"/>
      <c r="C469" s="323"/>
      <c r="D469" s="984" t="s">
        <v>1251</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1242</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1245</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1243</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1244</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1388</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1246</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1010" t="s">
        <v>483</v>
      </c>
      <c r="C512" s="1010"/>
      <c r="D512" s="1010"/>
      <c r="E512" s="1010"/>
      <c r="F512" s="1010"/>
    </row>
    <row r="513" spans="1:7">
      <c r="A513" s="138"/>
      <c r="B513" s="138"/>
      <c r="C513" s="275"/>
      <c r="D513" s="138"/>
      <c r="F513" s="138"/>
    </row>
    <row r="514" spans="1:7">
      <c r="A514" s="1032" t="s">
        <v>1210</v>
      </c>
      <c r="B514" s="1032"/>
      <c r="C514" s="1032"/>
      <c r="D514" s="1032"/>
      <c r="E514" s="1032"/>
      <c r="F514" s="1032"/>
      <c r="G514" s="1032"/>
    </row>
    <row r="515" spans="1:7">
      <c r="A515" s="138"/>
      <c r="B515" s="138"/>
      <c r="C515" s="275"/>
      <c r="D515" s="138"/>
      <c r="F515" s="138"/>
    </row>
    <row r="516" spans="1:7">
      <c r="C516" s="275"/>
      <c r="D516" s="985" t="s">
        <v>736</v>
      </c>
      <c r="E516" s="985"/>
      <c r="F516" s="985"/>
    </row>
    <row r="517" spans="1:7" s="706" customFormat="1">
      <c r="A517" s="723"/>
      <c r="B517" s="723"/>
      <c r="C517" s="275"/>
      <c r="D517" s="975" t="s">
        <v>1267</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1268</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1269</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1270</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1271</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1389</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1272</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1273</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1274</v>
      </c>
      <c r="E543" s="975"/>
      <c r="F543" s="975"/>
      <c r="G543" s="57"/>
    </row>
    <row r="544" spans="1:7">
      <c r="A544" s="23"/>
      <c r="B544" s="699"/>
      <c r="C544" s="275"/>
      <c r="D544" s="975" t="s">
        <v>904</v>
      </c>
      <c r="E544" s="975"/>
      <c r="F544" s="975"/>
      <c r="G544" s="57"/>
    </row>
    <row r="545" spans="1:7">
      <c r="A545" s="23"/>
      <c r="B545" s="699"/>
      <c r="C545" s="275"/>
      <c r="D545" s="6"/>
      <c r="E545" s="993" t="s">
        <v>1275</v>
      </c>
      <c r="F545" s="993"/>
      <c r="G545" s="57"/>
    </row>
    <row r="546" spans="1:7" ht="14.25">
      <c r="A546" s="270"/>
      <c r="B546" s="270"/>
      <c r="C546" s="275"/>
      <c r="E546" s="138"/>
      <c r="F546" s="138"/>
      <c r="G546" s="57"/>
    </row>
    <row r="547" spans="1:7" ht="14.25">
      <c r="A547" s="270"/>
      <c r="B547" s="703" t="s">
        <v>329</v>
      </c>
      <c r="C547" s="275"/>
      <c r="D547" s="1037" t="s">
        <v>1276</v>
      </c>
      <c r="E547" s="1037"/>
      <c r="F547" s="1037"/>
      <c r="G547" s="57"/>
    </row>
    <row r="548" spans="1:7">
      <c r="C548" s="275"/>
      <c r="D548" s="962" t="s">
        <v>1277</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1278</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1227</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1228</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1229</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1230</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1231</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1232</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1212</v>
      </c>
      <c r="B588" s="982"/>
      <c r="C588" s="982"/>
      <c r="D588" s="982"/>
      <c r="E588" s="982"/>
      <c r="F588" s="982"/>
      <c r="G588" s="982"/>
    </row>
    <row r="589" spans="1:7"/>
    <row r="590" spans="1:7">
      <c r="D590" s="999" t="s">
        <v>1312</v>
      </c>
      <c r="E590" s="999"/>
      <c r="F590" s="999"/>
    </row>
    <row r="591" spans="1:7">
      <c r="D591" s="1038" t="s">
        <v>1313</v>
      </c>
      <c r="E591" s="1038"/>
      <c r="F591" s="1038"/>
    </row>
    <row r="592" spans="1:7" s="743" customFormat="1">
      <c r="A592" s="729"/>
      <c r="B592" s="729"/>
      <c r="C592" s="729"/>
      <c r="D592" s="747"/>
      <c r="E592" s="746"/>
      <c r="F592" s="746"/>
      <c r="G592" s="7"/>
    </row>
    <row r="593" spans="1:7" s="39" customFormat="1" ht="14.25">
      <c r="A593" s="420"/>
      <c r="B593" s="703" t="s">
        <v>329</v>
      </c>
      <c r="C593" s="282"/>
      <c r="D593" s="1001" t="s">
        <v>1314</v>
      </c>
      <c r="E593" s="1001"/>
      <c r="F593" s="1001"/>
      <c r="G593" s="133"/>
    </row>
    <row r="594" spans="1:7">
      <c r="D594" s="1001"/>
      <c r="E594" s="1001"/>
      <c r="F594" s="1001"/>
    </row>
    <row r="595" spans="1:7">
      <c r="D595" s="1001"/>
      <c r="E595" s="1001"/>
      <c r="F595" s="1001"/>
    </row>
    <row r="596" spans="1:7"/>
    <row r="597" spans="1:7">
      <c r="A597" s="982" t="s">
        <v>1213</v>
      </c>
      <c r="B597" s="982"/>
      <c r="C597" s="982"/>
      <c r="D597" s="982"/>
      <c r="E597" s="982"/>
      <c r="F597" s="982"/>
      <c r="G597" s="982"/>
    </row>
    <row r="598" spans="1:7">
      <c r="A598" s="138"/>
      <c r="B598" s="138"/>
      <c r="G598" s="57"/>
    </row>
    <row r="599" spans="1:7">
      <c r="A599" s="266"/>
      <c r="B599" s="698"/>
      <c r="C599" s="264"/>
      <c r="D599" s="1039" t="s">
        <v>1315</v>
      </c>
      <c r="E599" s="1039"/>
      <c r="F599" s="1039"/>
      <c r="G599" s="57"/>
    </row>
    <row r="600" spans="1:7">
      <c r="A600" s="266"/>
      <c r="B600" s="698"/>
      <c r="C600" s="264"/>
      <c r="D600" s="1039"/>
      <c r="E600" s="1039"/>
      <c r="F600" s="1039"/>
      <c r="G600" s="57"/>
    </row>
    <row r="601" spans="1:7">
      <c r="C601" s="269"/>
      <c r="D601" s="1038" t="s">
        <v>1316</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1317</v>
      </c>
      <c r="E605" s="998"/>
      <c r="F605" s="998"/>
      <c r="G605" s="57"/>
    </row>
    <row r="606" spans="1:7">
      <c r="D606" s="998"/>
      <c r="E606" s="998"/>
      <c r="F606" s="998"/>
      <c r="G606" s="57"/>
    </row>
    <row r="607" spans="1:7">
      <c r="D607" s="12"/>
      <c r="G607" s="57"/>
    </row>
    <row r="608" spans="1:7">
      <c r="B608" s="703" t="s">
        <v>329</v>
      </c>
      <c r="D608" s="998" t="s">
        <v>1318</v>
      </c>
      <c r="E608" s="998"/>
      <c r="F608" s="998"/>
      <c r="G608" s="57"/>
    </row>
    <row r="609" spans="1:7">
      <c r="C609" s="277"/>
      <c r="D609" s="998"/>
      <c r="E609" s="998"/>
      <c r="F609" s="998"/>
      <c r="G609" s="57"/>
    </row>
    <row r="610" spans="1:7">
      <c r="C610" s="277"/>
      <c r="G610" s="57"/>
    </row>
    <row r="611" spans="1:7">
      <c r="B611" s="703" t="s">
        <v>329</v>
      </c>
      <c r="C611" s="277"/>
      <c r="D611" s="998" t="s">
        <v>1319</v>
      </c>
      <c r="E611" s="998"/>
      <c r="F611" s="998"/>
      <c r="G611" s="57"/>
    </row>
    <row r="612" spans="1:7">
      <c r="C612" s="277"/>
      <c r="D612" s="998"/>
      <c r="E612" s="998"/>
      <c r="F612" s="998"/>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99" t="s">
        <v>1320</v>
      </c>
      <c r="E616" s="999"/>
      <c r="F616" s="999"/>
      <c r="G616" s="57"/>
    </row>
    <row r="617" spans="1:7">
      <c r="A617" s="23"/>
      <c r="B617" s="699"/>
      <c r="C617" s="274"/>
      <c r="D617" s="50"/>
      <c r="G617" s="57"/>
    </row>
    <row r="618" spans="1:7" ht="14.25">
      <c r="A618" s="270"/>
      <c r="B618" s="703" t="s">
        <v>329</v>
      </c>
      <c r="C618" s="274"/>
      <c r="D618" s="1000" t="s">
        <v>1321</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1322</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1323</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1324</v>
      </c>
      <c r="E633" s="1002"/>
      <c r="F633" s="100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03" t="s">
        <v>1374</v>
      </c>
      <c r="E637" s="1003"/>
      <c r="F637" s="1003"/>
      <c r="G637" s="57"/>
    </row>
    <row r="638" spans="1:7">
      <c r="A638" s="269"/>
      <c r="B638" s="269"/>
      <c r="C638" s="269"/>
      <c r="D638" s="1004" t="s">
        <v>1375</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1376</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1226</v>
      </c>
      <c r="E646" s="1021"/>
      <c r="F646" s="1021"/>
      <c r="G646" s="57"/>
    </row>
    <row r="647" spans="1:11" s="706" customFormat="1" ht="14.25">
      <c r="A647" s="270"/>
      <c r="B647" s="270"/>
      <c r="C647" s="275"/>
      <c r="D647" s="1022" t="s">
        <v>1377</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1378</v>
      </c>
      <c r="E652" s="1023"/>
      <c r="F652" s="1023"/>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1252</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1253</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1254</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1255</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1265</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1256</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1266</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1263</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1264</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1257</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1258</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1259</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1392</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1260</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1217</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1233</v>
      </c>
      <c r="E728" s="1011"/>
      <c r="F728" s="1011"/>
      <c r="G728" s="280"/>
      <c r="H728" s="278"/>
      <c r="I728" s="278"/>
      <c r="J728" s="278"/>
      <c r="K728" s="278"/>
    </row>
    <row r="729" spans="1:11">
      <c r="A729" s="269"/>
      <c r="B729" s="269"/>
      <c r="C729" s="269"/>
      <c r="D729" s="1028" t="s">
        <v>1234</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1235</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1236</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1237</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1238</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1239</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1240</v>
      </c>
      <c r="B754" s="1034"/>
      <c r="C754" s="1034"/>
      <c r="D754" s="1034"/>
      <c r="E754" s="1034"/>
      <c r="F754" s="1034"/>
      <c r="G754" s="1034"/>
    </row>
    <row r="755" spans="1:11">
      <c r="A755" s="269"/>
      <c r="B755" s="269"/>
      <c r="C755" s="269"/>
      <c r="D755" s="285"/>
      <c r="F755" s="150"/>
      <c r="G755" s="280"/>
    </row>
    <row r="756" spans="1:11">
      <c r="A756" s="282"/>
      <c r="B756" s="282"/>
      <c r="C756" s="459"/>
      <c r="D756" s="1035" t="s">
        <v>1224</v>
      </c>
      <c r="E756" s="1035"/>
      <c r="F756" s="1035"/>
      <c r="G756" s="280"/>
    </row>
    <row r="757" spans="1:11">
      <c r="A757" s="523"/>
      <c r="B757" s="523"/>
      <c r="C757" s="522"/>
      <c r="D757" s="1025" t="s">
        <v>1241</v>
      </c>
      <c r="E757" s="1025"/>
      <c r="F757" s="1025"/>
      <c r="G757" s="280"/>
    </row>
    <row r="758" spans="1:11">
      <c r="A758" s="282"/>
      <c r="B758" s="282"/>
      <c r="C758" s="459"/>
      <c r="D758" s="717"/>
      <c r="E758" s="717"/>
      <c r="F758" s="717"/>
      <c r="G758" s="280"/>
    </row>
    <row r="759" spans="1:11" ht="14.25">
      <c r="A759" s="270"/>
      <c r="B759" s="703" t="s">
        <v>329</v>
      </c>
      <c r="C759" s="459"/>
      <c r="D759" s="1026" t="s">
        <v>1102</v>
      </c>
      <c r="E759" s="1026"/>
      <c r="F759" s="1026"/>
      <c r="G759" s="280"/>
    </row>
    <row r="760" spans="1:11">
      <c r="A760" s="282"/>
      <c r="B760" s="282"/>
      <c r="C760" s="459"/>
      <c r="D760" s="716"/>
      <c r="E760" s="1027" t="s">
        <v>1225</v>
      </c>
      <c r="F760" s="1027"/>
      <c r="G760" s="280"/>
    </row>
    <row r="761" spans="1:11">
      <c r="A761" s="276"/>
      <c r="B761" s="276"/>
      <c r="C761" s="276"/>
      <c r="D761" s="138"/>
      <c r="F761" s="57"/>
      <c r="G761" s="280"/>
    </row>
    <row r="762" spans="1:11">
      <c r="A762" s="1031" t="s">
        <v>484</v>
      </c>
      <c r="B762" s="1031"/>
      <c r="C762" s="1031"/>
      <c r="D762" s="1031"/>
      <c r="E762" s="1031"/>
      <c r="F762" s="1031"/>
      <c r="G762" s="1031"/>
    </row>
    <row r="763" spans="1:11">
      <c r="A763" s="264"/>
      <c r="B763" s="697"/>
      <c r="C763" s="275"/>
      <c r="D763" s="280"/>
      <c r="E763" s="280"/>
      <c r="F763" s="280"/>
      <c r="G763" s="280"/>
    </row>
    <row r="764" spans="1:11">
      <c r="A764" s="138"/>
      <c r="B764" s="1033" t="s">
        <v>1101</v>
      </c>
      <c r="C764" s="1033"/>
      <c r="D764" s="1033"/>
      <c r="E764" s="1033"/>
      <c r="F764" s="1033"/>
      <c r="G764" s="280"/>
    </row>
    <row r="765" spans="1:11">
      <c r="A765" s="23"/>
      <c r="B765" s="699"/>
      <c r="G765" s="280"/>
    </row>
    <row r="766" spans="1:11">
      <c r="A766" s="1031" t="s">
        <v>485</v>
      </c>
      <c r="B766" s="1031"/>
      <c r="C766" s="1031"/>
      <c r="D766" s="1031"/>
      <c r="E766" s="1031"/>
      <c r="F766" s="1031"/>
      <c r="G766" s="1031"/>
    </row>
    <row r="767" spans="1:11">
      <c r="A767" s="264"/>
      <c r="B767" s="697"/>
      <c r="C767" s="264"/>
      <c r="D767" s="272"/>
      <c r="G767" s="280"/>
    </row>
    <row r="768" spans="1:11">
      <c r="A768" s="138"/>
      <c r="B768" s="977" t="s">
        <v>483</v>
      </c>
      <c r="C768" s="977"/>
      <c r="D768" s="977"/>
      <c r="E768" s="977"/>
      <c r="F768" s="977"/>
      <c r="G768" s="280"/>
    </row>
    <row r="769" spans="1:7" ht="14.25">
      <c r="A769" s="270"/>
      <c r="B769" s="270"/>
      <c r="D769" s="138"/>
      <c r="E769" s="138"/>
      <c r="F769" s="280"/>
      <c r="G769" s="280"/>
    </row>
    <row r="770" spans="1:7">
      <c r="A770" s="1031" t="s">
        <v>486</v>
      </c>
      <c r="B770" s="1031"/>
      <c r="C770" s="1031"/>
      <c r="D770" s="1031"/>
      <c r="E770" s="1031"/>
      <c r="F770" s="1031"/>
      <c r="G770" s="1031"/>
    </row>
    <row r="771" spans="1:7">
      <c r="C771" s="269"/>
      <c r="D771" s="268"/>
      <c r="E771" s="138"/>
      <c r="F771" s="280"/>
      <c r="G771" s="280"/>
    </row>
    <row r="772" spans="1:7">
      <c r="A772" s="138"/>
      <c r="B772" s="977" t="s">
        <v>483</v>
      </c>
      <c r="C772" s="977"/>
      <c r="D772" s="977"/>
      <c r="E772" s="977"/>
      <c r="F772" s="977"/>
      <c r="G772" s="280"/>
    </row>
    <row r="773" spans="1:7">
      <c r="A773" s="138"/>
      <c r="B773" s="138"/>
      <c r="C773" s="275"/>
      <c r="D773" s="280"/>
      <c r="E773" s="280"/>
      <c r="F773" s="280"/>
      <c r="G773" s="280"/>
    </row>
    <row r="774" spans="1:7">
      <c r="A774" s="1031" t="s">
        <v>487</v>
      </c>
      <c r="B774" s="1031"/>
      <c r="C774" s="1031"/>
      <c r="D774" s="1031"/>
      <c r="E774" s="1031"/>
      <c r="F774" s="1031"/>
      <c r="G774" s="1031"/>
    </row>
    <row r="775" spans="1:7">
      <c r="A775" s="138"/>
      <c r="B775" s="138"/>
    </row>
    <row r="776" spans="1:7">
      <c r="A776" s="138"/>
      <c r="B776" s="977" t="s">
        <v>483</v>
      </c>
      <c r="C776" s="977"/>
      <c r="D776" s="977"/>
      <c r="E776" s="977"/>
      <c r="F776" s="977"/>
    </row>
    <row r="777" spans="1:7">
      <c r="A777" s="275"/>
      <c r="B777" s="275"/>
      <c r="C777" s="275"/>
      <c r="D777" s="267"/>
      <c r="F777" s="280"/>
    </row>
    <row r="778" spans="1:7">
      <c r="A778" s="1031" t="s">
        <v>488</v>
      </c>
      <c r="B778" s="1031"/>
      <c r="C778" s="1031"/>
      <c r="D778" s="1031"/>
      <c r="E778" s="1031"/>
      <c r="F778" s="1031"/>
      <c r="G778" s="1031"/>
    </row>
    <row r="779" spans="1:7">
      <c r="A779" s="138"/>
      <c r="B779" s="138"/>
    </row>
    <row r="780" spans="1:7">
      <c r="A780" s="138"/>
      <c r="B780" s="977" t="s">
        <v>483</v>
      </c>
      <c r="C780" s="977"/>
      <c r="D780" s="977"/>
      <c r="E780" s="977"/>
      <c r="F780" s="977"/>
    </row>
    <row r="781" spans="1:7">
      <c r="A781" s="275"/>
      <c r="B781" s="275"/>
      <c r="C781" s="275"/>
      <c r="D781" s="267"/>
      <c r="F781" s="280"/>
    </row>
    <row r="782" spans="1:7">
      <c r="A782" s="1031" t="s">
        <v>489</v>
      </c>
      <c r="B782" s="1031"/>
      <c r="C782" s="1031"/>
      <c r="D782" s="1031"/>
      <c r="E782" s="1031"/>
      <c r="F782" s="1031"/>
      <c r="G782" s="1031"/>
    </row>
    <row r="783" spans="1:7">
      <c r="A783" s="138"/>
      <c r="B783" s="138"/>
    </row>
    <row r="784" spans="1:7">
      <c r="A784" s="138"/>
      <c r="B784" s="977" t="s">
        <v>483</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483</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483</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1472</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1433</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1435</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1436</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1437</v>
      </c>
      <c r="B75" s="1044"/>
      <c r="C75" s="1044"/>
      <c r="D75" s="1044"/>
      <c r="E75" s="1044"/>
      <c r="F75" s="1044"/>
      <c r="G75" s="1044"/>
      <c r="H75" s="1044"/>
      <c r="I75" s="1044"/>
    </row>
    <row r="76" spans="1:9" ht="12.75">
      <c r="A76" s="968" t="s">
        <v>1131</v>
      </c>
      <c r="B76" s="968"/>
      <c r="C76" s="968"/>
      <c r="D76" s="968"/>
      <c r="E76" s="968"/>
    </row>
    <row r="77" spans="1:9" ht="12.75">
      <c r="A77" s="968" t="s">
        <v>1438</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1705"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1560</v>
      </c>
      <c r="B2" s="1057"/>
      <c r="C2" s="1058"/>
      <c r="D2" s="1058"/>
      <c r="E2" s="1058"/>
      <c r="F2" s="1058"/>
      <c r="G2" s="1058"/>
    </row>
    <row r="3" spans="1:9">
      <c r="A3" s="1065" t="s">
        <v>1563</v>
      </c>
      <c r="B3" s="1065"/>
      <c r="C3" s="1066"/>
      <c r="D3" s="1066"/>
      <c r="E3" s="1066"/>
      <c r="F3" s="1066"/>
      <c r="G3" s="1066"/>
      <c r="I3" s="717" t="s">
        <v>1198</v>
      </c>
    </row>
    <row r="4" spans="1:9">
      <c r="A4" s="1061" t="s">
        <v>1562</v>
      </c>
      <c r="B4" s="1061"/>
      <c r="C4" s="1067"/>
      <c r="D4" s="1067"/>
      <c r="E4" s="1067"/>
      <c r="F4" s="1067"/>
      <c r="G4" s="1067"/>
      <c r="I4" s="717"/>
    </row>
    <row r="5" spans="1:9" s="816" customFormat="1">
      <c r="A5" s="1061"/>
      <c r="B5" s="1061"/>
      <c r="C5" s="1062"/>
      <c r="D5" s="1062"/>
      <c r="E5" s="1062"/>
      <c r="F5" s="1062"/>
      <c r="G5" s="1062"/>
      <c r="I5" s="717" t="s">
        <v>1199</v>
      </c>
    </row>
    <row r="6" spans="1:9" s="816" customFormat="1">
      <c r="A6" s="1059" t="s">
        <v>1294</v>
      </c>
      <c r="B6" s="1059"/>
      <c r="C6" s="1060"/>
      <c r="D6" s="1060"/>
      <c r="E6" s="1060"/>
      <c r="F6" s="1060"/>
      <c r="G6" s="1060"/>
    </row>
    <row r="7" spans="1:9" s="816" customFormat="1">
      <c r="A7" s="1059" t="s">
        <v>1295</v>
      </c>
      <c r="B7" s="1059"/>
      <c r="C7" s="1060"/>
      <c r="D7" s="1060"/>
      <c r="E7" s="1060"/>
      <c r="F7" s="1060"/>
      <c r="G7" s="1060"/>
    </row>
    <row r="8" spans="1:9">
      <c r="A8" s="817"/>
      <c r="B8" s="817"/>
      <c r="C8" s="818"/>
      <c r="D8" s="818"/>
      <c r="E8" s="818"/>
      <c r="F8" s="818"/>
    </row>
    <row r="9" spans="1:9">
      <c r="A9" s="1018" t="s">
        <v>1297</v>
      </c>
      <c r="B9" s="1018"/>
      <c r="C9" s="1018"/>
      <c r="D9" s="1018"/>
      <c r="E9" s="1018"/>
      <c r="F9" s="1018"/>
      <c r="G9" s="1018"/>
    </row>
    <row r="10" spans="1:9">
      <c r="A10" s="818"/>
      <c r="B10" s="818"/>
      <c r="E10" s="819"/>
    </row>
    <row r="11" spans="1:9" ht="13.7" customHeight="1">
      <c r="C11" s="818"/>
      <c r="D11" s="1084" t="s">
        <v>1296</v>
      </c>
      <c r="E11" s="1084"/>
      <c r="F11" s="1084"/>
    </row>
    <row r="12" spans="1:9">
      <c r="C12" s="818"/>
      <c r="D12" s="1084"/>
      <c r="E12" s="1084"/>
      <c r="F12" s="1084"/>
    </row>
    <row r="13" spans="1:9">
      <c r="A13" s="820"/>
      <c r="B13" s="820"/>
      <c r="C13" s="820"/>
      <c r="D13" s="1002" t="s">
        <v>1279</v>
      </c>
      <c r="E13" s="1002"/>
      <c r="F13" s="1002"/>
    </row>
    <row r="14" spans="1:9">
      <c r="A14" s="820"/>
      <c r="B14" s="820"/>
      <c r="C14" s="820"/>
      <c r="D14" s="821"/>
    </row>
    <row r="15" spans="1:9" ht="14.25">
      <c r="A15" s="822"/>
      <c r="B15" s="823" t="s">
        <v>329</v>
      </c>
      <c r="C15" s="824"/>
      <c r="D15" s="1000" t="s">
        <v>1280</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1281</v>
      </c>
      <c r="E19" s="1026"/>
      <c r="F19" s="1026"/>
    </row>
    <row r="20" spans="1:7" ht="14.25">
      <c r="A20" s="822"/>
      <c r="B20" s="822"/>
      <c r="D20" s="825"/>
    </row>
    <row r="21" spans="1:7" ht="14.25">
      <c r="A21" s="822"/>
      <c r="B21" s="823" t="s">
        <v>329</v>
      </c>
      <c r="D21" s="1000" t="s">
        <v>1282</v>
      </c>
      <c r="E21" s="1000"/>
      <c r="F21" s="1000"/>
    </row>
    <row r="22" spans="1:7" ht="14.25">
      <c r="A22" s="822"/>
      <c r="B22" s="822"/>
      <c r="D22" s="1000"/>
      <c r="E22" s="1000"/>
      <c r="F22" s="1000"/>
    </row>
    <row r="23" spans="1:7"/>
    <row r="24" spans="1:7" ht="14.25">
      <c r="A24" s="822"/>
      <c r="B24" s="823" t="s">
        <v>329</v>
      </c>
      <c r="D24" s="1054" t="s">
        <v>1283</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1284</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1473</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1286</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1287</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1288</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1289</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1290</v>
      </c>
      <c r="E56" s="1001"/>
      <c r="F56" s="1001"/>
    </row>
    <row r="57" spans="1:7">
      <c r="D57" s="1001"/>
      <c r="E57" s="1001"/>
      <c r="F57" s="1001"/>
    </row>
    <row r="58" spans="1:7">
      <c r="D58" s="1001"/>
      <c r="E58" s="1001"/>
      <c r="F58" s="1001"/>
    </row>
    <row r="59" spans="1:7">
      <c r="D59" s="717"/>
    </row>
    <row r="60" spans="1:7" ht="14.25">
      <c r="A60" s="822"/>
      <c r="B60" s="823" t="s">
        <v>329</v>
      </c>
      <c r="D60" s="1001" t="s">
        <v>1291</v>
      </c>
      <c r="E60" s="1001"/>
      <c r="F60" s="1001"/>
    </row>
    <row r="61" spans="1:7">
      <c r="D61" s="1001"/>
      <c r="E61" s="1001"/>
      <c r="F61" s="1001"/>
    </row>
    <row r="62" spans="1:7"/>
    <row r="63" spans="1:7" ht="14.25">
      <c r="A63" s="822"/>
      <c r="B63" s="823" t="s">
        <v>329</v>
      </c>
      <c r="D63" s="1001" t="s">
        <v>1292</v>
      </c>
      <c r="E63" s="1001"/>
      <c r="F63" s="1001"/>
    </row>
    <row r="64" spans="1:7">
      <c r="D64" s="1001"/>
      <c r="E64" s="1001"/>
      <c r="F64" s="1001"/>
    </row>
    <row r="65" spans="1:7">
      <c r="D65" s="1001"/>
      <c r="E65" s="1001"/>
      <c r="F65" s="1001"/>
    </row>
    <row r="66" spans="1:7">
      <c r="D66" s="815"/>
    </row>
    <row r="67" spans="1:7" ht="14.25">
      <c r="A67" s="822"/>
      <c r="B67" s="823" t="s">
        <v>329</v>
      </c>
      <c r="D67" s="1000" t="s">
        <v>1293</v>
      </c>
      <c r="E67" s="1000"/>
      <c r="F67" s="1000"/>
    </row>
    <row r="68" spans="1:7">
      <c r="D68" s="1000"/>
      <c r="E68" s="1000"/>
      <c r="F68" s="1000"/>
    </row>
    <row r="69" spans="1:7" ht="14.25">
      <c r="A69" s="822"/>
      <c r="B69" s="822"/>
      <c r="D69" s="825"/>
    </row>
    <row r="70" spans="1:7">
      <c r="A70" s="982" t="s">
        <v>1200</v>
      </c>
      <c r="B70" s="982"/>
      <c r="C70" s="982"/>
      <c r="D70" s="982"/>
      <c r="E70" s="982"/>
      <c r="F70" s="982"/>
      <c r="G70" s="982"/>
    </row>
    <row r="71" spans="1:7"/>
    <row r="72" spans="1:7">
      <c r="C72" s="832"/>
      <c r="D72" s="1071" t="s">
        <v>1298</v>
      </c>
      <c r="E72" s="1071"/>
      <c r="F72" s="1071"/>
    </row>
    <row r="73" spans="1:7">
      <c r="A73" s="825"/>
      <c r="B73" s="825"/>
      <c r="D73" s="1000" t="s">
        <v>1325</v>
      </c>
      <c r="E73" s="1000"/>
      <c r="F73" s="1000"/>
    </row>
    <row r="74" spans="1:7">
      <c r="A74" s="825"/>
      <c r="B74" s="825"/>
    </row>
    <row r="75" spans="1:7" ht="13.7" customHeight="1">
      <c r="A75" s="822"/>
      <c r="B75" s="823" t="s">
        <v>329</v>
      </c>
      <c r="D75" s="1000" t="s">
        <v>1527</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1445</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1300</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1302</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1303</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1304</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1412</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1455</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1487</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1306</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1307</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64" t="s">
        <v>483</v>
      </c>
      <c r="C166" s="1064"/>
      <c r="D166" s="1064"/>
      <c r="E166" s="1064"/>
      <c r="F166" s="1064"/>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1310</v>
      </c>
      <c r="E170" s="1006"/>
      <c r="F170" s="1006"/>
      <c r="G170" s="844"/>
    </row>
    <row r="171" spans="1:7">
      <c r="A171" s="842"/>
      <c r="B171" s="842"/>
      <c r="C171" s="843"/>
      <c r="D171" s="1006"/>
      <c r="E171" s="1006"/>
      <c r="F171" s="1006"/>
      <c r="G171" s="844"/>
    </row>
    <row r="172" spans="1:7">
      <c r="A172" s="842"/>
      <c r="B172" s="842"/>
      <c r="C172" s="843"/>
      <c r="D172" s="1007" t="s">
        <v>1446</v>
      </c>
      <c r="E172" s="1007"/>
      <c r="F172" s="1007"/>
      <c r="G172" s="844"/>
    </row>
    <row r="173" spans="1:7" ht="12" customHeight="1">
      <c r="A173" s="842"/>
      <c r="B173" s="842"/>
      <c r="C173" s="843"/>
      <c r="D173" s="844"/>
      <c r="E173" s="845"/>
      <c r="F173" s="844"/>
      <c r="G173" s="844"/>
    </row>
    <row r="174" spans="1:7" ht="14.25">
      <c r="A174" s="822"/>
      <c r="B174" s="823" t="s">
        <v>329</v>
      </c>
      <c r="C174" s="843"/>
      <c r="D174" s="1000" t="s">
        <v>1309</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1218</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1475</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1332</v>
      </c>
      <c r="E190" s="1077"/>
      <c r="F190" s="1077"/>
    </row>
    <row r="191" spans="1:7" ht="12" customHeight="1">
      <c r="A191" s="841"/>
      <c r="B191" s="841"/>
      <c r="C191" s="841"/>
    </row>
    <row r="192" spans="1:7" ht="13.7" customHeight="1">
      <c r="A192" s="841"/>
      <c r="C192" s="841"/>
      <c r="D192" s="999" t="s">
        <v>592</v>
      </c>
      <c r="E192" s="999"/>
      <c r="F192" s="999"/>
    </row>
    <row r="193" spans="1:6" ht="14.25">
      <c r="A193" s="822"/>
      <c r="B193" s="823" t="s">
        <v>329</v>
      </c>
      <c r="D193" s="1000" t="s">
        <v>1327</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1328</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1329</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72" t="s">
        <v>1331</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1330</v>
      </c>
      <c r="E213" s="1000"/>
      <c r="F213" s="1000"/>
    </row>
    <row r="214" spans="1:7" ht="14.25">
      <c r="A214" s="822"/>
      <c r="B214" s="822"/>
      <c r="D214" s="1000"/>
      <c r="E214" s="1000"/>
      <c r="F214" s="1000"/>
    </row>
    <row r="215" spans="1:7">
      <c r="D215" s="846"/>
    </row>
    <row r="216" spans="1:7">
      <c r="A216" s="982" t="s">
        <v>1204</v>
      </c>
      <c r="B216" s="982"/>
      <c r="C216" s="982"/>
      <c r="D216" s="982"/>
      <c r="E216" s="982"/>
      <c r="F216" s="982"/>
      <c r="G216" s="982"/>
    </row>
    <row r="217" spans="1:7">
      <c r="D217" s="846"/>
    </row>
    <row r="218" spans="1:7">
      <c r="C218" s="832"/>
      <c r="D218" s="999" t="s">
        <v>1333</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1447</v>
      </c>
      <c r="E221" s="1074"/>
      <c r="F221" s="1074"/>
    </row>
    <row r="222" spans="1:7">
      <c r="D222" s="1074"/>
      <c r="E222" s="1074"/>
      <c r="F222" s="1074"/>
    </row>
    <row r="223" spans="1:7">
      <c r="D223" s="1077" t="s">
        <v>983</v>
      </c>
      <c r="E223" s="1077"/>
      <c r="F223" s="1077"/>
    </row>
    <row r="224" spans="1:7">
      <c r="D224" s="825"/>
      <c r="E224" s="825"/>
      <c r="F224" s="825"/>
    </row>
    <row r="225" spans="1:7" ht="14.45" customHeight="1">
      <c r="A225" s="822"/>
      <c r="B225" s="823" t="s">
        <v>329</v>
      </c>
      <c r="D225" s="1072" t="s">
        <v>1448</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1336</v>
      </c>
      <c r="E231" s="1000"/>
      <c r="F231" s="1000"/>
    </row>
    <row r="232" spans="1:7">
      <c r="D232" s="1000"/>
      <c r="E232" s="1000"/>
      <c r="F232" s="1000"/>
    </row>
    <row r="233" spans="1:7">
      <c r="D233" s="1000"/>
      <c r="E233" s="1000"/>
      <c r="F233" s="1000"/>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71" t="s">
        <v>1338</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1339</v>
      </c>
      <c r="E241" s="1055"/>
      <c r="F241" s="1055"/>
    </row>
    <row r="242" spans="1:7">
      <c r="E242" s="825"/>
      <c r="F242" s="825"/>
    </row>
    <row r="243" spans="1:7" ht="14.25">
      <c r="A243" s="822"/>
      <c r="B243" s="823" t="s">
        <v>329</v>
      </c>
      <c r="D243" s="1000" t="s">
        <v>1340</v>
      </c>
      <c r="E243" s="1000"/>
      <c r="F243" s="1000"/>
    </row>
    <row r="244" spans="1:7" ht="14.25">
      <c r="A244" s="822"/>
      <c r="B244" s="822"/>
      <c r="D244" s="1000"/>
      <c r="E244" s="1000"/>
      <c r="F244" s="1000"/>
    </row>
    <row r="245" spans="1:7">
      <c r="D245" s="825"/>
      <c r="E245" s="825"/>
      <c r="F245" s="825"/>
    </row>
    <row r="246" spans="1:7" ht="14.25">
      <c r="A246" s="822"/>
      <c r="B246" s="823" t="s">
        <v>329</v>
      </c>
      <c r="D246" s="1072" t="s">
        <v>1341</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1342</v>
      </c>
      <c r="E250" s="1000"/>
      <c r="F250" s="1000"/>
    </row>
    <row r="251" spans="1:7" ht="14.25">
      <c r="A251" s="822"/>
      <c r="B251" s="822"/>
      <c r="D251" s="1000"/>
      <c r="E251" s="1000"/>
      <c r="F251" s="1000"/>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99" t="s">
        <v>735</v>
      </c>
      <c r="E255" s="999"/>
      <c r="F255" s="999"/>
    </row>
    <row r="256" spans="1:7">
      <c r="C256" s="841"/>
      <c r="D256" s="1002" t="s">
        <v>1343</v>
      </c>
      <c r="E256" s="1002"/>
      <c r="F256" s="1002"/>
    </row>
    <row r="257" spans="1:7">
      <c r="C257" s="841"/>
      <c r="D257" s="848"/>
    </row>
    <row r="258" spans="1:7">
      <c r="A258" s="826"/>
      <c r="B258" s="823" t="s">
        <v>329</v>
      </c>
      <c r="D258" s="1002" t="s">
        <v>1344</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1480</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1346</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1347</v>
      </c>
      <c r="E269" s="1002"/>
      <c r="F269" s="1002"/>
    </row>
    <row r="270" spans="1:7">
      <c r="E270" s="825"/>
      <c r="F270" s="825"/>
    </row>
    <row r="271" spans="1:7" ht="14.25">
      <c r="A271" s="822"/>
      <c r="B271" s="823" t="s">
        <v>329</v>
      </c>
      <c r="D271" s="1072" t="s">
        <v>1510</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1349</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1581</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1092</v>
      </c>
      <c r="E304" s="1073"/>
      <c r="F304" s="1073"/>
      <c r="G304" s="815"/>
    </row>
    <row r="305" spans="1:7" ht="13.5" thickTop="1">
      <c r="D305" s="1082" t="s">
        <v>1351</v>
      </c>
      <c r="E305" s="1082"/>
      <c r="F305" s="1082"/>
      <c r="G305" s="815"/>
    </row>
    <row r="306" spans="1:7">
      <c r="A306" s="839"/>
      <c r="B306" s="839"/>
      <c r="C306" s="839"/>
      <c r="D306" s="811"/>
      <c r="E306" s="811"/>
      <c r="F306" s="825"/>
      <c r="G306" s="815"/>
    </row>
    <row r="307" spans="1:7" ht="14.25">
      <c r="A307" s="822"/>
      <c r="B307" s="823" t="s">
        <v>329</v>
      </c>
      <c r="C307" s="839"/>
      <c r="D307" s="996" t="s">
        <v>1352</v>
      </c>
      <c r="E307" s="996"/>
      <c r="F307" s="996"/>
      <c r="G307" s="815"/>
    </row>
    <row r="308" spans="1:7">
      <c r="A308" s="839"/>
      <c r="B308" s="839"/>
      <c r="C308" s="839"/>
      <c r="D308" s="811"/>
      <c r="E308" s="811"/>
      <c r="F308" s="825"/>
      <c r="G308" s="815"/>
    </row>
    <row r="309" spans="1:7">
      <c r="A309" s="839"/>
      <c r="B309" s="823" t="s">
        <v>329</v>
      </c>
      <c r="C309" s="839"/>
      <c r="D309" s="991" t="s">
        <v>1484</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1485</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1354</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1355</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1356</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1357</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1604</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1511</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1582</v>
      </c>
      <c r="E372" s="991"/>
      <c r="F372" s="991"/>
      <c r="G372" s="815"/>
    </row>
    <row r="373" spans="1:7">
      <c r="D373" s="825"/>
      <c r="E373" s="825"/>
      <c r="F373" s="825"/>
      <c r="G373" s="815"/>
    </row>
    <row r="374" spans="1:7" ht="14.25">
      <c r="A374" s="822"/>
      <c r="B374" s="823" t="s">
        <v>329</v>
      </c>
      <c r="C374" s="854"/>
      <c r="D374" s="1000" t="s">
        <v>1359</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1360</v>
      </c>
      <c r="E406" s="1002"/>
      <c r="F406" s="1002"/>
    </row>
    <row r="407" spans="1:7">
      <c r="D407" s="992" t="s">
        <v>1508</v>
      </c>
      <c r="E407" s="992"/>
      <c r="F407" s="992"/>
    </row>
    <row r="408" spans="1:7">
      <c r="D408" s="1072" t="s">
        <v>1507</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1362</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1449</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1364</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1365</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1366</v>
      </c>
      <c r="E440" s="1077"/>
      <c r="F440" s="1077"/>
    </row>
    <row r="441" spans="1:7">
      <c r="A441" s="825"/>
      <c r="B441" s="825"/>
    </row>
    <row r="442" spans="1:7">
      <c r="A442" s="982" t="s">
        <v>1207</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1367</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1368</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1583</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1371</v>
      </c>
      <c r="E455" s="1002"/>
      <c r="F455" s="1002"/>
      <c r="G455" s="815"/>
    </row>
    <row r="456" spans="1:7" ht="14.25">
      <c r="A456" s="822"/>
      <c r="B456" s="822"/>
      <c r="D456" s="810"/>
      <c r="E456" s="696"/>
      <c r="F456" s="696"/>
      <c r="G456" s="815"/>
    </row>
    <row r="457" spans="1:7" ht="14.25">
      <c r="A457" s="822"/>
      <c r="B457" s="823" t="s">
        <v>329</v>
      </c>
      <c r="D457" s="1000" t="s">
        <v>1372</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1373</v>
      </c>
      <c r="E460" s="1002"/>
      <c r="F460" s="100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874</v>
      </c>
      <c r="E464" s="1076"/>
      <c r="F464" s="1076"/>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1451</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1628</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1245</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1243</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1244</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1388</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1272</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1246</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64" t="s">
        <v>483</v>
      </c>
      <c r="C511" s="1064"/>
      <c r="D511" s="1064"/>
      <c r="E511" s="1064"/>
      <c r="F511" s="1064"/>
    </row>
    <row r="512" spans="1:7">
      <c r="A512" s="825"/>
      <c r="B512" s="825"/>
      <c r="C512" s="854"/>
      <c r="D512" s="825"/>
      <c r="F512" s="825"/>
    </row>
    <row r="513" spans="1:7">
      <c r="A513" s="1032" t="s">
        <v>1210</v>
      </c>
      <c r="B513" s="1032"/>
      <c r="C513" s="1032"/>
      <c r="D513" s="1032"/>
      <c r="E513" s="1032"/>
      <c r="F513" s="1032"/>
      <c r="G513" s="1032"/>
    </row>
    <row r="514" spans="1:7">
      <c r="A514" s="825"/>
      <c r="B514" s="825"/>
      <c r="C514" s="854"/>
      <c r="D514" s="825"/>
      <c r="F514" s="825"/>
    </row>
    <row r="515" spans="1:7">
      <c r="C515" s="854"/>
      <c r="D515" s="999" t="s">
        <v>736</v>
      </c>
      <c r="E515" s="999"/>
      <c r="F515" s="999"/>
    </row>
    <row r="516" spans="1:7">
      <c r="C516" s="854"/>
      <c r="D516" s="1002" t="s">
        <v>1267</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1268</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1269</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1270</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1271</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1389</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1273</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1274</v>
      </c>
      <c r="E539" s="1002"/>
      <c r="F539" s="1002"/>
      <c r="G539" s="844"/>
    </row>
    <row r="540" spans="1:7">
      <c r="A540" s="841"/>
      <c r="B540" s="841"/>
      <c r="C540" s="854"/>
      <c r="D540" s="1002" t="s">
        <v>904</v>
      </c>
      <c r="E540" s="1002"/>
      <c r="F540" s="1002"/>
      <c r="G540" s="844"/>
    </row>
    <row r="541" spans="1:7">
      <c r="A541" s="841"/>
      <c r="B541" s="841"/>
      <c r="C541" s="854"/>
      <c r="D541" s="696"/>
      <c r="E541" s="1055" t="s">
        <v>1275</v>
      </c>
      <c r="F541" s="1055"/>
      <c r="G541" s="844"/>
    </row>
    <row r="542" spans="1:7" ht="14.25">
      <c r="A542" s="822"/>
      <c r="B542" s="822"/>
      <c r="C542" s="854"/>
      <c r="E542" s="825"/>
      <c r="F542" s="825"/>
      <c r="G542" s="844"/>
    </row>
    <row r="543" spans="1:7" ht="14.25">
      <c r="A543" s="822"/>
      <c r="B543" s="823" t="s">
        <v>329</v>
      </c>
      <c r="C543" s="854"/>
      <c r="D543" s="1086" t="s">
        <v>1276</v>
      </c>
      <c r="E543" s="1086"/>
      <c r="F543" s="1086"/>
      <c r="G543" s="844"/>
    </row>
    <row r="544" spans="1:7">
      <c r="C544" s="854"/>
      <c r="D544" s="1000" t="s">
        <v>1277</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1278</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1227</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1228</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1229</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1230</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1231</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1212</v>
      </c>
      <c r="B577" s="982"/>
      <c r="C577" s="982"/>
      <c r="D577" s="982"/>
      <c r="E577" s="982"/>
      <c r="F577" s="982"/>
      <c r="G577" s="982"/>
    </row>
    <row r="578" spans="1:7"/>
    <row r="579" spans="1:7">
      <c r="D579" s="999" t="s">
        <v>1312</v>
      </c>
      <c r="E579" s="999"/>
      <c r="F579" s="999"/>
    </row>
    <row r="580" spans="1:7">
      <c r="D580" s="1038" t="s">
        <v>1313</v>
      </c>
      <c r="E580" s="1038"/>
      <c r="F580" s="1038"/>
    </row>
    <row r="581" spans="1:7">
      <c r="D581" s="804"/>
      <c r="E581" s="746"/>
      <c r="F581" s="746"/>
    </row>
    <row r="582" spans="1:7" s="816" customFormat="1" ht="14.25">
      <c r="A582" s="830"/>
      <c r="B582" s="823" t="s">
        <v>329</v>
      </c>
      <c r="C582" s="826"/>
      <c r="D582" s="1001" t="s">
        <v>1314</v>
      </c>
      <c r="E582" s="1001"/>
      <c r="F582" s="1001"/>
      <c r="G582" s="827"/>
    </row>
    <row r="583" spans="1:7">
      <c r="D583" s="1001"/>
      <c r="E583" s="1001"/>
      <c r="F583" s="1001"/>
    </row>
    <row r="584" spans="1:7">
      <c r="D584" s="1001"/>
      <c r="E584" s="1001"/>
      <c r="F584" s="1001"/>
    </row>
    <row r="585" spans="1:7"/>
    <row r="586" spans="1:7">
      <c r="A586" s="982" t="s">
        <v>1213</v>
      </c>
      <c r="B586" s="982"/>
      <c r="C586" s="982"/>
      <c r="D586" s="982"/>
      <c r="E586" s="982"/>
      <c r="F586" s="982"/>
      <c r="G586" s="982"/>
    </row>
    <row r="587" spans="1:7">
      <c r="A587" s="825"/>
      <c r="B587" s="825"/>
      <c r="G587" s="844"/>
    </row>
    <row r="588" spans="1:7">
      <c r="A588" s="865"/>
      <c r="B588" s="865"/>
      <c r="C588" s="818"/>
      <c r="D588" s="1039" t="s">
        <v>1315</v>
      </c>
      <c r="E588" s="1039"/>
      <c r="F588" s="1039"/>
      <c r="G588" s="844"/>
    </row>
    <row r="589" spans="1:7">
      <c r="A589" s="865"/>
      <c r="B589" s="865"/>
      <c r="C589" s="818"/>
      <c r="D589" s="1039"/>
      <c r="E589" s="1039"/>
      <c r="F589" s="1039"/>
      <c r="G589" s="844"/>
    </row>
    <row r="590" spans="1:7">
      <c r="C590" s="820"/>
      <c r="D590" s="1038" t="s">
        <v>1316</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1317</v>
      </c>
      <c r="E594" s="998"/>
      <c r="F594" s="998"/>
      <c r="G594" s="844"/>
    </row>
    <row r="595" spans="1:7">
      <c r="D595" s="998"/>
      <c r="E595" s="998"/>
      <c r="F595" s="998"/>
      <c r="G595" s="844"/>
    </row>
    <row r="596" spans="1:7">
      <c r="D596" s="815"/>
      <c r="G596" s="844"/>
    </row>
    <row r="597" spans="1:7">
      <c r="B597" s="823" t="s">
        <v>329</v>
      </c>
      <c r="D597" s="998" t="s">
        <v>1318</v>
      </c>
      <c r="E597" s="998"/>
      <c r="F597" s="998"/>
      <c r="G597" s="844"/>
    </row>
    <row r="598" spans="1:7">
      <c r="C598" s="866"/>
      <c r="D598" s="998"/>
      <c r="E598" s="998"/>
      <c r="F598" s="998"/>
      <c r="G598" s="844"/>
    </row>
    <row r="599" spans="1:7">
      <c r="C599" s="866"/>
      <c r="G599" s="844"/>
    </row>
    <row r="600" spans="1:7">
      <c r="B600" s="823" t="s">
        <v>329</v>
      </c>
      <c r="C600" s="866"/>
      <c r="D600" s="998" t="s">
        <v>1319</v>
      </c>
      <c r="E600" s="998"/>
      <c r="F600" s="998"/>
      <c r="G600" s="844"/>
    </row>
    <row r="601" spans="1:7">
      <c r="C601" s="866"/>
      <c r="D601" s="998"/>
      <c r="E601" s="998"/>
      <c r="F601" s="998"/>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99" t="s">
        <v>1320</v>
      </c>
      <c r="E605" s="999"/>
      <c r="F605" s="999"/>
      <c r="G605" s="844"/>
    </row>
    <row r="606" spans="1:7">
      <c r="A606" s="841"/>
      <c r="B606" s="841"/>
      <c r="C606" s="843"/>
      <c r="D606" s="819"/>
      <c r="G606" s="844"/>
    </row>
    <row r="607" spans="1:7" ht="14.25">
      <c r="A607" s="822"/>
      <c r="B607" s="823" t="s">
        <v>329</v>
      </c>
      <c r="C607" s="843"/>
      <c r="D607" s="1000" t="s">
        <v>1566</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1322</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1492</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1324</v>
      </c>
      <c r="E620" s="1002"/>
      <c r="F620" s="100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78" t="s">
        <v>1374</v>
      </c>
      <c r="E624" s="1078"/>
      <c r="F624" s="1078"/>
      <c r="G624" s="844"/>
    </row>
    <row r="625" spans="1:7">
      <c r="A625" s="820"/>
      <c r="B625" s="820"/>
      <c r="C625" s="820"/>
      <c r="D625" s="1079" t="s">
        <v>1375</v>
      </c>
      <c r="E625" s="1079"/>
      <c r="F625" s="1079"/>
      <c r="G625" s="844"/>
    </row>
    <row r="626" spans="1:7">
      <c r="A626" s="820"/>
      <c r="B626" s="820"/>
      <c r="C626" s="820"/>
      <c r="D626" s="751"/>
      <c r="E626" s="751"/>
      <c r="F626" s="751"/>
      <c r="G626" s="844"/>
    </row>
    <row r="627" spans="1:7" ht="12.75" customHeight="1">
      <c r="B627" s="823" t="s">
        <v>329</v>
      </c>
      <c r="C627" s="854"/>
      <c r="D627" s="1069" t="s">
        <v>1600</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1603</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1601</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1602</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1226</v>
      </c>
      <c r="E653" s="1075"/>
      <c r="F653" s="1075"/>
      <c r="G653" s="844"/>
    </row>
    <row r="654" spans="1:7" ht="14.25">
      <c r="A654" s="822"/>
      <c r="B654" s="822"/>
      <c r="C654" s="854"/>
      <c r="D654" s="998" t="s">
        <v>1377</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1565</v>
      </c>
      <c r="E659" s="1023"/>
      <c r="F659" s="1023"/>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1252</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1253</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1454</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1255</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1265</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1456</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1256</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1263</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1264</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1257</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1258</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1259</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1392</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1260</v>
      </c>
      <c r="E730" s="1030"/>
      <c r="F730" s="1030"/>
      <c r="G730" s="844"/>
      <c r="H730" s="869"/>
      <c r="I730" s="869"/>
      <c r="J730" s="869"/>
      <c r="K730" s="869"/>
    </row>
    <row r="731" spans="1:11">
      <c r="A731" s="820"/>
      <c r="B731" s="820"/>
      <c r="C731" s="820"/>
      <c r="D731" s="806"/>
      <c r="G731" s="844"/>
      <c r="H731" s="869"/>
      <c r="I731" s="869"/>
      <c r="J731" s="869"/>
      <c r="K731" s="869"/>
    </row>
    <row r="732" spans="1:11">
      <c r="A732" s="1032" t="s">
        <v>1217</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1233</v>
      </c>
      <c r="E734" s="1071"/>
      <c r="F734" s="1071"/>
      <c r="G734" s="874"/>
      <c r="H734" s="869"/>
      <c r="I734" s="869"/>
      <c r="J734" s="869"/>
      <c r="K734" s="869"/>
    </row>
    <row r="735" spans="1:11">
      <c r="A735" s="820"/>
      <c r="B735" s="820"/>
      <c r="C735" s="820"/>
      <c r="D735" s="1026" t="s">
        <v>1234</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1235</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1512</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1513</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1450</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1474</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1571</v>
      </c>
      <c r="B760" s="1034"/>
      <c r="C760" s="1034"/>
      <c r="D760" s="1034"/>
      <c r="E760" s="1034"/>
      <c r="F760" s="1034"/>
      <c r="G760" s="1034"/>
    </row>
    <row r="761" spans="1:11">
      <c r="A761" s="820"/>
      <c r="B761" s="820"/>
      <c r="C761" s="820"/>
      <c r="D761" s="881"/>
      <c r="F761" s="868"/>
      <c r="G761" s="874"/>
    </row>
    <row r="762" spans="1:11">
      <c r="A762" s="826"/>
      <c r="B762" s="826"/>
      <c r="C762" s="831"/>
      <c r="D762" s="1035" t="s">
        <v>1579</v>
      </c>
      <c r="E762" s="1035"/>
      <c r="F762" s="1035"/>
      <c r="G762" s="874"/>
    </row>
    <row r="763" spans="1:11">
      <c r="A763" s="882"/>
      <c r="B763" s="882"/>
      <c r="C763" s="883"/>
      <c r="D763" s="1025" t="s">
        <v>1567</v>
      </c>
      <c r="E763" s="1025"/>
      <c r="F763" s="1025"/>
      <c r="G763" s="874"/>
    </row>
    <row r="764" spans="1:11">
      <c r="A764" s="882"/>
      <c r="B764" s="882"/>
      <c r="C764" s="883"/>
      <c r="D764" s="920"/>
      <c r="E764" s="920"/>
      <c r="F764" s="920"/>
      <c r="G764" s="874"/>
    </row>
    <row r="765" spans="1:11">
      <c r="A765" s="826"/>
      <c r="C765" s="831"/>
      <c r="D765" s="1035" t="s">
        <v>1564</v>
      </c>
      <c r="E765" s="1035"/>
      <c r="F765" s="1035"/>
      <c r="G765" s="874"/>
    </row>
    <row r="766" spans="1:11" ht="14.25">
      <c r="A766" s="822"/>
      <c r="B766" s="823" t="s">
        <v>329</v>
      </c>
      <c r="C766" s="831"/>
      <c r="D766" s="1026" t="s">
        <v>1102</v>
      </c>
      <c r="E766" s="1026"/>
      <c r="F766" s="1026"/>
      <c r="G766" s="874"/>
    </row>
    <row r="767" spans="1:11" ht="14.25">
      <c r="A767" s="822"/>
      <c r="B767" s="815"/>
      <c r="C767" s="831"/>
      <c r="D767" s="921"/>
      <c r="E767" s="1027" t="s">
        <v>1225</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1580</v>
      </c>
      <c r="E770" s="1035"/>
      <c r="F770" s="1035"/>
      <c r="G770" s="874"/>
    </row>
    <row r="771" spans="1:7" ht="14.25">
      <c r="A771" s="822"/>
      <c r="B771" s="823" t="s">
        <v>329</v>
      </c>
      <c r="C771" s="831"/>
      <c r="D771" s="1053" t="s">
        <v>1576</v>
      </c>
      <c r="E771" s="1053"/>
      <c r="F771" s="1053"/>
      <c r="G771" s="815"/>
    </row>
    <row r="772" spans="1:7" ht="14.25">
      <c r="A772" s="822"/>
      <c r="B772" s="815"/>
      <c r="C772" s="831"/>
      <c r="D772" s="1053" t="s">
        <v>1577</v>
      </c>
      <c r="E772" s="1053"/>
      <c r="F772" s="105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64" t="s">
        <v>1101</v>
      </c>
      <c r="C782" s="1064"/>
      <c r="D782" s="1064"/>
      <c r="E782" s="1064"/>
      <c r="F782" s="1064"/>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77" t="s">
        <v>483</v>
      </c>
      <c r="C786" s="1077"/>
      <c r="D786" s="1077"/>
      <c r="E786" s="1077"/>
      <c r="F786" s="1077"/>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77" t="s">
        <v>483</v>
      </c>
      <c r="C790" s="1077"/>
      <c r="D790" s="1077"/>
      <c r="E790" s="1077"/>
      <c r="F790" s="1077"/>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77" t="s">
        <v>483</v>
      </c>
      <c r="C794" s="1077"/>
      <c r="D794" s="1077"/>
      <c r="E794" s="1077"/>
      <c r="F794" s="1077"/>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77" t="s">
        <v>483</v>
      </c>
      <c r="C798" s="1077"/>
      <c r="D798" s="1077"/>
      <c r="E798" s="1077"/>
      <c r="F798" s="1077"/>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77" t="s">
        <v>483</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483</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483</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92" zoomScaleNormal="100" zoomScaleSheetLayoutView="100" workbookViewId="0">
      <selection activeCell="C546" sqref="C546:O54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5" t="s">
        <v>1569</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7" t="s">
        <v>1570</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1568</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09" t="s">
        <v>1643</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2.75">
      <c r="A13" s="958" t="s">
        <v>1427</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0" t="s">
        <v>1644</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5" t="s">
        <v>1645</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7" t="s">
        <v>965</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2" t="s">
        <v>1153</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2862935</v>
      </c>
      <c r="N26" s="1511"/>
      <c r="O26" s="1511"/>
      <c r="P26" s="1511"/>
      <c r="Q26" s="151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20377059</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8" t="s">
        <v>722</v>
      </c>
      <c r="P33" s="109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9"/>
      <c r="H122" s="1489"/>
      <c r="I122" s="247" t="s">
        <v>195</v>
      </c>
      <c r="L122" s="1489"/>
      <c r="M122" s="1489"/>
      <c r="N122" s="1489"/>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8"/>
      <c r="D124" s="1508"/>
      <c r="E124" s="1508"/>
      <c r="F124" s="1508"/>
      <c r="G124" s="1508"/>
      <c r="H124" s="1508"/>
      <c r="I124" s="1508"/>
      <c r="J124" s="1508"/>
      <c r="K124" s="1508"/>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5" t="s">
        <v>540</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226" t="s">
        <v>1646</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477</v>
      </c>
      <c r="F155" s="13"/>
      <c r="G155" s="13"/>
      <c r="H155" s="13"/>
      <c r="I155" s="13"/>
      <c r="J155" s="13"/>
      <c r="K155" s="13"/>
      <c r="L155" s="13"/>
      <c r="M155" s="13"/>
      <c r="N155" s="13"/>
      <c r="O155" s="1499" t="s">
        <v>1647</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2.75">
      <c r="D156" s="32" t="s">
        <v>335</v>
      </c>
      <c r="F156" s="32"/>
      <c r="G156" s="32"/>
      <c r="H156" s="32"/>
      <c r="I156" s="32"/>
      <c r="J156" s="32"/>
      <c r="K156" s="32"/>
      <c r="L156" s="32"/>
      <c r="M156" s="32"/>
      <c r="N156" s="32"/>
      <c r="O156" s="1097" t="s">
        <v>1648</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540</v>
      </c>
      <c r="P157" s="1219"/>
      <c r="Q157" s="1219"/>
      <c r="R157" s="1219"/>
      <c r="S157" s="1219"/>
      <c r="T157" s="1219"/>
      <c r="U157" s="1219"/>
      <c r="V157" s="1219"/>
      <c r="W157" s="1219"/>
      <c r="X157" s="1219"/>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4">
        <v>90012</v>
      </c>
      <c r="P158" s="1314"/>
      <c r="Q158" s="1314"/>
      <c r="R158" s="1314"/>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3" t="s">
        <v>1649</v>
      </c>
      <c r="P159" s="1313"/>
      <c r="Q159" s="1313"/>
      <c r="R159" s="1313"/>
      <c r="S159" s="1313"/>
      <c r="T159" s="1313"/>
      <c r="V159" s="149" t="s">
        <v>287</v>
      </c>
      <c r="W159" s="1315"/>
      <c r="X159" s="1315"/>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3" t="s">
        <v>1650</v>
      </c>
      <c r="P160" s="1313"/>
      <c r="Q160" s="1313"/>
      <c r="R160" s="1313"/>
      <c r="S160" s="1313"/>
      <c r="T160" s="1313"/>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4"/>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5" t="s">
        <v>1509</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0" t="s">
        <v>585</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726</v>
      </c>
      <c r="BG169" s="12" t="s">
        <v>534</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7" t="s">
        <v>1651</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8" t="s">
        <v>722</v>
      </c>
      <c r="V175" s="109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8" t="s">
        <v>641</v>
      </c>
      <c r="V176" s="1488"/>
      <c r="W176" s="4" t="s">
        <v>328</v>
      </c>
      <c r="X176" s="1498"/>
      <c r="Y176" s="1498"/>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722</v>
      </c>
      <c r="S177" s="109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t="s">
        <v>641</v>
      </c>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8" t="s">
        <v>722</v>
      </c>
      <c r="Y180" s="1098"/>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9" t="str">
        <f>H18</f>
        <v>Hollywood Arts Collective</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629</v>
      </c>
      <c r="E187" s="25"/>
      <c r="F187" s="25"/>
      <c r="G187" s="25"/>
      <c r="H187" s="25"/>
      <c r="I187" s="1119" t="s">
        <v>1652</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1192</v>
      </c>
      <c r="BA190" s="36" t="s">
        <v>685</v>
      </c>
      <c r="BG190" s="12" t="s">
        <v>73</v>
      </c>
    </row>
    <row r="191" spans="1:59" ht="12.75">
      <c r="A191" s="25"/>
      <c r="C191" s="45"/>
      <c r="D191" s="25" t="s">
        <v>630</v>
      </c>
      <c r="E191" s="25"/>
      <c r="I191" s="1097" t="s">
        <v>540</v>
      </c>
      <c r="J191" s="1097"/>
      <c r="K191" s="1097"/>
      <c r="L191" s="1097"/>
      <c r="M191" s="1097"/>
      <c r="N191" s="1097"/>
      <c r="O191" s="1097"/>
      <c r="P191" s="1097"/>
      <c r="Q191" s="25" t="s">
        <v>632</v>
      </c>
      <c r="T191" s="1097" t="s">
        <v>540</v>
      </c>
      <c r="U191" s="1097"/>
      <c r="V191" s="1097"/>
      <c r="W191" s="1097"/>
      <c r="X191" s="1097"/>
      <c r="Y191" s="1097"/>
      <c r="Z191" s="1097"/>
      <c r="AA191" s="1097"/>
      <c r="AB191" s="1097"/>
      <c r="AC191" s="1097"/>
      <c r="AD191" s="1097"/>
      <c r="AE191" s="1097"/>
      <c r="AH191" s="25"/>
      <c r="AJ191" s="3"/>
      <c r="AK191" s="3"/>
      <c r="AL191" s="3"/>
      <c r="AP191" s="12" t="s">
        <v>1193</v>
      </c>
      <c r="BA191" s="36" t="s">
        <v>742</v>
      </c>
      <c r="BG191" s="12" t="s">
        <v>788</v>
      </c>
    </row>
    <row r="192" spans="1:59" ht="12.75">
      <c r="A192" s="25"/>
      <c r="C192" s="46"/>
      <c r="D192" s="25" t="s">
        <v>633</v>
      </c>
      <c r="E192" s="25"/>
      <c r="F192" s="25"/>
      <c r="G192" s="25"/>
      <c r="I192" s="1119">
        <v>90028</v>
      </c>
      <c r="J192" s="1119"/>
      <c r="K192" s="1119"/>
      <c r="L192" s="1119"/>
      <c r="M192" s="1119"/>
      <c r="N192" s="1119"/>
      <c r="O192" s="25" t="s">
        <v>635</v>
      </c>
      <c r="P192" s="25"/>
      <c r="Q192" s="25"/>
      <c r="R192" s="25"/>
      <c r="S192" s="25"/>
      <c r="T192" s="1492">
        <v>1907</v>
      </c>
      <c r="U192" s="1492"/>
      <c r="V192" s="1492"/>
      <c r="W192" s="1492"/>
      <c r="X192" s="1492"/>
      <c r="Y192" s="1492"/>
      <c r="Z192" s="1492"/>
      <c r="AA192" s="1492"/>
      <c r="AB192" s="1492"/>
      <c r="AC192" s="1492"/>
      <c r="AD192" s="1492"/>
      <c r="AE192" s="1492"/>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8" t="s">
        <v>1653</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8" t="s">
        <v>591</v>
      </c>
      <c r="U195" s="1098"/>
      <c r="W195" s="25" t="s">
        <v>738</v>
      </c>
      <c r="X195" s="25"/>
      <c r="Y195" s="25"/>
      <c r="Z195" s="25"/>
      <c r="AA195" s="25"/>
      <c r="AB195" s="25"/>
      <c r="AC195" s="25"/>
      <c r="AD195" s="25"/>
      <c r="AE195" s="25"/>
      <c r="AF195" s="25"/>
      <c r="AG195" s="25"/>
      <c r="AH195" s="1098">
        <v>28</v>
      </c>
      <c r="AI195" s="109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722</v>
      </c>
      <c r="U196" s="1224"/>
      <c r="W196" s="25" t="s">
        <v>739</v>
      </c>
      <c r="X196" s="25"/>
      <c r="Y196" s="25"/>
      <c r="Z196" s="25"/>
      <c r="AA196" s="25"/>
      <c r="AB196" s="25"/>
      <c r="AC196" s="25"/>
      <c r="AD196" s="25"/>
      <c r="AE196" s="25"/>
      <c r="AF196" s="25"/>
      <c r="AG196" s="25"/>
      <c r="AH196" s="1098">
        <v>50</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722</v>
      </c>
      <c r="U197" s="1224"/>
      <c r="V197" s="12"/>
      <c r="W197" s="25" t="s">
        <v>740</v>
      </c>
      <c r="X197" s="25"/>
      <c r="Y197" s="25"/>
      <c r="Z197" s="25"/>
      <c r="AA197" s="25"/>
      <c r="AB197" s="25"/>
      <c r="AC197" s="25"/>
      <c r="AD197" s="25"/>
      <c r="AE197" s="25"/>
      <c r="AF197" s="25"/>
      <c r="AG197" s="25"/>
      <c r="AH197" s="1098">
        <v>26</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4" t="s">
        <v>722</v>
      </c>
      <c r="Z198" s="12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9" t="s">
        <v>417</v>
      </c>
      <c r="E203" s="1099"/>
      <c r="F203" s="1099"/>
      <c r="G203" s="1099"/>
      <c r="H203" s="1099"/>
      <c r="I203" s="1099"/>
      <c r="J203" s="1099"/>
      <c r="K203" s="1099"/>
      <c r="L203" s="1099"/>
      <c r="M203" s="1099"/>
      <c r="P203" s="1486">
        <f>M26</f>
        <v>2862935</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7" t="s">
        <v>1532</v>
      </c>
      <c r="E204" s="1099"/>
      <c r="F204" s="1099"/>
      <c r="G204" s="1099"/>
      <c r="H204" s="1099"/>
      <c r="I204" s="1099"/>
      <c r="J204" s="1099"/>
      <c r="K204" s="1099"/>
      <c r="L204" s="1099"/>
      <c r="M204" s="1099"/>
      <c r="P204" s="1316">
        <f>M27</f>
        <v>20377059</v>
      </c>
      <c r="Q204" s="1316"/>
      <c r="R204" s="1316"/>
      <c r="S204" s="1316"/>
      <c r="T204" s="1316"/>
      <c r="U204" s="1316"/>
      <c r="V204" s="47"/>
      <c r="W204" s="25" t="s">
        <v>1533</v>
      </c>
      <c r="X204" s="25"/>
      <c r="Y204" s="25"/>
      <c r="Z204" s="25"/>
      <c r="AA204" s="25"/>
      <c r="AB204" s="25"/>
      <c r="AC204" s="25"/>
      <c r="AD204" s="25"/>
      <c r="AE204" s="25"/>
      <c r="AF204" s="1098" t="s">
        <v>722</v>
      </c>
      <c r="AG204" s="1098"/>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19" t="s">
        <v>1779</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9" t="s">
        <v>1196</v>
      </c>
      <c r="E210" s="1219"/>
      <c r="F210" s="1219"/>
      <c r="G210" s="1219"/>
      <c r="H210" s="1219"/>
      <c r="I210" s="1219"/>
      <c r="J210" s="1219"/>
      <c r="K210" s="1219"/>
      <c r="L210" s="1219"/>
      <c r="M210" s="1219"/>
      <c r="N210" s="12" t="s">
        <v>1517</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19" t="s">
        <v>969</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0" t="s">
        <v>586</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641</v>
      </c>
      <c r="AJ221" s="109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591</v>
      </c>
      <c r="AJ222" s="109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591</v>
      </c>
      <c r="AJ223" s="1098"/>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641</v>
      </c>
      <c r="AJ224" s="109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1" t="str">
        <f>H16</f>
        <v>Hollywood Arts Collective LP</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584</v>
      </c>
      <c r="AT227" s="406">
        <f>IF(AND(AND($M$244="nonprofit",$M$252="for profit",$M$260="nonprofit")),2,0)</f>
        <v>0</v>
      </c>
    </row>
    <row r="228" spans="1:59" ht="12.75">
      <c r="D228" s="57" t="s">
        <v>92</v>
      </c>
      <c r="E228" s="57"/>
      <c r="F228" s="57"/>
      <c r="G228" s="57"/>
      <c r="H228" s="57"/>
      <c r="I228" s="57"/>
      <c r="J228" s="57"/>
      <c r="K228" s="7"/>
      <c r="M228" s="1095" t="s">
        <v>1654</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584</v>
      </c>
      <c r="AT228" s="405">
        <f>IF(AND(AND($M$244="for profit",$M$252="nonprofit",$M$260="nonprofit")),2,0)</f>
        <v>0</v>
      </c>
      <c r="BB228" s="61"/>
    </row>
    <row r="229" spans="1:59" ht="12.75">
      <c r="D229" s="57" t="s">
        <v>630</v>
      </c>
      <c r="E229" s="57"/>
      <c r="M229" s="1095" t="s">
        <v>540</v>
      </c>
      <c r="N229" s="1219"/>
      <c r="O229" s="1219"/>
      <c r="P229" s="1219"/>
      <c r="Q229" s="1219"/>
      <c r="R229" s="1219"/>
      <c r="S229" s="1219"/>
      <c r="T229" s="1219"/>
      <c r="V229" s="59" t="s">
        <v>93</v>
      </c>
      <c r="W229" s="1226" t="s">
        <v>1655</v>
      </c>
      <c r="X229" s="1102"/>
      <c r="Y229" s="57" t="s">
        <v>633</v>
      </c>
      <c r="AC229" s="1219">
        <v>90049</v>
      </c>
      <c r="AD229" s="1219"/>
      <c r="AE229" s="1219"/>
      <c r="AO229" s="402"/>
      <c r="AT229" s="403"/>
    </row>
    <row r="230" spans="1:59" ht="12.75">
      <c r="D230" s="60" t="s">
        <v>94</v>
      </c>
      <c r="E230" s="7"/>
      <c r="F230" s="7"/>
      <c r="G230" s="7"/>
      <c r="H230" s="7"/>
      <c r="I230" s="7"/>
      <c r="J230" s="7"/>
      <c r="K230" s="29"/>
      <c r="M230" s="1095" t="s">
        <v>1656</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583</v>
      </c>
      <c r="AT230" s="406">
        <f>IF(AND(AND($M$244="nonprofit",$M$252="nonprofit",$M$260="(select one)")),1,0)</f>
        <v>0</v>
      </c>
    </row>
    <row r="231" spans="1:59" ht="12.75">
      <c r="D231" s="60" t="s">
        <v>95</v>
      </c>
      <c r="E231" s="7"/>
      <c r="F231" s="7"/>
      <c r="M231" s="1100" t="s">
        <v>1657</v>
      </c>
      <c r="N231" s="1101"/>
      <c r="O231" s="1101"/>
      <c r="P231" s="1101"/>
      <c r="Q231" s="1101"/>
      <c r="R231" s="1101"/>
      <c r="S231" s="7" t="s">
        <v>220</v>
      </c>
      <c r="T231" s="7"/>
      <c r="U231" s="1102"/>
      <c r="V231" s="1102"/>
      <c r="W231" s="1102"/>
      <c r="X231" s="7" t="s">
        <v>96</v>
      </c>
      <c r="Z231" s="1101"/>
      <c r="AA231" s="1101"/>
      <c r="AB231" s="1101"/>
      <c r="AC231" s="1101"/>
      <c r="AD231" s="1101"/>
      <c r="AE231" s="1101"/>
      <c r="AO231" s="400" t="s">
        <v>583</v>
      </c>
      <c r="AT231" s="406">
        <f>IF(AND(AND($M$244="nonprofit",$M$252="nonprofit",$M$260="nonprofit")),1,0)</f>
        <v>0</v>
      </c>
    </row>
    <row r="232" spans="1:59" ht="12.75">
      <c r="D232" s="60" t="s">
        <v>97</v>
      </c>
      <c r="E232" s="7"/>
      <c r="F232" s="7"/>
      <c r="M232" s="1494" t="s">
        <v>1658</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9" t="s">
        <v>574</v>
      </c>
      <c r="N233" s="1119"/>
      <c r="O233" s="1119"/>
      <c r="P233" s="1119"/>
      <c r="Q233" s="1119"/>
      <c r="R233" s="1119"/>
      <c r="S233" s="1119"/>
      <c r="T233" s="1119"/>
      <c r="U233" s="404" t="s">
        <v>1004</v>
      </c>
      <c r="V233" s="335"/>
      <c r="W233" s="335"/>
      <c r="X233" s="335"/>
      <c r="Y233" s="335"/>
      <c r="Z233" s="335"/>
      <c r="AA233" s="1262"/>
      <c r="AB233" s="1262"/>
      <c r="AC233" s="1262"/>
      <c r="AD233" s="1262"/>
      <c r="AE233" s="1262"/>
      <c r="AF233" s="1262"/>
      <c r="AG233" s="1262"/>
      <c r="AH233" s="1262"/>
      <c r="AI233" s="1262"/>
      <c r="AJ233" s="1262"/>
      <c r="AK233" s="1262"/>
      <c r="AL233" s="58"/>
      <c r="AO233" s="400" t="s">
        <v>971</v>
      </c>
      <c r="AT233" s="406">
        <f>IF(AND(AND($M$244="for profit",$M$252="for profit",$M$260="(select one)")),3,0)</f>
        <v>0</v>
      </c>
    </row>
    <row r="234" spans="1:59" ht="12.75">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0" t="s">
        <v>1659</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1660</v>
      </c>
      <c r="AG238" s="1255"/>
      <c r="AH238" s="1255"/>
      <c r="AI238" s="1255"/>
      <c r="AJ238" s="1255"/>
      <c r="AK238" s="1255"/>
      <c r="AT238" s="12">
        <v>1</v>
      </c>
      <c r="AU238" s="12" t="s">
        <v>580</v>
      </c>
      <c r="AZ238" s="25"/>
      <c r="BA238" s="3"/>
      <c r="BB238" s="3"/>
    </row>
    <row r="239" spans="1:59" ht="12.75">
      <c r="A239" s="29"/>
      <c r="B239" s="7"/>
      <c r="C239" s="7"/>
      <c r="D239" s="57" t="s">
        <v>92</v>
      </c>
      <c r="E239" s="57"/>
      <c r="F239" s="57"/>
      <c r="G239" s="57"/>
      <c r="H239" s="57"/>
      <c r="I239" s="57"/>
      <c r="J239" s="57"/>
      <c r="K239" s="57"/>
      <c r="L239" s="7"/>
      <c r="M239" s="1095" t="s">
        <v>1654</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5" t="s">
        <v>540</v>
      </c>
      <c r="N240" s="1219"/>
      <c r="O240" s="1219"/>
      <c r="P240" s="1219"/>
      <c r="Q240" s="1219"/>
      <c r="R240" s="1219"/>
      <c r="S240" s="1219"/>
      <c r="T240" s="1219"/>
      <c r="V240" s="59" t="s">
        <v>93</v>
      </c>
      <c r="W240" s="1226" t="s">
        <v>1655</v>
      </c>
      <c r="X240" s="1102"/>
      <c r="Y240" s="57" t="s">
        <v>633</v>
      </c>
      <c r="AC240" s="1219">
        <v>90049</v>
      </c>
      <c r="AD240" s="1219"/>
      <c r="AE240" s="1219"/>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5" t="s">
        <v>1656</v>
      </c>
      <c r="N241" s="1219"/>
      <c r="O241" s="1219"/>
      <c r="P241" s="1219"/>
      <c r="Q241" s="1219"/>
      <c r="R241" s="1219"/>
      <c r="S241" s="1219"/>
      <c r="T241" s="1219"/>
      <c r="U241" s="1219"/>
      <c r="V241" s="1219"/>
      <c r="W241" s="1219"/>
      <c r="X241" s="1219"/>
      <c r="Y241" s="1219"/>
      <c r="Z241" s="1219"/>
      <c r="AA241" s="1219"/>
      <c r="AB241" s="1219"/>
      <c r="AC241" s="1219"/>
      <c r="AD241" s="1219"/>
      <c r="AE241" s="1219"/>
      <c r="AH241" s="1583">
        <v>0.9</v>
      </c>
      <c r="AI241" s="1584"/>
      <c r="AJ241" s="1584"/>
      <c r="AK241" s="1584"/>
      <c r="AL241" s="7"/>
      <c r="AN241" s="7" t="s">
        <v>296</v>
      </c>
      <c r="BA241" s="61"/>
    </row>
    <row r="242" spans="1:53" ht="12.75">
      <c r="A242" s="29"/>
      <c r="B242" s="7"/>
      <c r="C242" s="7"/>
      <c r="D242" s="60" t="s">
        <v>95</v>
      </c>
      <c r="E242" s="7"/>
      <c r="F242" s="7"/>
      <c r="M242" s="1100" t="s">
        <v>1657</v>
      </c>
      <c r="N242" s="1101"/>
      <c r="O242" s="1101"/>
      <c r="P242" s="1101"/>
      <c r="Q242" s="1101"/>
      <c r="R242" s="1101"/>
      <c r="S242" s="7" t="s">
        <v>220</v>
      </c>
      <c r="T242" s="7"/>
      <c r="U242" s="1102"/>
      <c r="V242" s="1102"/>
      <c r="W242" s="1102"/>
      <c r="X242" s="7" t="s">
        <v>96</v>
      </c>
      <c r="Z242" s="1101"/>
      <c r="AA242" s="1101"/>
      <c r="AB242" s="1101"/>
      <c r="AC242" s="1101"/>
      <c r="AD242" s="1101"/>
      <c r="AE242" s="1101"/>
      <c r="AN242" s="7" t="s">
        <v>186</v>
      </c>
      <c r="BA242" s="61"/>
    </row>
    <row r="243" spans="1:53" ht="12.75">
      <c r="A243" s="29"/>
      <c r="B243" s="7"/>
      <c r="C243" s="7"/>
      <c r="D243" s="60" t="s">
        <v>97</v>
      </c>
      <c r="E243" s="7"/>
      <c r="F243" s="7"/>
      <c r="M243" s="1494" t="s">
        <v>1658</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582</v>
      </c>
      <c r="N244" s="1119"/>
      <c r="O244" s="1119"/>
      <c r="P244" s="1119"/>
      <c r="Q244" s="1119"/>
      <c r="R244" s="1119"/>
      <c r="S244" s="1119"/>
      <c r="T244" s="1119"/>
      <c r="U244" s="404" t="s">
        <v>1004</v>
      </c>
      <c r="V244" s="335"/>
      <c r="W244" s="335"/>
      <c r="X244" s="335"/>
      <c r="Y244" s="335"/>
      <c r="Z244" s="335"/>
      <c r="AA244" s="1491" t="s">
        <v>1661</v>
      </c>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0" t="s">
        <v>1662</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1663</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5" t="s">
        <v>1664</v>
      </c>
      <c r="N247" s="1219"/>
      <c r="O247" s="1219"/>
      <c r="P247" s="1219"/>
      <c r="Q247" s="1219"/>
      <c r="R247" s="1219"/>
      <c r="S247" s="1219"/>
      <c r="T247" s="1219"/>
      <c r="U247" s="1219"/>
      <c r="V247" s="1219"/>
      <c r="W247" s="1219"/>
      <c r="X247" s="1219"/>
      <c r="Y247" s="1219"/>
      <c r="Z247" s="1219"/>
      <c r="AA247" s="1219"/>
      <c r="AB247" s="1219"/>
      <c r="AC247" s="1219"/>
      <c r="AD247" s="1219"/>
      <c r="AE247" s="1219"/>
      <c r="AF247" s="58" t="s">
        <v>1418</v>
      </c>
      <c r="AG247" s="743"/>
      <c r="AH247" s="743"/>
      <c r="AI247" s="743"/>
      <c r="AJ247" s="743"/>
      <c r="AK247" s="743"/>
      <c r="AL247" s="7"/>
      <c r="BA247" s="61"/>
    </row>
    <row r="248" spans="1:53" ht="12.75">
      <c r="A248" s="29"/>
      <c r="B248" s="7"/>
      <c r="C248" s="7"/>
      <c r="D248" s="57" t="s">
        <v>630</v>
      </c>
      <c r="E248" s="57"/>
      <c r="M248" s="1095" t="s">
        <v>1665</v>
      </c>
      <c r="N248" s="1219"/>
      <c r="O248" s="1219"/>
      <c r="P248" s="1219"/>
      <c r="Q248" s="1219"/>
      <c r="R248" s="1219"/>
      <c r="S248" s="1219"/>
      <c r="T248" s="1219"/>
      <c r="V248" s="59" t="s">
        <v>93</v>
      </c>
      <c r="W248" s="1226" t="s">
        <v>1655</v>
      </c>
      <c r="X248" s="1102"/>
      <c r="Y248" s="57" t="s">
        <v>633</v>
      </c>
      <c r="AC248" s="1219">
        <v>90036</v>
      </c>
      <c r="AD248" s="1219"/>
      <c r="AE248" s="121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5" t="s">
        <v>1666</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3">
        <v>0.1</v>
      </c>
      <c r="AI249" s="1584"/>
      <c r="AJ249" s="1584"/>
      <c r="AK249" s="1584"/>
      <c r="AL249" s="7"/>
      <c r="BA249" s="61"/>
    </row>
    <row r="250" spans="1:53" ht="12.75">
      <c r="A250" s="29"/>
      <c r="B250" s="7"/>
      <c r="C250" s="7"/>
      <c r="D250" s="60" t="s">
        <v>95</v>
      </c>
      <c r="E250" s="7"/>
      <c r="F250" s="7"/>
      <c r="M250" s="1100" t="s">
        <v>1667</v>
      </c>
      <c r="N250" s="1101"/>
      <c r="O250" s="1101"/>
      <c r="P250" s="1101"/>
      <c r="Q250" s="1101"/>
      <c r="R250" s="1101"/>
      <c r="S250" s="7" t="s">
        <v>220</v>
      </c>
      <c r="T250" s="7"/>
      <c r="U250" s="1102"/>
      <c r="V250" s="1102"/>
      <c r="W250" s="1102"/>
      <c r="X250" s="7" t="s">
        <v>96</v>
      </c>
      <c r="Z250" s="1101"/>
      <c r="AA250" s="1101"/>
      <c r="AB250" s="1101"/>
      <c r="AC250" s="1101"/>
      <c r="AD250" s="1101"/>
      <c r="AE250" s="1101"/>
      <c r="BA250" s="61"/>
    </row>
    <row r="251" spans="1:53" ht="12.75" customHeight="1">
      <c r="A251" s="29"/>
      <c r="B251" s="7"/>
      <c r="C251" s="7"/>
      <c r="D251" s="60" t="s">
        <v>97</v>
      </c>
      <c r="E251" s="7"/>
      <c r="F251" s="7"/>
      <c r="M251" s="1494" t="s">
        <v>1668</v>
      </c>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580</v>
      </c>
      <c r="N252" s="1119"/>
      <c r="O252" s="1119"/>
      <c r="P252" s="1119"/>
      <c r="Q252" s="1119"/>
      <c r="R252" s="1119"/>
      <c r="S252" s="1119"/>
      <c r="T252" s="1119"/>
      <c r="U252" s="404" t="s">
        <v>1004</v>
      </c>
      <c r="V252" s="335"/>
      <c r="W252" s="335"/>
      <c r="X252" s="335"/>
      <c r="Y252" s="335"/>
      <c r="Z252" s="335"/>
      <c r="AA252" s="1262"/>
      <c r="AB252" s="1262"/>
      <c r="AC252" s="1262"/>
      <c r="AD252" s="1262"/>
      <c r="AE252" s="1262"/>
      <c r="AF252" s="1262"/>
      <c r="AG252" s="1262"/>
      <c r="AH252" s="1262"/>
      <c r="AI252" s="1262"/>
      <c r="AJ252" s="1262"/>
      <c r="AK252" s="126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1418</v>
      </c>
      <c r="AG255" s="743"/>
      <c r="AH255" s="743"/>
      <c r="AI255" s="743"/>
      <c r="AJ255" s="743"/>
      <c r="AK255" s="743"/>
      <c r="AL255" s="58"/>
      <c r="BA255" s="61"/>
    </row>
    <row r="256" spans="1:53" ht="12.75">
      <c r="A256" s="23"/>
      <c r="B256" s="7"/>
      <c r="C256" s="7"/>
      <c r="D256" s="57" t="s">
        <v>630</v>
      </c>
      <c r="E256" s="57"/>
      <c r="M256" s="1219"/>
      <c r="N256" s="1219"/>
      <c r="O256" s="1219"/>
      <c r="P256" s="1219"/>
      <c r="Q256" s="1219"/>
      <c r="R256" s="1219"/>
      <c r="S256" s="1219"/>
      <c r="T256" s="1219"/>
      <c r="V256" s="59" t="s">
        <v>93</v>
      </c>
      <c r="W256" s="1102"/>
      <c r="X256" s="1102"/>
      <c r="Y256" s="57" t="s">
        <v>633</v>
      </c>
      <c r="AC256" s="1219"/>
      <c r="AD256" s="1219"/>
      <c r="AE256" s="121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4"/>
      <c r="AI257" s="1584"/>
      <c r="AJ257" s="1584"/>
      <c r="AK257" s="1584"/>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2"/>
      <c r="AB259" s="1502"/>
      <c r="AC259" s="1502"/>
      <c r="AD259" s="1502"/>
      <c r="AE259" s="1502"/>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404" t="s">
        <v>1004</v>
      </c>
      <c r="V260" s="335"/>
      <c r="W260" s="335"/>
      <c r="X260" s="335"/>
      <c r="Y260" s="335"/>
      <c r="Z260" s="335"/>
      <c r="AA260" s="1503"/>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7" t="str">
        <f>BB239</f>
        <v>Joint Venture</v>
      </c>
      <c r="U262" s="1497"/>
      <c r="V262" s="1497"/>
      <c r="W262" s="1497"/>
      <c r="X262" s="149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0" t="s">
        <v>1661</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5" t="s">
        <v>1654</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630</v>
      </c>
      <c r="E271" s="57"/>
      <c r="L271" s="1095" t="s">
        <v>540</v>
      </c>
      <c r="M271" s="1219"/>
      <c r="N271" s="1219"/>
      <c r="O271" s="1219"/>
      <c r="P271" s="1219"/>
      <c r="Q271" s="1219"/>
      <c r="R271" s="1219"/>
      <c r="S271" s="1219"/>
      <c r="U271" s="59" t="s">
        <v>93</v>
      </c>
      <c r="V271" s="1226" t="s">
        <v>1655</v>
      </c>
      <c r="W271" s="1102"/>
      <c r="X271" s="57" t="s">
        <v>633</v>
      </c>
      <c r="AB271" s="1219">
        <v>90049</v>
      </c>
      <c r="AC271" s="1219"/>
      <c r="AD271" s="1219"/>
      <c r="AK271" s="58"/>
      <c r="AL271" s="58"/>
      <c r="BA271" s="61"/>
    </row>
    <row r="272" spans="1:53" ht="12.75">
      <c r="D272" s="60" t="s">
        <v>94</v>
      </c>
      <c r="E272" s="7"/>
      <c r="F272" s="7"/>
      <c r="G272" s="7"/>
      <c r="H272" s="7"/>
      <c r="I272" s="7"/>
      <c r="J272" s="7"/>
      <c r="K272" s="29"/>
      <c r="L272" s="1095" t="s">
        <v>1669</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0" t="s">
        <v>1670</v>
      </c>
      <c r="M273" s="1101"/>
      <c r="N273" s="1101"/>
      <c r="O273" s="1101"/>
      <c r="P273" s="1101"/>
      <c r="Q273" s="1101"/>
      <c r="R273" s="7" t="s">
        <v>220</v>
      </c>
      <c r="S273" s="7"/>
      <c r="T273" s="1102"/>
      <c r="U273" s="1102"/>
      <c r="V273" s="1102"/>
      <c r="W273" s="7" t="s">
        <v>96</v>
      </c>
      <c r="Y273" s="1101"/>
      <c r="Z273" s="1101"/>
      <c r="AA273" s="1101"/>
      <c r="AB273" s="1101"/>
      <c r="AC273" s="1101"/>
      <c r="AD273" s="1101"/>
      <c r="BA273" s="61"/>
    </row>
    <row r="274" spans="1:53" ht="12.75">
      <c r="D274" s="60" t="s">
        <v>97</v>
      </c>
      <c r="E274" s="7"/>
      <c r="F274" s="7"/>
      <c r="L274" s="1494" t="s">
        <v>1671</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673</v>
      </c>
      <c r="E275" s="58"/>
      <c r="F275" s="58"/>
      <c r="G275" s="58"/>
      <c r="H275" s="58"/>
      <c r="I275" s="58"/>
      <c r="L275" s="1226" t="s">
        <v>1766</v>
      </c>
      <c r="M275" s="1226"/>
      <c r="N275" s="1226"/>
      <c r="O275" s="1226"/>
      <c r="P275" s="1226"/>
      <c r="Q275" s="1226"/>
      <c r="R275" s="1226"/>
      <c r="S275" s="1226"/>
      <c r="T275" s="1226"/>
      <c r="U275" s="1226"/>
      <c r="V275" s="1226"/>
      <c r="W275" s="1226"/>
      <c r="X275" s="1226"/>
      <c r="Y275" s="1226"/>
      <c r="Z275" s="1226"/>
      <c r="AA275" s="1226"/>
      <c r="AB275" s="1226"/>
      <c r="AC275" s="1226"/>
      <c r="AD275" s="1226"/>
      <c r="AK275" s="58"/>
      <c r="AL275" s="58"/>
      <c r="BA275" s="61"/>
    </row>
    <row r="276" spans="1:53" ht="12.75">
      <c r="L276" s="35" t="s">
        <v>674</v>
      </c>
      <c r="BA276" s="61"/>
    </row>
    <row r="277" spans="1:53" ht="12.75">
      <c r="A277" s="1260" t="s">
        <v>587</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7" t="s">
        <v>1672</v>
      </c>
      <c r="I282" s="1097"/>
      <c r="J282" s="1097"/>
      <c r="K282" s="1097"/>
      <c r="L282" s="1097"/>
      <c r="M282" s="1097"/>
      <c r="N282" s="1097"/>
      <c r="O282" s="1097"/>
      <c r="P282" s="1097"/>
      <c r="Q282" s="1097"/>
      <c r="R282" s="1097"/>
      <c r="T282" s="58" t="s">
        <v>615</v>
      </c>
      <c r="V282" s="58"/>
      <c r="W282" s="58"/>
      <c r="X282" s="58"/>
      <c r="Y282" s="58"/>
      <c r="AA282" s="1097" t="s">
        <v>1683</v>
      </c>
      <c r="AB282" s="1097"/>
      <c r="AC282" s="1097"/>
      <c r="AD282" s="1097"/>
      <c r="AE282" s="1097"/>
      <c r="AF282" s="1097"/>
      <c r="AG282" s="1097"/>
      <c r="AH282" s="1097"/>
      <c r="AI282" s="1097"/>
      <c r="AJ282" s="1097"/>
      <c r="AK282" s="1097"/>
      <c r="BA282" s="61"/>
    </row>
    <row r="283" spans="1:53" ht="12.75" customHeight="1">
      <c r="B283" s="58" t="s">
        <v>517</v>
      </c>
      <c r="C283" s="58"/>
      <c r="D283" s="58"/>
      <c r="E283" s="58"/>
      <c r="F283" s="58"/>
      <c r="H283" s="1119" t="s">
        <v>1654</v>
      </c>
      <c r="I283" s="1119"/>
      <c r="J283" s="1119"/>
      <c r="K283" s="1119"/>
      <c r="L283" s="1119"/>
      <c r="M283" s="1119"/>
      <c r="N283" s="1119"/>
      <c r="O283" s="1119"/>
      <c r="P283" s="1119"/>
      <c r="Q283" s="1119"/>
      <c r="R283" s="1119"/>
      <c r="T283" s="58" t="s">
        <v>517</v>
      </c>
      <c r="V283" s="58"/>
      <c r="W283" s="58"/>
      <c r="X283" s="58"/>
      <c r="Y283" s="58"/>
      <c r="AA283" s="1119" t="s">
        <v>1677</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19" t="s">
        <v>1673</v>
      </c>
      <c r="I284" s="1119"/>
      <c r="J284" s="1119"/>
      <c r="K284" s="1119"/>
      <c r="L284" s="1119"/>
      <c r="M284" s="1119"/>
      <c r="N284" s="1119"/>
      <c r="O284" s="1119"/>
      <c r="P284" s="1119"/>
      <c r="Q284" s="1119"/>
      <c r="R284" s="1119"/>
      <c r="T284" s="58" t="s">
        <v>81</v>
      </c>
      <c r="V284" s="58"/>
      <c r="W284" s="58"/>
      <c r="X284" s="58"/>
      <c r="Y284" s="58"/>
      <c r="AA284" s="1119" t="s">
        <v>1678</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1674</v>
      </c>
      <c r="I285" s="1119"/>
      <c r="J285" s="1119"/>
      <c r="K285" s="1119"/>
      <c r="L285" s="1119"/>
      <c r="M285" s="1119"/>
      <c r="N285" s="1119"/>
      <c r="O285" s="1119"/>
      <c r="P285" s="1119"/>
      <c r="Q285" s="1119"/>
      <c r="R285" s="1119"/>
      <c r="T285" s="58" t="s">
        <v>94</v>
      </c>
      <c r="V285" s="58"/>
      <c r="W285" s="58"/>
      <c r="X285" s="58"/>
      <c r="Y285" s="58"/>
      <c r="AA285" s="1119" t="s">
        <v>1679</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1657</v>
      </c>
      <c r="I286" s="1121"/>
      <c r="J286" s="1121"/>
      <c r="K286" s="1121"/>
      <c r="L286" s="1121"/>
      <c r="M286" s="1121"/>
      <c r="N286" s="7" t="s">
        <v>220</v>
      </c>
      <c r="O286" s="7"/>
      <c r="P286" s="1219"/>
      <c r="Q286" s="1219"/>
      <c r="R286" s="1219"/>
      <c r="S286" s="58"/>
      <c r="T286" s="58" t="s">
        <v>95</v>
      </c>
      <c r="V286" s="58"/>
      <c r="W286" s="58"/>
      <c r="X286" s="58"/>
      <c r="Y286" s="58"/>
      <c r="AA286" s="1120" t="s">
        <v>1680</v>
      </c>
      <c r="AB286" s="1121"/>
      <c r="AC286" s="1121"/>
      <c r="AD286" s="1121"/>
      <c r="AE286" s="1121"/>
      <c r="AF286" s="1121"/>
      <c r="AG286" s="7" t="s">
        <v>220</v>
      </c>
      <c r="AH286" s="7"/>
      <c r="AI286" s="1219"/>
      <c r="AJ286" s="1219"/>
      <c r="AK286" s="1219"/>
      <c r="BA286" s="61"/>
    </row>
    <row r="287" spans="1:53" ht="12.75">
      <c r="B287" s="58" t="s">
        <v>96</v>
      </c>
      <c r="C287" s="58"/>
      <c r="D287" s="58"/>
      <c r="E287" s="58"/>
      <c r="F287" s="58"/>
      <c r="G287" s="58"/>
      <c r="H287" s="1100" t="s">
        <v>1675</v>
      </c>
      <c r="I287" s="1101"/>
      <c r="J287" s="1101"/>
      <c r="K287" s="1101"/>
      <c r="L287" s="1101"/>
      <c r="M287" s="1101"/>
      <c r="N287" s="60"/>
      <c r="O287" s="60"/>
      <c r="P287" s="62"/>
      <c r="Q287" s="62"/>
      <c r="R287" s="62"/>
      <c r="S287" s="58"/>
      <c r="T287" s="58" t="s">
        <v>96</v>
      </c>
      <c r="V287" s="58"/>
      <c r="W287" s="58"/>
      <c r="X287" s="58"/>
      <c r="Y287" s="58"/>
      <c r="AA287" s="1100" t="s">
        <v>1681</v>
      </c>
      <c r="AB287" s="1101"/>
      <c r="AC287" s="1101"/>
      <c r="AD287" s="1101"/>
      <c r="AE287" s="1101"/>
      <c r="AF287" s="1101"/>
      <c r="AG287" s="60"/>
      <c r="AH287" s="60"/>
      <c r="AI287" s="62"/>
      <c r="AJ287" s="62"/>
      <c r="AK287" s="62"/>
      <c r="BA287" s="61"/>
    </row>
    <row r="288" spans="1:53" ht="12.75">
      <c r="B288" s="58" t="s">
        <v>82</v>
      </c>
      <c r="C288" s="58"/>
      <c r="D288" s="58"/>
      <c r="E288" s="58"/>
      <c r="F288" s="58"/>
      <c r="G288" s="58"/>
      <c r="H288" s="1119" t="s">
        <v>1676</v>
      </c>
      <c r="I288" s="1119"/>
      <c r="J288" s="1119"/>
      <c r="K288" s="1119"/>
      <c r="L288" s="1119"/>
      <c r="M288" s="1119"/>
      <c r="N288" s="1097"/>
      <c r="O288" s="1097"/>
      <c r="P288" s="1097"/>
      <c r="Q288" s="1097"/>
      <c r="R288" s="1097"/>
      <c r="S288" s="58"/>
      <c r="T288" s="58" t="s">
        <v>82</v>
      </c>
      <c r="V288" s="58"/>
      <c r="W288" s="58"/>
      <c r="X288" s="58"/>
      <c r="Y288" s="58"/>
      <c r="AA288" s="1119" t="s">
        <v>1682</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c r="I290" s="1097"/>
      <c r="J290" s="1097"/>
      <c r="K290" s="1097"/>
      <c r="L290" s="1097"/>
      <c r="M290" s="1097"/>
      <c r="N290" s="1097"/>
      <c r="O290" s="1097"/>
      <c r="P290" s="1097"/>
      <c r="Q290" s="1097"/>
      <c r="R290" s="1097"/>
      <c r="T290" s="58" t="s">
        <v>388</v>
      </c>
      <c r="V290" s="58"/>
      <c r="W290" s="58"/>
      <c r="X290" s="58"/>
      <c r="Y290" s="58"/>
      <c r="AA290" s="1097"/>
      <c r="AB290" s="1097"/>
      <c r="AC290" s="1097"/>
      <c r="AD290" s="1097"/>
      <c r="AE290" s="1097"/>
      <c r="AF290" s="1097"/>
      <c r="AG290" s="1097"/>
      <c r="AH290" s="1097"/>
      <c r="AI290" s="1097"/>
      <c r="AJ290" s="1097"/>
      <c r="AK290" s="1097"/>
      <c r="BA290" s="61"/>
    </row>
    <row r="291" spans="2:53" ht="12.75">
      <c r="B291" s="58" t="s">
        <v>517</v>
      </c>
      <c r="C291" s="58"/>
      <c r="D291" s="58"/>
      <c r="E291" s="58"/>
      <c r="F291" s="58"/>
      <c r="H291" s="1119"/>
      <c r="I291" s="1119"/>
      <c r="J291" s="1119"/>
      <c r="K291" s="1119"/>
      <c r="L291" s="1119"/>
      <c r="M291" s="1119"/>
      <c r="N291" s="1119"/>
      <c r="O291" s="1119"/>
      <c r="P291" s="1119"/>
      <c r="Q291" s="1119"/>
      <c r="R291" s="1119"/>
      <c r="T291" s="58" t="s">
        <v>517</v>
      </c>
      <c r="V291" s="58"/>
      <c r="W291" s="58"/>
      <c r="X291" s="58"/>
      <c r="Y291" s="58"/>
      <c r="AA291" s="1119"/>
      <c r="AB291" s="1119"/>
      <c r="AC291" s="1119"/>
      <c r="AD291" s="1119"/>
      <c r="AE291" s="1119"/>
      <c r="AF291" s="1119"/>
      <c r="AG291" s="1119"/>
      <c r="AH291" s="1119"/>
      <c r="AI291" s="1119"/>
      <c r="AJ291" s="1119"/>
      <c r="AK291" s="1119"/>
      <c r="BA291" s="61"/>
    </row>
    <row r="292" spans="2:53" ht="12.75">
      <c r="B292" s="58" t="s">
        <v>518</v>
      </c>
      <c r="C292" s="58"/>
      <c r="D292" s="58"/>
      <c r="E292" s="58"/>
      <c r="F292" s="58"/>
      <c r="H292" s="1119"/>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1"/>
      <c r="I294" s="1121"/>
      <c r="J294" s="1121"/>
      <c r="K294" s="1121"/>
      <c r="L294" s="1121"/>
      <c r="M294" s="1121"/>
      <c r="N294" s="7" t="s">
        <v>220</v>
      </c>
      <c r="O294" s="7"/>
      <c r="P294" s="1219"/>
      <c r="Q294" s="1219"/>
      <c r="R294" s="1219"/>
      <c r="S294" s="58"/>
      <c r="T294" s="58" t="s">
        <v>95</v>
      </c>
      <c r="V294" s="58"/>
      <c r="W294" s="58"/>
      <c r="X294" s="58"/>
      <c r="Y294" s="58"/>
      <c r="AA294" s="1121"/>
      <c r="AB294" s="1121"/>
      <c r="AC294" s="1121"/>
      <c r="AD294" s="1121"/>
      <c r="AE294" s="1121"/>
      <c r="AF294" s="1121"/>
      <c r="AG294" s="7" t="s">
        <v>220</v>
      </c>
      <c r="AH294" s="7"/>
      <c r="AI294" s="1219"/>
      <c r="AJ294" s="1219"/>
      <c r="AK294" s="1219"/>
      <c r="BA294" s="61"/>
    </row>
    <row r="295" spans="2:53" ht="12.75" customHeight="1">
      <c r="B295" s="58" t="s">
        <v>96</v>
      </c>
      <c r="C295" s="58"/>
      <c r="D295" s="58"/>
      <c r="E295" s="58"/>
      <c r="F295" s="58"/>
      <c r="G295" s="58"/>
      <c r="H295" s="1101"/>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19"/>
      <c r="I296" s="1119"/>
      <c r="J296" s="1119"/>
      <c r="K296" s="1119"/>
      <c r="L296" s="1119"/>
      <c r="M296" s="1119"/>
      <c r="N296" s="1097"/>
      <c r="O296" s="1097"/>
      <c r="P296" s="1097"/>
      <c r="Q296" s="1097"/>
      <c r="R296" s="1097"/>
      <c r="S296" s="58"/>
      <c r="T296" s="58" t="s">
        <v>82</v>
      </c>
      <c r="V296" s="58"/>
      <c r="W296" s="58"/>
      <c r="X296" s="58"/>
      <c r="Y296" s="58"/>
      <c r="AA296" s="1119"/>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7"/>
      <c r="I298" s="1097"/>
      <c r="J298" s="1097"/>
      <c r="K298" s="1097"/>
      <c r="L298" s="1097"/>
      <c r="M298" s="1097"/>
      <c r="N298" s="1097"/>
      <c r="O298" s="1097"/>
      <c r="P298" s="1097"/>
      <c r="Q298" s="1097"/>
      <c r="R298" s="1097"/>
      <c r="T298" s="7" t="s">
        <v>972</v>
      </c>
      <c r="V298" s="58"/>
      <c r="W298" s="58"/>
      <c r="X298" s="58"/>
      <c r="Y298" s="58"/>
      <c r="AA298" s="1097" t="s">
        <v>1684</v>
      </c>
      <c r="AB298" s="1097"/>
      <c r="AC298" s="1097"/>
      <c r="AD298" s="1097"/>
      <c r="AE298" s="1097"/>
      <c r="AF298" s="1097"/>
      <c r="AG298" s="1097"/>
      <c r="AH298" s="1097"/>
      <c r="AI298" s="1097"/>
      <c r="AJ298" s="1097"/>
      <c r="AK298" s="1097"/>
      <c r="BA298" s="61"/>
    </row>
    <row r="299" spans="2:53" ht="12.75">
      <c r="B299" s="58" t="s">
        <v>517</v>
      </c>
      <c r="C299" s="58"/>
      <c r="D299" s="58"/>
      <c r="E299" s="58"/>
      <c r="F299" s="58"/>
      <c r="H299" s="1119"/>
      <c r="I299" s="1119"/>
      <c r="J299" s="1119"/>
      <c r="K299" s="1119"/>
      <c r="L299" s="1119"/>
      <c r="M299" s="1119"/>
      <c r="N299" s="1119"/>
      <c r="O299" s="1119"/>
      <c r="P299" s="1119"/>
      <c r="Q299" s="1119"/>
      <c r="R299" s="1119"/>
      <c r="T299" s="58" t="s">
        <v>517</v>
      </c>
      <c r="V299" s="58"/>
      <c r="W299" s="58"/>
      <c r="X299" s="58"/>
      <c r="Y299" s="58"/>
      <c r="AA299" s="1119" t="s">
        <v>1685</v>
      </c>
      <c r="AB299" s="1119"/>
      <c r="AC299" s="1119"/>
      <c r="AD299" s="1119"/>
      <c r="AE299" s="1119"/>
      <c r="AF299" s="1119"/>
      <c r="AG299" s="1119"/>
      <c r="AH299" s="1119"/>
      <c r="AI299" s="1119"/>
      <c r="AJ299" s="1119"/>
      <c r="AK299" s="1119"/>
      <c r="BA299" s="61"/>
    </row>
    <row r="300" spans="2:53" ht="12.75">
      <c r="B300" s="58" t="s">
        <v>518</v>
      </c>
      <c r="C300" s="58"/>
      <c r="D300" s="58"/>
      <c r="E300" s="58"/>
      <c r="F300" s="58"/>
      <c r="H300" s="1119"/>
      <c r="I300" s="1119"/>
      <c r="J300" s="1119"/>
      <c r="K300" s="1119"/>
      <c r="L300" s="1119"/>
      <c r="M300" s="1119"/>
      <c r="N300" s="1119"/>
      <c r="O300" s="1119"/>
      <c r="P300" s="1119"/>
      <c r="Q300" s="1119"/>
      <c r="R300" s="1119"/>
      <c r="T300" s="58" t="s">
        <v>81</v>
      </c>
      <c r="V300" s="58"/>
      <c r="W300" s="58"/>
      <c r="X300" s="58"/>
      <c r="Y300" s="58"/>
      <c r="AA300" s="1119" t="s">
        <v>1686</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c r="I301" s="1119"/>
      <c r="J301" s="1119"/>
      <c r="K301" s="1119"/>
      <c r="L301" s="1119"/>
      <c r="M301" s="1119"/>
      <c r="N301" s="1119"/>
      <c r="O301" s="1119"/>
      <c r="P301" s="1119"/>
      <c r="Q301" s="1119"/>
      <c r="R301" s="1119"/>
      <c r="T301" s="58" t="s">
        <v>94</v>
      </c>
      <c r="V301" s="58"/>
      <c r="W301" s="58"/>
      <c r="X301" s="58"/>
      <c r="Y301" s="58"/>
      <c r="AA301" s="1119" t="s">
        <v>1687</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1"/>
      <c r="I302" s="1121"/>
      <c r="J302" s="1121"/>
      <c r="K302" s="1121"/>
      <c r="L302" s="1121"/>
      <c r="M302" s="1121"/>
      <c r="N302" s="7" t="s">
        <v>220</v>
      </c>
      <c r="O302" s="7"/>
      <c r="P302" s="1219"/>
      <c r="Q302" s="1219"/>
      <c r="R302" s="1219"/>
      <c r="S302" s="58"/>
      <c r="T302" s="58" t="s">
        <v>95</v>
      </c>
      <c r="V302" s="58"/>
      <c r="W302" s="58"/>
      <c r="X302" s="58"/>
      <c r="Y302" s="58"/>
      <c r="AA302" s="1120" t="s">
        <v>1688</v>
      </c>
      <c r="AB302" s="1121"/>
      <c r="AC302" s="1121"/>
      <c r="AD302" s="1121"/>
      <c r="AE302" s="1121"/>
      <c r="AF302" s="1121"/>
      <c r="AG302" s="7" t="s">
        <v>220</v>
      </c>
      <c r="AH302" s="7"/>
      <c r="AI302" s="1219"/>
      <c r="AJ302" s="1219"/>
      <c r="AK302" s="1219"/>
      <c r="BA302" s="61"/>
    </row>
    <row r="303" spans="2:53" ht="12.75">
      <c r="B303" s="58" t="s">
        <v>96</v>
      </c>
      <c r="C303" s="58"/>
      <c r="D303" s="58"/>
      <c r="E303" s="58"/>
      <c r="F303" s="58"/>
      <c r="G303" s="58"/>
      <c r="H303" s="1101"/>
      <c r="I303" s="1101"/>
      <c r="J303" s="1101"/>
      <c r="K303" s="1101"/>
      <c r="L303" s="1101"/>
      <c r="M303" s="1101"/>
      <c r="N303" s="60"/>
      <c r="O303" s="60"/>
      <c r="P303" s="62"/>
      <c r="Q303" s="62"/>
      <c r="R303" s="62"/>
      <c r="S303" s="58"/>
      <c r="T303" s="58" t="s">
        <v>96</v>
      </c>
      <c r="V303" s="58"/>
      <c r="W303" s="58"/>
      <c r="X303" s="58"/>
      <c r="Y303" s="58"/>
      <c r="AA303" s="1100" t="s">
        <v>1689</v>
      </c>
      <c r="AB303" s="1101"/>
      <c r="AC303" s="1101"/>
      <c r="AD303" s="1101"/>
      <c r="AE303" s="1101"/>
      <c r="AF303" s="1101"/>
      <c r="AG303" s="60"/>
      <c r="AH303" s="60"/>
      <c r="AI303" s="62"/>
      <c r="AJ303" s="62"/>
      <c r="AK303" s="62"/>
      <c r="BA303" s="61"/>
    </row>
    <row r="304" spans="2:53" ht="12.75">
      <c r="B304" s="58" t="s">
        <v>82</v>
      </c>
      <c r="C304" s="58"/>
      <c r="D304" s="58"/>
      <c r="E304" s="58"/>
      <c r="F304" s="58"/>
      <c r="G304" s="58"/>
      <c r="H304" s="1119"/>
      <c r="I304" s="1119"/>
      <c r="J304" s="1119"/>
      <c r="K304" s="1119"/>
      <c r="L304" s="1119"/>
      <c r="M304" s="1119"/>
      <c r="N304" s="1097"/>
      <c r="O304" s="1097"/>
      <c r="P304" s="1097"/>
      <c r="Q304" s="1097"/>
      <c r="R304" s="1097"/>
      <c r="S304" s="58"/>
      <c r="T304" s="58" t="s">
        <v>82</v>
      </c>
      <c r="V304" s="58"/>
      <c r="W304" s="58"/>
      <c r="X304" s="58"/>
      <c r="Y304" s="58"/>
      <c r="AA304" s="1119" t="s">
        <v>1690</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7" t="s">
        <v>1691</v>
      </c>
      <c r="I306" s="1097"/>
      <c r="J306" s="1097"/>
      <c r="K306" s="1097"/>
      <c r="L306" s="1097"/>
      <c r="M306" s="1097"/>
      <c r="N306" s="1097"/>
      <c r="O306" s="1097"/>
      <c r="P306" s="1097"/>
      <c r="Q306" s="1097"/>
      <c r="R306" s="1097"/>
      <c r="S306" s="58"/>
      <c r="T306" s="58" t="s">
        <v>389</v>
      </c>
      <c r="V306" s="58"/>
      <c r="W306" s="58"/>
      <c r="X306" s="58"/>
      <c r="Y306" s="58"/>
      <c r="AA306" s="1097" t="s">
        <v>1697</v>
      </c>
      <c r="AB306" s="1097"/>
      <c r="AC306" s="1097"/>
      <c r="AD306" s="1097"/>
      <c r="AE306" s="1097"/>
      <c r="AF306" s="1097"/>
      <c r="AG306" s="1097"/>
      <c r="AH306" s="1097"/>
      <c r="AI306" s="1097"/>
      <c r="AJ306" s="1097"/>
      <c r="AK306" s="1097"/>
      <c r="BA306" s="61"/>
    </row>
    <row r="307" spans="1:53" ht="12.75">
      <c r="B307" s="58" t="s">
        <v>517</v>
      </c>
      <c r="C307" s="58"/>
      <c r="D307" s="58"/>
      <c r="E307" s="58"/>
      <c r="F307" s="58"/>
      <c r="H307" s="1119" t="s">
        <v>1692</v>
      </c>
      <c r="I307" s="1119"/>
      <c r="J307" s="1119"/>
      <c r="K307" s="1119"/>
      <c r="L307" s="1119"/>
      <c r="M307" s="1119"/>
      <c r="N307" s="1119"/>
      <c r="O307" s="1119"/>
      <c r="P307" s="1119"/>
      <c r="Q307" s="1119"/>
      <c r="R307" s="1119"/>
      <c r="S307" s="58"/>
      <c r="T307" s="58" t="s">
        <v>517</v>
      </c>
      <c r="V307" s="58"/>
      <c r="W307" s="58"/>
      <c r="X307" s="58"/>
      <c r="Y307" s="58"/>
      <c r="AA307" s="1119"/>
      <c r="AB307" s="1119"/>
      <c r="AC307" s="1119"/>
      <c r="AD307" s="1119"/>
      <c r="AE307" s="1119"/>
      <c r="AF307" s="1119"/>
      <c r="AG307" s="1119"/>
      <c r="AH307" s="1119"/>
      <c r="AI307" s="1119"/>
      <c r="AJ307" s="1119"/>
      <c r="AK307" s="1119"/>
      <c r="BA307" s="61"/>
    </row>
    <row r="308" spans="1:53" ht="12.75">
      <c r="B308" s="58" t="s">
        <v>518</v>
      </c>
      <c r="C308" s="58"/>
      <c r="D308" s="58"/>
      <c r="E308" s="58"/>
      <c r="F308" s="58"/>
      <c r="H308" s="1119" t="s">
        <v>1693</v>
      </c>
      <c r="I308" s="1119"/>
      <c r="J308" s="1119"/>
      <c r="K308" s="1119"/>
      <c r="L308" s="1119"/>
      <c r="M308" s="1119"/>
      <c r="N308" s="1119"/>
      <c r="O308" s="1119"/>
      <c r="P308" s="1119"/>
      <c r="Q308" s="1119"/>
      <c r="R308" s="1119"/>
      <c r="S308" s="58"/>
      <c r="T308" s="58" t="s">
        <v>81</v>
      </c>
      <c r="V308" s="58"/>
      <c r="W308" s="58"/>
      <c r="X308" s="58"/>
      <c r="Y308" s="58"/>
      <c r="AA308" s="1119"/>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1694</v>
      </c>
      <c r="I309" s="1119"/>
      <c r="J309" s="1119"/>
      <c r="K309" s="1119"/>
      <c r="L309" s="1119"/>
      <c r="M309" s="1119"/>
      <c r="N309" s="1119"/>
      <c r="O309" s="1119"/>
      <c r="P309" s="1119"/>
      <c r="Q309" s="1119"/>
      <c r="R309" s="1119"/>
      <c r="S309" s="58"/>
      <c r="T309" s="58" t="s">
        <v>94</v>
      </c>
      <c r="V309" s="58"/>
      <c r="W309" s="58"/>
      <c r="X309" s="58"/>
      <c r="Y309" s="58"/>
      <c r="AA309" s="1119"/>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1695</v>
      </c>
      <c r="I310" s="1121"/>
      <c r="J310" s="1121"/>
      <c r="K310" s="1121"/>
      <c r="L310" s="1121"/>
      <c r="M310" s="1121"/>
      <c r="N310" s="7" t="s">
        <v>220</v>
      </c>
      <c r="O310" s="7"/>
      <c r="P310" s="1219"/>
      <c r="Q310" s="1219"/>
      <c r="R310" s="1219"/>
      <c r="S310" s="58"/>
      <c r="T310" s="58" t="s">
        <v>95</v>
      </c>
      <c r="V310" s="58"/>
      <c r="W310" s="58"/>
      <c r="X310" s="58"/>
      <c r="Y310" s="58"/>
      <c r="AA310" s="1121"/>
      <c r="AB310" s="1121"/>
      <c r="AC310" s="1121"/>
      <c r="AD310" s="1121"/>
      <c r="AE310" s="1121"/>
      <c r="AF310" s="1121"/>
      <c r="AG310" s="7" t="s">
        <v>220</v>
      </c>
      <c r="AH310" s="7"/>
      <c r="AI310" s="1219"/>
      <c r="AJ310" s="1219"/>
      <c r="AK310" s="1219"/>
      <c r="BA310" s="61"/>
    </row>
    <row r="311" spans="1:53" ht="12.75">
      <c r="B311" s="58" t="s">
        <v>96</v>
      </c>
      <c r="C311" s="58"/>
      <c r="D311" s="58"/>
      <c r="E311" s="58"/>
      <c r="F311" s="58"/>
      <c r="G311" s="58"/>
      <c r="H311" s="1101"/>
      <c r="I311" s="1101"/>
      <c r="J311" s="1101"/>
      <c r="K311" s="1101"/>
      <c r="L311" s="1101"/>
      <c r="M311" s="1101"/>
      <c r="N311" s="60"/>
      <c r="O311" s="60"/>
      <c r="P311" s="62"/>
      <c r="Q311" s="62"/>
      <c r="R311" s="62"/>
      <c r="S311" s="58"/>
      <c r="T311" s="58" t="s">
        <v>96</v>
      </c>
      <c r="V311" s="58"/>
      <c r="W311" s="58"/>
      <c r="X311" s="58"/>
      <c r="Y311" s="58"/>
      <c r="AA311" s="1101"/>
      <c r="AB311" s="1101"/>
      <c r="AC311" s="1101"/>
      <c r="AD311" s="1101"/>
      <c r="AE311" s="1101"/>
      <c r="AF311" s="1101"/>
      <c r="AG311" s="60"/>
      <c r="AH311" s="60"/>
      <c r="AI311" s="62"/>
      <c r="AJ311" s="62"/>
      <c r="AK311" s="62"/>
      <c r="BA311" s="61"/>
    </row>
    <row r="312" spans="1:53" ht="12.75">
      <c r="B312" s="58" t="s">
        <v>82</v>
      </c>
      <c r="C312" s="58"/>
      <c r="D312" s="58"/>
      <c r="E312" s="58"/>
      <c r="F312" s="58"/>
      <c r="G312" s="58"/>
      <c r="H312" s="1119" t="s">
        <v>1696</v>
      </c>
      <c r="I312" s="1119"/>
      <c r="J312" s="1119"/>
      <c r="K312" s="1119"/>
      <c r="L312" s="1119"/>
      <c r="M312" s="1119"/>
      <c r="N312" s="1097"/>
      <c r="O312" s="1097"/>
      <c r="P312" s="1097"/>
      <c r="Q312" s="1097"/>
      <c r="R312" s="1097"/>
      <c r="S312" s="58"/>
      <c r="T312" s="58" t="s">
        <v>82</v>
      </c>
      <c r="V312" s="58"/>
      <c r="W312" s="58"/>
      <c r="X312" s="58"/>
      <c r="Y312" s="58"/>
      <c r="AA312" s="1119"/>
      <c r="AB312" s="1119"/>
      <c r="AC312" s="1119"/>
      <c r="AD312" s="1119"/>
      <c r="AE312" s="1119"/>
      <c r="AF312" s="1119"/>
      <c r="AG312" s="1097"/>
      <c r="AH312" s="1097"/>
      <c r="AI312" s="1097"/>
      <c r="AJ312" s="1097"/>
      <c r="AK312" s="1097"/>
      <c r="BA312" s="61"/>
    </row>
    <row r="313" spans="1:53" ht="12.75">
      <c r="BA313" s="61"/>
    </row>
    <row r="314" spans="1:53" ht="12.75">
      <c r="B314" s="7" t="s">
        <v>1006</v>
      </c>
      <c r="C314" s="58"/>
      <c r="D314" s="58"/>
      <c r="E314" s="58"/>
      <c r="F314" s="58"/>
      <c r="H314" s="1097" t="s">
        <v>1691</v>
      </c>
      <c r="I314" s="1097"/>
      <c r="J314" s="1097"/>
      <c r="K314" s="1097"/>
      <c r="L314" s="1097"/>
      <c r="M314" s="1097"/>
      <c r="N314" s="1097"/>
      <c r="O314" s="1097"/>
      <c r="P314" s="1097"/>
      <c r="Q314" s="1097"/>
      <c r="R314" s="1097"/>
      <c r="T314" s="58" t="s">
        <v>390</v>
      </c>
      <c r="V314" s="58"/>
      <c r="W314" s="58"/>
      <c r="X314" s="58"/>
      <c r="Y314" s="58"/>
      <c r="AA314" s="1095" t="s">
        <v>1759</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119" t="s">
        <v>1698</v>
      </c>
      <c r="I315" s="1119"/>
      <c r="J315" s="1119"/>
      <c r="K315" s="1119"/>
      <c r="L315" s="1119"/>
      <c r="M315" s="1119"/>
      <c r="N315" s="1119"/>
      <c r="O315" s="1119"/>
      <c r="P315" s="1119"/>
      <c r="Q315" s="1119"/>
      <c r="R315" s="1119"/>
      <c r="T315" s="58" t="s">
        <v>517</v>
      </c>
      <c r="V315" s="58"/>
      <c r="W315" s="58"/>
      <c r="X315" s="58"/>
      <c r="Y315" s="58"/>
      <c r="AA315" s="1226" t="s">
        <v>1762</v>
      </c>
      <c r="AB315" s="1119"/>
      <c r="AC315" s="1119"/>
      <c r="AD315" s="1119"/>
      <c r="AE315" s="1119"/>
      <c r="AF315" s="1119"/>
      <c r="AG315" s="1119"/>
      <c r="AH315" s="1119"/>
      <c r="AI315" s="1119"/>
      <c r="AJ315" s="1119"/>
      <c r="AK315" s="1119"/>
      <c r="BA315" s="61"/>
    </row>
    <row r="316" spans="1:53" ht="12.75">
      <c r="B316" s="58" t="s">
        <v>518</v>
      </c>
      <c r="C316" s="58"/>
      <c r="D316" s="58"/>
      <c r="E316" s="58"/>
      <c r="F316" s="58"/>
      <c r="H316" s="1119" t="s">
        <v>1699</v>
      </c>
      <c r="I316" s="1119"/>
      <c r="J316" s="1119"/>
      <c r="K316" s="1119"/>
      <c r="L316" s="1119"/>
      <c r="M316" s="1119"/>
      <c r="N316" s="1119"/>
      <c r="O316" s="1119"/>
      <c r="P316" s="1119"/>
      <c r="Q316" s="1119"/>
      <c r="R316" s="1119"/>
      <c r="T316" s="58" t="s">
        <v>81</v>
      </c>
      <c r="V316" s="58"/>
      <c r="W316" s="58"/>
      <c r="X316" s="58"/>
      <c r="Y316" s="58"/>
      <c r="AA316" s="1226" t="s">
        <v>1763</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t="s">
        <v>1700</v>
      </c>
      <c r="I317" s="1119"/>
      <c r="J317" s="1119"/>
      <c r="K317" s="1119"/>
      <c r="L317" s="1119"/>
      <c r="M317" s="1119"/>
      <c r="N317" s="1119"/>
      <c r="O317" s="1119"/>
      <c r="P317" s="1119"/>
      <c r="Q317" s="1119"/>
      <c r="R317" s="1119"/>
      <c r="T317" s="58" t="s">
        <v>94</v>
      </c>
      <c r="V317" s="58"/>
      <c r="W317" s="58"/>
      <c r="X317" s="58"/>
      <c r="Y317" s="58"/>
      <c r="AA317" s="1226" t="s">
        <v>1760</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0" t="s">
        <v>1701</v>
      </c>
      <c r="I318" s="1121"/>
      <c r="J318" s="1121"/>
      <c r="K318" s="1121"/>
      <c r="L318" s="1121"/>
      <c r="M318" s="1121"/>
      <c r="N318" s="7" t="s">
        <v>220</v>
      </c>
      <c r="O318" s="7"/>
      <c r="P318" s="1219"/>
      <c r="Q318" s="1219"/>
      <c r="R318" s="1219"/>
      <c r="S318" s="58"/>
      <c r="T318" s="58" t="s">
        <v>95</v>
      </c>
      <c r="V318" s="58"/>
      <c r="W318" s="58"/>
      <c r="X318" s="58"/>
      <c r="Y318" s="58"/>
      <c r="AA318" s="1120" t="s">
        <v>1761</v>
      </c>
      <c r="AB318" s="1121"/>
      <c r="AC318" s="1121"/>
      <c r="AD318" s="1121"/>
      <c r="AE318" s="1121"/>
      <c r="AF318" s="1121"/>
      <c r="AG318" s="7" t="s">
        <v>220</v>
      </c>
      <c r="AH318" s="7"/>
      <c r="AI318" s="1219"/>
      <c r="AJ318" s="1219"/>
      <c r="AK318" s="1219"/>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t="s">
        <v>1702</v>
      </c>
      <c r="I320" s="1119"/>
      <c r="J320" s="1119"/>
      <c r="K320" s="1119"/>
      <c r="L320" s="1119"/>
      <c r="M320" s="1119"/>
      <c r="N320" s="1097"/>
      <c r="O320" s="1097"/>
      <c r="P320" s="1097"/>
      <c r="Q320" s="1097"/>
      <c r="R320" s="1097"/>
      <c r="S320" s="58"/>
      <c r="T320" s="58" t="s">
        <v>82</v>
      </c>
      <c r="V320" s="58"/>
      <c r="W320" s="58"/>
      <c r="X320" s="58"/>
      <c r="Y320" s="58"/>
      <c r="AA320" s="1226" t="s">
        <v>1764</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c r="I322" s="1097"/>
      <c r="J322" s="1097"/>
      <c r="K322" s="1097"/>
      <c r="L322" s="1097"/>
      <c r="M322" s="1097"/>
      <c r="N322" s="1097"/>
      <c r="O322" s="1097"/>
      <c r="P322" s="1097"/>
      <c r="Q322" s="1097"/>
      <c r="R322" s="1097"/>
      <c r="T322" s="58" t="s">
        <v>392</v>
      </c>
      <c r="V322" s="58"/>
      <c r="W322" s="58"/>
      <c r="X322" s="58"/>
      <c r="Y322" s="58"/>
      <c r="AA322" s="1097"/>
      <c r="AB322" s="1097"/>
      <c r="AC322" s="1097"/>
      <c r="AD322" s="1097"/>
      <c r="AE322" s="1097"/>
      <c r="AF322" s="1097"/>
      <c r="AG322" s="1097"/>
      <c r="AH322" s="1097"/>
      <c r="AI322" s="1097"/>
      <c r="AJ322" s="1097"/>
      <c r="AK322" s="1097"/>
      <c r="AL322" s="39"/>
    </row>
    <row r="323" spans="1:53" ht="12.75">
      <c r="A323" s="39"/>
      <c r="B323" s="58" t="s">
        <v>517</v>
      </c>
      <c r="C323" s="58"/>
      <c r="D323" s="58"/>
      <c r="E323" s="58"/>
      <c r="F323" s="58"/>
      <c r="H323" s="1119"/>
      <c r="I323" s="1119"/>
      <c r="J323" s="1119"/>
      <c r="K323" s="1119"/>
      <c r="L323" s="1119"/>
      <c r="M323" s="1119"/>
      <c r="N323" s="1119"/>
      <c r="O323" s="1119"/>
      <c r="P323" s="1119"/>
      <c r="Q323" s="1119"/>
      <c r="R323" s="1119"/>
      <c r="T323" s="58" t="s">
        <v>517</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19"/>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1"/>
      <c r="I326" s="1121"/>
      <c r="J326" s="1121"/>
      <c r="K326" s="1121"/>
      <c r="L326" s="1121"/>
      <c r="M326" s="1121"/>
      <c r="N326" s="7" t="s">
        <v>220</v>
      </c>
      <c r="O326" s="7"/>
      <c r="P326" s="1219"/>
      <c r="Q326" s="1219"/>
      <c r="R326" s="1219"/>
      <c r="S326" s="58"/>
      <c r="T326" s="58" t="s">
        <v>95</v>
      </c>
      <c r="V326" s="58"/>
      <c r="W326" s="58"/>
      <c r="X326" s="58"/>
      <c r="Y326" s="58"/>
      <c r="AA326" s="1121"/>
      <c r="AB326" s="1121"/>
      <c r="AC326" s="1121"/>
      <c r="AD326" s="1121"/>
      <c r="AE326" s="1121"/>
      <c r="AF326" s="1121"/>
      <c r="AG326" s="7" t="s">
        <v>220</v>
      </c>
      <c r="AH326" s="7"/>
      <c r="AI326" s="1219"/>
      <c r="AJ326" s="1219"/>
      <c r="AK326" s="1219"/>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19"/>
      <c r="I328" s="1119"/>
      <c r="J328" s="1119"/>
      <c r="K328" s="1119"/>
      <c r="L328" s="1119"/>
      <c r="M328" s="1119"/>
      <c r="N328" s="1097"/>
      <c r="O328" s="1097"/>
      <c r="P328" s="1097"/>
      <c r="Q328" s="1097"/>
      <c r="R328" s="1097"/>
      <c r="S328" s="58"/>
      <c r="T328" s="58" t="s">
        <v>82</v>
      </c>
      <c r="V328" s="58"/>
      <c r="W328" s="58"/>
      <c r="X328" s="58"/>
      <c r="Y328" s="58"/>
      <c r="AA328" s="1119"/>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1703</v>
      </c>
      <c r="I330" s="1097"/>
      <c r="J330" s="1097"/>
      <c r="K330" s="1097"/>
      <c r="L330" s="1097"/>
      <c r="M330" s="1097"/>
      <c r="N330" s="1097"/>
      <c r="O330" s="1097"/>
      <c r="P330" s="1097"/>
      <c r="Q330" s="1097"/>
      <c r="R330" s="1097"/>
      <c r="T330" s="422" t="s">
        <v>981</v>
      </c>
      <c r="V330" s="58"/>
      <c r="W330" s="58"/>
      <c r="X330" s="58"/>
      <c r="Y330" s="58"/>
      <c r="AA330" s="1097" t="s">
        <v>1709</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119" t="s">
        <v>1704</v>
      </c>
      <c r="I331" s="1119"/>
      <c r="J331" s="1119"/>
      <c r="K331" s="1119"/>
      <c r="L331" s="1119"/>
      <c r="M331" s="1119"/>
      <c r="N331" s="1119"/>
      <c r="O331" s="1119"/>
      <c r="P331" s="1119"/>
      <c r="Q331" s="1119"/>
      <c r="R331" s="1119"/>
      <c r="T331" s="58" t="s">
        <v>517</v>
      </c>
      <c r="V331" s="58"/>
      <c r="W331" s="58"/>
      <c r="X331" s="58"/>
      <c r="Y331" s="58"/>
      <c r="AA331" s="1119" t="s">
        <v>1654</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1705</v>
      </c>
      <c r="I332" s="1119"/>
      <c r="J332" s="1119"/>
      <c r="K332" s="1119"/>
      <c r="L332" s="1119"/>
      <c r="M332" s="1119"/>
      <c r="N332" s="1119"/>
      <c r="O332" s="1119"/>
      <c r="P332" s="1119"/>
      <c r="Q332" s="1119"/>
      <c r="R332" s="1119"/>
      <c r="T332" s="58" t="s">
        <v>81</v>
      </c>
      <c r="V332" s="58"/>
      <c r="W332" s="58"/>
      <c r="X332" s="58"/>
      <c r="Y332" s="58"/>
      <c r="AA332" s="1119" t="s">
        <v>1673</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1706</v>
      </c>
      <c r="I333" s="1119"/>
      <c r="J333" s="1119"/>
      <c r="K333" s="1119"/>
      <c r="L333" s="1119"/>
      <c r="M333" s="1119"/>
      <c r="N333" s="1119"/>
      <c r="O333" s="1119"/>
      <c r="P333" s="1119"/>
      <c r="Q333" s="1119"/>
      <c r="R333" s="1119"/>
      <c r="T333" s="58" t="s">
        <v>94</v>
      </c>
      <c r="V333" s="58"/>
      <c r="W333" s="58"/>
      <c r="X333" s="58"/>
      <c r="Y333" s="58"/>
      <c r="AA333" s="1119" t="s">
        <v>1656</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1707</v>
      </c>
      <c r="I334" s="1121"/>
      <c r="J334" s="1121"/>
      <c r="K334" s="1121"/>
      <c r="L334" s="1121"/>
      <c r="M334" s="1121"/>
      <c r="N334" s="7" t="s">
        <v>220</v>
      </c>
      <c r="O334" s="7"/>
      <c r="P334" s="1219"/>
      <c r="Q334" s="1219"/>
      <c r="R334" s="1219"/>
      <c r="S334" s="58"/>
      <c r="T334" s="58" t="s">
        <v>95</v>
      </c>
      <c r="V334" s="58"/>
      <c r="W334" s="58"/>
      <c r="X334" s="58"/>
      <c r="Y334" s="58"/>
      <c r="AA334" s="1120" t="s">
        <v>1657</v>
      </c>
      <c r="AB334" s="1121"/>
      <c r="AC334" s="1121"/>
      <c r="AD334" s="1121"/>
      <c r="AE334" s="1121"/>
      <c r="AF334" s="1121"/>
      <c r="AG334" s="7" t="s">
        <v>220</v>
      </c>
      <c r="AH334" s="7"/>
      <c r="AI334" s="1219"/>
      <c r="AJ334" s="1219"/>
      <c r="AK334" s="1219"/>
      <c r="AL334" s="39"/>
    </row>
    <row r="335" spans="1:53" ht="12.75" customHeight="1">
      <c r="A335" s="39"/>
      <c r="B335" s="58" t="s">
        <v>96</v>
      </c>
      <c r="C335" s="248"/>
      <c r="D335" s="248"/>
      <c r="E335" s="248"/>
      <c r="F335" s="248"/>
      <c r="G335" s="248"/>
      <c r="H335" s="1101"/>
      <c r="I335" s="1101"/>
      <c r="J335" s="1101"/>
      <c r="K335" s="1101"/>
      <c r="L335" s="1101"/>
      <c r="M335" s="1101"/>
      <c r="N335" s="60"/>
      <c r="O335" s="60"/>
      <c r="P335" s="62"/>
      <c r="Q335" s="62"/>
      <c r="R335" s="62"/>
      <c r="S335" s="58"/>
      <c r="T335" s="58" t="s">
        <v>96</v>
      </c>
      <c r="V335" s="58"/>
      <c r="W335" s="58"/>
      <c r="X335" s="58"/>
      <c r="Y335" s="58"/>
      <c r="AA335" s="1100" t="s">
        <v>1675</v>
      </c>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19" t="s">
        <v>1708</v>
      </c>
      <c r="I336" s="1119"/>
      <c r="J336" s="1119"/>
      <c r="K336" s="1119"/>
      <c r="L336" s="1119"/>
      <c r="M336" s="1119"/>
      <c r="N336" s="1097"/>
      <c r="O336" s="1097"/>
      <c r="P336" s="1097"/>
      <c r="Q336" s="1097"/>
      <c r="R336" s="1097"/>
      <c r="S336" s="58"/>
      <c r="T336" s="58" t="s">
        <v>82</v>
      </c>
      <c r="V336" s="58"/>
      <c r="W336" s="58"/>
      <c r="X336" s="58"/>
      <c r="Y336" s="58"/>
      <c r="AA336" s="1119" t="s">
        <v>1658</v>
      </c>
      <c r="AB336" s="1119"/>
      <c r="AC336" s="1119"/>
      <c r="AD336" s="1119"/>
      <c r="AE336" s="1119"/>
      <c r="AF336" s="1119"/>
      <c r="AG336" s="1097"/>
      <c r="AH336" s="1097"/>
      <c r="AI336" s="1097"/>
      <c r="AJ336" s="1097"/>
      <c r="AK336" s="109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2.75">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588</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8" t="s">
        <v>591</v>
      </c>
      <c r="N350" s="1098"/>
      <c r="P350" s="12" t="s">
        <v>598</v>
      </c>
      <c r="AJ350" s="1098" t="s">
        <v>722</v>
      </c>
      <c r="AK350" s="1098"/>
    </row>
    <row r="351" spans="1:53" ht="12.75" customHeight="1">
      <c r="D351" s="7" t="s">
        <v>955</v>
      </c>
      <c r="R351" s="12" t="s">
        <v>599</v>
      </c>
      <c r="AJ351" s="1098" t="s">
        <v>641</v>
      </c>
      <c r="AK351" s="1098"/>
    </row>
    <row r="352" spans="1:53" ht="12.75" customHeight="1">
      <c r="D352" s="12" t="s">
        <v>765</v>
      </c>
      <c r="M352" s="1098" t="s">
        <v>641</v>
      </c>
      <c r="N352" s="1098"/>
      <c r="P352" s="7" t="s">
        <v>952</v>
      </c>
      <c r="AJ352" s="1098" t="s">
        <v>722</v>
      </c>
      <c r="AK352" s="1098"/>
    </row>
    <row r="353" spans="1:34" ht="12.75" customHeight="1">
      <c r="D353" s="12" t="s">
        <v>766</v>
      </c>
      <c r="M353" s="1098" t="s">
        <v>641</v>
      </c>
      <c r="N353" s="109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641</v>
      </c>
      <c r="O358" s="1098"/>
      <c r="P358" s="69"/>
      <c r="Q358" s="69"/>
      <c r="R358" s="69"/>
      <c r="S358" s="69"/>
      <c r="T358" s="69"/>
      <c r="U358" s="69"/>
      <c r="V358" s="69"/>
      <c r="W358" s="69"/>
      <c r="X358" s="69"/>
      <c r="Y358" s="70"/>
      <c r="Z358" s="70"/>
      <c r="AC358" s="69"/>
      <c r="AD358" s="69"/>
      <c r="AE358" s="69"/>
    </row>
    <row r="359" spans="1:34" ht="12.75" customHeight="1">
      <c r="E359" s="12" t="s">
        <v>395</v>
      </c>
      <c r="Y359" s="1098" t="s">
        <v>641</v>
      </c>
      <c r="Z359" s="1098"/>
    </row>
    <row r="360" spans="1:34" ht="12.75" customHeight="1">
      <c r="D360" s="7" t="s">
        <v>1091</v>
      </c>
      <c r="Q360" s="1097" t="s">
        <v>641</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641</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767</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492</v>
      </c>
      <c r="F365" s="7"/>
      <c r="G365" s="7"/>
      <c r="H365" s="7"/>
      <c r="I365" s="7"/>
      <c r="J365" s="7"/>
      <c r="K365" s="7"/>
      <c r="L365" s="7"/>
      <c r="N365" s="1515" t="s">
        <v>641</v>
      </c>
      <c r="O365" s="1416"/>
      <c r="P365" s="1416"/>
      <c r="Q365" s="1416"/>
      <c r="R365" s="7"/>
      <c r="U365" s="7" t="s">
        <v>493</v>
      </c>
      <c r="V365" s="7"/>
      <c r="W365" s="7"/>
      <c r="X365" s="7"/>
      <c r="Y365" s="7"/>
      <c r="Z365" s="7"/>
      <c r="AA365" s="7"/>
      <c r="AB365" s="7"/>
      <c r="AC365" s="1515" t="s">
        <v>641</v>
      </c>
      <c r="AD365" s="1416"/>
      <c r="AE365" s="1416"/>
      <c r="AF365" s="1416"/>
    </row>
    <row r="366" spans="1:34" ht="12.75" customHeight="1">
      <c r="E366" s="7" t="s">
        <v>494</v>
      </c>
      <c r="F366" s="7"/>
      <c r="G366" s="7"/>
      <c r="H366" s="7"/>
      <c r="I366" s="7"/>
      <c r="J366" s="7"/>
      <c r="K366" s="7"/>
      <c r="L366" s="7"/>
      <c r="N366" s="1515" t="s">
        <v>641</v>
      </c>
      <c r="O366" s="1416"/>
      <c r="P366" s="1416"/>
      <c r="Q366" s="1416"/>
      <c r="R366" s="7"/>
      <c r="U366" s="7" t="s">
        <v>0</v>
      </c>
      <c r="V366" s="7"/>
      <c r="W366" s="7"/>
      <c r="X366" s="7"/>
      <c r="Y366" s="7"/>
      <c r="Z366" s="7"/>
      <c r="AA366" s="7"/>
      <c r="AB366" s="7"/>
      <c r="AC366" s="1515" t="s">
        <v>641</v>
      </c>
      <c r="AD366" s="1416"/>
      <c r="AE366" s="1416"/>
      <c r="AF366" s="1416"/>
    </row>
    <row r="367" spans="1:34" ht="12.75" customHeight="1">
      <c r="E367" s="7" t="s">
        <v>1</v>
      </c>
      <c r="F367" s="7"/>
      <c r="G367" s="7"/>
      <c r="H367" s="7"/>
      <c r="I367" s="7"/>
      <c r="J367" s="7"/>
      <c r="K367" s="7"/>
      <c r="L367" s="7"/>
      <c r="N367" s="1515" t="s">
        <v>641</v>
      </c>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50" t="s">
        <v>641</v>
      </c>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t="s">
        <v>641</v>
      </c>
      <c r="T372" s="1122"/>
      <c r="U372" s="4" t="s">
        <v>328</v>
      </c>
      <c r="V372" s="1122"/>
      <c r="W372" s="1122"/>
      <c r="Y372" s="25" t="s">
        <v>326</v>
      </c>
      <c r="AA372" s="25"/>
      <c r="AB372" s="25" t="s">
        <v>327</v>
      </c>
      <c r="AD372" s="1122"/>
      <c r="AE372" s="1122"/>
      <c r="AF372" s="4" t="s">
        <v>328</v>
      </c>
      <c r="AG372" s="1122"/>
      <c r="AH372" s="1122"/>
    </row>
    <row r="373" spans="1:38" ht="12.75" customHeight="1">
      <c r="E373" s="7" t="s">
        <v>1126</v>
      </c>
      <c r="F373" s="7"/>
      <c r="G373" s="7"/>
      <c r="H373" s="7"/>
      <c r="I373" s="7"/>
      <c r="J373" s="7"/>
      <c r="K373" s="7"/>
      <c r="L373" s="7"/>
      <c r="N373" s="1122" t="s">
        <v>641</v>
      </c>
      <c r="O373" s="1122"/>
      <c r="P373" s="1122"/>
    </row>
    <row r="374" spans="1:38" ht="12.75" customHeight="1">
      <c r="E374" s="399" t="s">
        <v>1128</v>
      </c>
      <c r="F374" s="7"/>
      <c r="G374" s="7"/>
      <c r="H374" s="7"/>
      <c r="I374" s="7"/>
      <c r="J374" s="7"/>
      <c r="K374" s="7"/>
      <c r="L374" s="7"/>
      <c r="AG374" s="1117" t="s">
        <v>641</v>
      </c>
      <c r="AH374" s="1117"/>
    </row>
    <row r="375" spans="1:38" ht="12.75" customHeight="1">
      <c r="E375" s="7"/>
      <c r="F375" s="7"/>
      <c r="G375" s="7" t="s">
        <v>1149</v>
      </c>
      <c r="H375" s="7"/>
      <c r="I375" s="7"/>
      <c r="J375" s="7"/>
      <c r="K375" s="7"/>
      <c r="L375" s="7"/>
      <c r="AG375" s="1117" t="s">
        <v>641</v>
      </c>
      <c r="AH375" s="1117"/>
    </row>
    <row r="376" spans="1:38" ht="12.75" customHeight="1">
      <c r="E376" s="7"/>
      <c r="F376" s="7"/>
      <c r="G376" s="530" t="s">
        <v>1129</v>
      </c>
      <c r="H376" s="7"/>
      <c r="I376" s="7"/>
      <c r="J376" s="7"/>
      <c r="K376" s="7"/>
      <c r="L376" s="7"/>
      <c r="V376" s="1098" t="s">
        <v>641</v>
      </c>
      <c r="W376" s="1098"/>
      <c r="Y376" s="35" t="s">
        <v>1093</v>
      </c>
    </row>
    <row r="377" spans="1:38" ht="12.75" customHeight="1">
      <c r="E377" s="7" t="s">
        <v>1094</v>
      </c>
      <c r="F377" s="7"/>
      <c r="G377" s="7"/>
      <c r="H377" s="7"/>
      <c r="I377" s="7"/>
      <c r="J377" s="7"/>
      <c r="K377" s="7"/>
      <c r="L377" s="7"/>
      <c r="V377" s="1098" t="s">
        <v>641</v>
      </c>
      <c r="W377" s="1098"/>
      <c r="Y377" s="7" t="s">
        <v>1095</v>
      </c>
    </row>
    <row r="378" spans="1:38" ht="12.75" customHeight="1"/>
    <row r="379" spans="1:38" ht="12.75" customHeight="1">
      <c r="A379" s="50" t="s">
        <v>84</v>
      </c>
      <c r="B379" s="50"/>
    </row>
    <row r="380" spans="1:38" ht="12.75" customHeight="1">
      <c r="D380" s="12" t="s">
        <v>463</v>
      </c>
      <c r="J380" s="1095" t="s">
        <v>969</v>
      </c>
      <c r="K380" s="1097"/>
      <c r="L380" s="1097"/>
      <c r="M380" s="1097"/>
      <c r="N380" s="1097"/>
      <c r="O380" s="1097"/>
      <c r="P380" s="1097"/>
      <c r="Q380" s="1097"/>
      <c r="R380" s="1097"/>
      <c r="S380" s="1097"/>
      <c r="T380" s="1097"/>
      <c r="U380" s="1097"/>
      <c r="V380" s="14" t="s">
        <v>90</v>
      </c>
      <c r="W380" s="14"/>
      <c r="X380" s="14"/>
      <c r="Y380" s="14"/>
      <c r="Z380" s="14"/>
      <c r="AA380" s="14"/>
      <c r="AB380" s="14"/>
      <c r="AC380" s="1095" t="s">
        <v>1767</v>
      </c>
      <c r="AD380" s="1097"/>
      <c r="AE380" s="1097"/>
      <c r="AF380" s="1097"/>
      <c r="AG380" s="1097"/>
      <c r="AH380" s="1097"/>
      <c r="AI380" s="1097"/>
      <c r="AJ380" s="1097"/>
    </row>
    <row r="381" spans="1:38" ht="12.75" customHeight="1">
      <c r="A381" s="743"/>
      <c r="B381" s="743"/>
      <c r="C381" s="743"/>
      <c r="D381" s="58" t="s">
        <v>1421</v>
      </c>
      <c r="E381" s="743"/>
      <c r="F381" s="743"/>
      <c r="G381" s="743"/>
      <c r="H381" s="743"/>
      <c r="I381" s="743"/>
      <c r="J381" s="1119" t="s">
        <v>1710</v>
      </c>
      <c r="K381" s="1119"/>
      <c r="L381" s="1119"/>
      <c r="M381" s="1119"/>
      <c r="N381" s="1119"/>
      <c r="O381" s="1119"/>
      <c r="P381" s="1119"/>
      <c r="Q381" s="1119"/>
      <c r="R381" s="1119"/>
      <c r="S381" s="1119"/>
      <c r="T381" s="1119"/>
      <c r="U381" s="1119"/>
      <c r="V381" s="58" t="s">
        <v>1421</v>
      </c>
      <c r="W381" s="14"/>
      <c r="X381" s="14"/>
      <c r="Y381" s="14"/>
      <c r="Z381" s="14"/>
      <c r="AA381" s="14"/>
      <c r="AB381" s="14"/>
      <c r="AC381" s="1097" t="s">
        <v>1711</v>
      </c>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119" t="s">
        <v>1712</v>
      </c>
      <c r="K382" s="1119"/>
      <c r="L382" s="1119"/>
      <c r="M382" s="1119"/>
      <c r="N382" s="1119"/>
      <c r="O382" s="1119"/>
      <c r="P382" s="1119"/>
      <c r="Q382" s="1119"/>
      <c r="R382" s="1119"/>
      <c r="S382" s="1119"/>
      <c r="T382" s="1119"/>
      <c r="U382" s="1119"/>
      <c r="V382" s="58" t="s">
        <v>477</v>
      </c>
      <c r="W382" s="14"/>
      <c r="X382" s="14"/>
      <c r="Y382" s="14"/>
      <c r="Z382" s="14"/>
      <c r="AA382" s="14"/>
      <c r="AB382" s="14"/>
      <c r="AC382" s="1097" t="s">
        <v>1713</v>
      </c>
      <c r="AD382" s="1097"/>
      <c r="AE382" s="1097"/>
      <c r="AF382" s="1097"/>
      <c r="AG382" s="1097"/>
      <c r="AH382" s="1097"/>
      <c r="AI382" s="1097"/>
      <c r="AJ382" s="1097"/>
      <c r="AK382" s="743"/>
      <c r="AL382" s="743"/>
    </row>
    <row r="383" spans="1:38" ht="12.75" customHeight="1">
      <c r="A383" s="743"/>
      <c r="B383" s="743"/>
      <c r="C383" s="743"/>
      <c r="D383" s="496" t="s">
        <v>1417</v>
      </c>
      <c r="E383" s="743"/>
      <c r="F383" s="743"/>
      <c r="G383" s="743"/>
      <c r="H383" s="743"/>
      <c r="I383" s="88"/>
      <c r="J383" s="1224" t="s">
        <v>1714</v>
      </c>
      <c r="K383" s="1224"/>
      <c r="L383" s="1224"/>
      <c r="M383" s="1224"/>
      <c r="N383" s="1224"/>
      <c r="O383" s="1224"/>
      <c r="P383" s="1224"/>
      <c r="Q383" s="1224"/>
      <c r="R383" s="1224"/>
      <c r="S383" s="1224"/>
      <c r="T383" s="1224"/>
      <c r="U383" s="1224"/>
      <c r="V383" s="1097" t="s">
        <v>1705</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46">
        <v>43507</v>
      </c>
      <c r="R384" s="1546"/>
      <c r="S384" s="1546"/>
      <c r="T384" s="1546"/>
      <c r="U384" s="1546"/>
      <c r="V384" s="12" t="s">
        <v>331</v>
      </c>
      <c r="AI384" s="1098" t="s">
        <v>722</v>
      </c>
      <c r="AJ384" s="1098"/>
    </row>
    <row r="385" spans="1:38" ht="12.75" customHeight="1">
      <c r="D385" s="12" t="s">
        <v>5</v>
      </c>
      <c r="Q385" s="1213" t="s">
        <v>1715</v>
      </c>
      <c r="R385" s="1214"/>
      <c r="S385" s="1214"/>
      <c r="T385" s="1214"/>
      <c r="U385" s="1214"/>
      <c r="W385" s="33" t="s">
        <v>80</v>
      </c>
      <c r="AG385" s="1572" t="s">
        <v>641</v>
      </c>
      <c r="AH385" s="1544"/>
      <c r="AI385" s="1544"/>
      <c r="AJ385" s="1544"/>
    </row>
    <row r="386" spans="1:38" ht="12.75" customHeight="1">
      <c r="D386" s="12" t="s">
        <v>462</v>
      </c>
      <c r="Q386" s="1576">
        <v>1</v>
      </c>
      <c r="R386" s="1576"/>
      <c r="S386" s="1576"/>
      <c r="T386" s="1576"/>
      <c r="U386" s="1576"/>
      <c r="V386" s="58" t="s">
        <v>1420</v>
      </c>
      <c r="AG386" s="1545"/>
      <c r="AH386" s="1545"/>
      <c r="AI386" s="1545"/>
      <c r="AJ386" s="1545"/>
    </row>
    <row r="387" spans="1:38" ht="12.75" customHeight="1">
      <c r="D387" s="12" t="s">
        <v>95</v>
      </c>
      <c r="I387" s="1120" t="s">
        <v>1716</v>
      </c>
      <c r="J387" s="1121"/>
      <c r="K387" s="1121"/>
      <c r="L387" s="1121"/>
      <c r="M387" s="1121"/>
      <c r="N387" s="1121"/>
      <c r="Q387" s="57" t="s">
        <v>220</v>
      </c>
      <c r="S387" s="1573"/>
      <c r="T387" s="1573"/>
      <c r="U387" s="1573"/>
      <c r="V387" s="12" t="s">
        <v>79</v>
      </c>
      <c r="AI387" s="1098" t="s">
        <v>722</v>
      </c>
      <c r="AJ387" s="1098"/>
    </row>
    <row r="388" spans="1:38" ht="12.75">
      <c r="D388" s="12" t="s">
        <v>332</v>
      </c>
      <c r="Q388" s="1187">
        <v>0</v>
      </c>
      <c r="R388" s="1187"/>
      <c r="S388" s="1187"/>
      <c r="T388" s="1187"/>
      <c r="U388" s="1187"/>
      <c r="V388" s="12" t="s">
        <v>333</v>
      </c>
      <c r="AG388" s="1544"/>
      <c r="AH388" s="1544"/>
      <c r="AI388" s="1544"/>
      <c r="AJ388" s="1544"/>
    </row>
    <row r="389" spans="1:38" ht="12.75">
      <c r="D389" s="12" t="s">
        <v>334</v>
      </c>
      <c r="Q389" s="1543"/>
      <c r="R389" s="1543"/>
      <c r="S389" s="1543"/>
      <c r="T389" s="1543"/>
      <c r="U389" s="1543"/>
      <c r="V389" s="743" t="s">
        <v>1397</v>
      </c>
      <c r="AG389" s="1544"/>
      <c r="AH389" s="1544"/>
      <c r="AI389" s="1544"/>
      <c r="AJ389" s="1544"/>
    </row>
    <row r="390" spans="1:38" ht="12.75">
      <c r="D390" s="743" t="s">
        <v>1396</v>
      </c>
      <c r="V390" s="743"/>
      <c r="AG390" s="1544"/>
      <c r="AH390" s="1544"/>
      <c r="AI390" s="1544"/>
      <c r="AJ390" s="154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5" t="s">
        <v>1717</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591</v>
      </c>
      <c r="S394" s="1098"/>
      <c r="T394" s="12" t="s">
        <v>619</v>
      </c>
      <c r="U394" s="743"/>
      <c r="V394" s="743"/>
      <c r="W394" s="743"/>
      <c r="X394" s="743"/>
      <c r="Y394" s="743"/>
      <c r="Z394" s="743"/>
      <c r="AA394" s="743"/>
      <c r="AB394" s="743"/>
      <c r="AC394" s="743"/>
      <c r="AD394" s="1416">
        <v>7</v>
      </c>
      <c r="AE394" s="1416"/>
      <c r="AF394" s="743"/>
    </row>
    <row r="395" spans="1:38" ht="12.75" customHeight="1">
      <c r="C395" s="25"/>
      <c r="E395" s="12" t="s">
        <v>114</v>
      </c>
      <c r="F395" s="743"/>
      <c r="G395" s="743"/>
      <c r="H395" s="743"/>
      <c r="I395" s="743"/>
      <c r="J395" s="743"/>
      <c r="K395" s="743"/>
      <c r="L395" s="743"/>
      <c r="M395" s="743"/>
      <c r="N395" s="25"/>
      <c r="O395" s="25"/>
      <c r="P395" s="743"/>
      <c r="Q395" s="743"/>
      <c r="R395" s="1098" t="s">
        <v>641</v>
      </c>
      <c r="S395" s="1098"/>
      <c r="T395" s="12" t="s">
        <v>619</v>
      </c>
      <c r="U395" s="743"/>
      <c r="V395" s="743"/>
      <c r="W395" s="743"/>
      <c r="X395" s="743"/>
      <c r="Y395" s="743"/>
      <c r="Z395" s="743"/>
      <c r="AA395" s="743"/>
      <c r="AB395" s="743"/>
      <c r="AC395" s="743"/>
      <c r="AD395" s="1515" t="s">
        <v>641</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8" t="s">
        <v>591</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70" t="s">
        <v>641</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2"/>
      <c r="F406" s="1122"/>
      <c r="G406" s="1122"/>
      <c r="H406" s="23" t="s">
        <v>122</v>
      </c>
      <c r="I406" s="1122"/>
      <c r="J406" s="1122"/>
      <c r="K406" s="1122"/>
      <c r="L406" s="12" t="s">
        <v>123</v>
      </c>
      <c r="N406" s="144" t="s">
        <v>625</v>
      </c>
      <c r="P406" s="1118">
        <v>1.05</v>
      </c>
      <c r="Q406" s="1118"/>
      <c r="R406" s="1118"/>
      <c r="S406" s="12" t="s">
        <v>124</v>
      </c>
      <c r="W406" s="1575">
        <f>IF(E406&gt;0,(E406*I406),(P406*43560))</f>
        <v>45738</v>
      </c>
      <c r="X406" s="1575"/>
      <c r="Y406" s="1575"/>
      <c r="Z406" s="12" t="s">
        <v>125</v>
      </c>
      <c r="AF406" s="1118">
        <v>146.66999999999999</v>
      </c>
      <c r="AG406" s="1118"/>
      <c r="AH406" s="1118"/>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098">
        <v>1</v>
      </c>
      <c r="Q411" s="1098"/>
      <c r="S411" s="12" t="s">
        <v>203</v>
      </c>
      <c r="AE411" s="1098">
        <v>1</v>
      </c>
      <c r="AF411" s="1098"/>
    </row>
    <row r="412" spans="1:36" ht="12.75">
      <c r="E412" s="12" t="s">
        <v>204</v>
      </c>
      <c r="P412" s="1098">
        <v>0</v>
      </c>
      <c r="Q412" s="1098"/>
      <c r="S412" s="12" t="s">
        <v>138</v>
      </c>
      <c r="AE412" s="1098" t="s">
        <v>641</v>
      </c>
      <c r="AF412" s="1098"/>
    </row>
    <row r="413" spans="1:36" ht="12.75" customHeight="1">
      <c r="F413" s="67" t="s">
        <v>139</v>
      </c>
    </row>
    <row r="414" spans="1:36" ht="12.75" customHeight="1">
      <c r="F414" s="1550" t="s">
        <v>1768</v>
      </c>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658</v>
      </c>
      <c r="N416" s="39"/>
      <c r="O416" s="39"/>
      <c r="P416" s="243"/>
      <c r="Q416" s="1098" t="s">
        <v>591</v>
      </c>
      <c r="R416" s="109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8" t="s">
        <v>641</v>
      </c>
      <c r="AG417" s="1585"/>
    </row>
    <row r="418" spans="1:96" ht="12.75" customHeight="1">
      <c r="S418" s="25"/>
      <c r="T418" s="25"/>
    </row>
    <row r="419" spans="1:96" ht="12.75" customHeight="1">
      <c r="A419" s="50"/>
      <c r="B419" s="50"/>
      <c r="C419" s="50"/>
      <c r="E419" s="7" t="s">
        <v>330</v>
      </c>
      <c r="Z419" s="1098" t="s">
        <v>722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8" t="s">
        <v>641</v>
      </c>
      <c r="AA421" s="1098"/>
    </row>
    <row r="422" spans="1:96" ht="12.75" customHeight="1"/>
    <row r="423" spans="1:96" ht="12.75" customHeight="1">
      <c r="A423" s="50" t="s">
        <v>513</v>
      </c>
      <c r="B423" s="50"/>
      <c r="C423" s="50"/>
      <c r="D423" s="50" t="s">
        <v>842</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29"/>
      <c r="AG424" s="1526">
        <v>152</v>
      </c>
      <c r="AH424" s="1526"/>
      <c r="AI424" s="1526"/>
      <c r="AJ424" s="1526"/>
    </row>
    <row r="425" spans="1:96" ht="12.75" customHeight="1">
      <c r="D425" s="1505" t="s">
        <v>1489</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3"/>
      <c r="AH425" s="1171"/>
      <c r="AI425" s="1171"/>
      <c r="AJ425" s="1171"/>
    </row>
    <row r="426" spans="1:96" ht="12.75" customHeight="1">
      <c r="D426" s="1505" t="s">
        <v>1183</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6">
        <v>151</v>
      </c>
      <c r="AH426" s="1526"/>
      <c r="AI426" s="1526"/>
      <c r="AJ426" s="1526"/>
    </row>
    <row r="427" spans="1:96" ht="12.75" customHeight="1">
      <c r="D427" s="1505" t="s">
        <v>1184</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6">
        <v>151</v>
      </c>
      <c r="AH427" s="1526"/>
      <c r="AI427" s="1526"/>
      <c r="AJ427" s="1526"/>
    </row>
    <row r="428" spans="1:96" ht="12.75" customHeight="1">
      <c r="D428" s="1505" t="s">
        <v>1186</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74">
        <f>IF(ISERROR(AG427/AG426),"",AG427/AG426)</f>
        <v>1</v>
      </c>
      <c r="AH428" s="1574"/>
      <c r="AI428" s="1574"/>
      <c r="AJ428" s="1574"/>
    </row>
    <row r="429" spans="1:96" ht="12.75" customHeight="1">
      <c r="D429" s="1505" t="s">
        <v>1185</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49">
        <v>111579</v>
      </c>
      <c r="AH429" s="1449"/>
      <c r="AI429" s="1449"/>
      <c r="AJ429" s="1449"/>
    </row>
    <row r="430" spans="1:96" ht="12.75" customHeight="1">
      <c r="D430" s="1505" t="s">
        <v>1187</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49">
        <v>111579</v>
      </c>
      <c r="AH430" s="1449"/>
      <c r="AI430" s="1449"/>
      <c r="AJ430" s="1449"/>
    </row>
    <row r="431" spans="1:96" ht="12.75" customHeight="1">
      <c r="D431" s="1505" t="s">
        <v>1188</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74">
        <f>IF(ISERROR(AG430/AG429),"",AG430/AG429)</f>
        <v>1</v>
      </c>
      <c r="AH431" s="1574"/>
      <c r="AI431" s="1574"/>
      <c r="AJ431" s="1574"/>
    </row>
    <row r="432" spans="1:96" ht="12.75" customHeight="1">
      <c r="D432" s="1505" t="s">
        <v>1189</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5" t="s">
        <v>1460</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29"/>
      <c r="AG433" s="1449">
        <f>5523+8355</f>
        <v>13878</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29"/>
      <c r="AG434" s="1449"/>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5" t="s">
        <v>1461</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29"/>
      <c r="AG435" s="1449">
        <v>5523</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5" t="s">
        <v>1190</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29"/>
      <c r="AG436" s="1449">
        <v>104727</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0" t="s">
        <v>1191</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7">
        <f>AG429+AG433+AG435+AG436</f>
        <v>235707</v>
      </c>
      <c r="AH437" s="1527"/>
      <c r="AI437" s="1527"/>
      <c r="AJ437" s="15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3" t="s">
        <v>1462</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538175.66447368416</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538175.66447368416</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447177.07934210525</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749</v>
      </c>
      <c r="E452" s="1451"/>
      <c r="F452" s="1451"/>
      <c r="G452" s="1451"/>
      <c r="H452" s="1451"/>
      <c r="I452" s="1451"/>
      <c r="J452" s="1451"/>
      <c r="K452" s="1451"/>
      <c r="L452" s="1451"/>
      <c r="M452" s="1451"/>
      <c r="N452" s="1451"/>
      <c r="O452" s="1451"/>
      <c r="P452" s="1451"/>
      <c r="Q452" s="1451"/>
      <c r="R452" s="1451"/>
      <c r="S452" s="1451"/>
      <c r="T452" s="1451"/>
      <c r="U452" s="1451"/>
      <c r="V452" s="1452"/>
      <c r="W452" s="1256" t="s">
        <v>641</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750</v>
      </c>
      <c r="E453" s="1451"/>
      <c r="F453" s="1451"/>
      <c r="G453" s="1451"/>
      <c r="H453" s="1451"/>
      <c r="I453" s="1451"/>
      <c r="J453" s="1451"/>
      <c r="K453" s="1451"/>
      <c r="L453" s="1451"/>
      <c r="M453" s="1451"/>
      <c r="N453" s="1451"/>
      <c r="O453" s="1451"/>
      <c r="P453" s="1451"/>
      <c r="Q453" s="1451"/>
      <c r="R453" s="1451"/>
      <c r="S453" s="1451"/>
      <c r="T453" s="1451"/>
      <c r="U453" s="1451"/>
      <c r="V453" s="1452"/>
      <c r="W453" s="1256" t="s">
        <v>641</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751</v>
      </c>
      <c r="E454" s="1451"/>
      <c r="F454" s="1451"/>
      <c r="G454" s="1451"/>
      <c r="H454" s="1451"/>
      <c r="I454" s="1451"/>
      <c r="J454" s="1451"/>
      <c r="K454" s="1451"/>
      <c r="L454" s="1451"/>
      <c r="M454" s="1451"/>
      <c r="N454" s="1451"/>
      <c r="O454" s="1451"/>
      <c r="P454" s="1451"/>
      <c r="Q454" s="1451"/>
      <c r="R454" s="1451"/>
      <c r="S454" s="1451"/>
      <c r="T454" s="1451"/>
      <c r="U454" s="1451"/>
      <c r="V454" s="1452"/>
      <c r="W454" s="1256" t="s">
        <v>641</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752</v>
      </c>
      <c r="E455" s="1451"/>
      <c r="F455" s="1451"/>
      <c r="G455" s="1451"/>
      <c r="H455" s="1451"/>
      <c r="I455" s="1451"/>
      <c r="J455" s="1451"/>
      <c r="K455" s="1451"/>
      <c r="L455" s="1451"/>
      <c r="M455" s="1451"/>
      <c r="N455" s="1451"/>
      <c r="O455" s="1451"/>
      <c r="P455" s="1451"/>
      <c r="Q455" s="1451"/>
      <c r="R455" s="1451"/>
      <c r="S455" s="1451"/>
      <c r="T455" s="1451"/>
      <c r="U455" s="1451"/>
      <c r="V455" s="1452"/>
      <c r="W455" s="1256" t="s">
        <v>641</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975</v>
      </c>
      <c r="E456" s="1451"/>
      <c r="F456" s="1451"/>
      <c r="G456" s="1451"/>
      <c r="H456" s="1451"/>
      <c r="I456" s="1451"/>
      <c r="J456" s="1451"/>
      <c r="K456" s="1451"/>
      <c r="L456" s="1451"/>
      <c r="M456" s="1451"/>
      <c r="N456" s="1451"/>
      <c r="O456" s="1451"/>
      <c r="P456" s="1451"/>
      <c r="Q456" s="1451"/>
      <c r="R456" s="1451"/>
      <c r="S456" s="1451"/>
      <c r="T456" s="1451"/>
      <c r="U456" s="1451"/>
      <c r="V456" s="1452"/>
      <c r="W456" s="1256" t="s">
        <v>641</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753</v>
      </c>
      <c r="E457" s="1451"/>
      <c r="F457" s="1451"/>
      <c r="G457" s="1451"/>
      <c r="H457" s="1451"/>
      <c r="I457" s="1451"/>
      <c r="J457" s="1451"/>
      <c r="K457" s="1451"/>
      <c r="L457" s="1451"/>
      <c r="M457" s="1451"/>
      <c r="N457" s="1451"/>
      <c r="O457" s="1451"/>
      <c r="P457" s="1451"/>
      <c r="Q457" s="1451"/>
      <c r="R457" s="1451"/>
      <c r="S457" s="1451"/>
      <c r="T457" s="1451"/>
      <c r="U457" s="1451"/>
      <c r="V457" s="1452"/>
      <c r="W457" s="1256" t="s">
        <v>641</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1156</v>
      </c>
      <c r="E458" s="1451"/>
      <c r="F458" s="1451"/>
      <c r="G458" s="1451"/>
      <c r="H458" s="1451"/>
      <c r="I458" s="1451"/>
      <c r="J458" s="1451"/>
      <c r="K458" s="1451"/>
      <c r="L458" s="1451"/>
      <c r="M458" s="1451"/>
      <c r="N458" s="1451"/>
      <c r="O458" s="1451"/>
      <c r="P458" s="1451"/>
      <c r="Q458" s="1451"/>
      <c r="R458" s="1451"/>
      <c r="S458" s="1451"/>
      <c r="T458" s="1451"/>
      <c r="U458" s="1451"/>
      <c r="V458" s="1452"/>
      <c r="W458" s="1256" t="s">
        <v>641</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3"/>
      <c r="H459" s="1524"/>
      <c r="I459" s="1524"/>
      <c r="J459" s="1524"/>
      <c r="K459" s="1524"/>
      <c r="L459" s="1524"/>
      <c r="M459" s="1524"/>
      <c r="N459" s="1524"/>
      <c r="O459" s="1524"/>
      <c r="P459" s="1524"/>
      <c r="Q459" s="1524"/>
      <c r="R459" s="1524"/>
      <c r="S459" s="1524"/>
      <c r="T459" s="1524"/>
      <c r="U459" s="1524"/>
      <c r="V459" s="1525"/>
      <c r="W459" s="1256" t="s">
        <v>641</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754</v>
      </c>
      <c r="E463" s="1455"/>
      <c r="F463" s="1455"/>
      <c r="G463" s="1455"/>
      <c r="H463" s="1455"/>
      <c r="I463" s="1455"/>
      <c r="J463" s="1455"/>
      <c r="K463" s="1455"/>
      <c r="L463" s="1455"/>
      <c r="M463" s="1455"/>
      <c r="N463" s="1455"/>
      <c r="O463" s="1455"/>
      <c r="P463" s="1455"/>
      <c r="Q463" s="1455"/>
      <c r="R463" s="1455"/>
      <c r="S463" s="1455"/>
      <c r="T463" s="1455"/>
      <c r="U463" s="1455"/>
      <c r="V463" s="1455"/>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755</v>
      </c>
      <c r="E464" s="1451"/>
      <c r="F464" s="1451"/>
      <c r="G464" s="1451"/>
      <c r="H464" s="1451"/>
      <c r="I464" s="1451"/>
      <c r="J464" s="1451"/>
      <c r="K464" s="1451"/>
      <c r="L464" s="1451"/>
      <c r="M464" s="1451"/>
      <c r="N464" s="1451"/>
      <c r="O464" s="1451"/>
      <c r="P464" s="1451"/>
      <c r="Q464" s="1451"/>
      <c r="R464" s="1451"/>
      <c r="S464" s="1451"/>
      <c r="T464" s="1451"/>
      <c r="U464" s="1451"/>
      <c r="V464" s="1452"/>
      <c r="W464" s="1256" t="s">
        <v>641</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892</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893</v>
      </c>
      <c r="U471" s="1462"/>
      <c r="V471" s="1462"/>
      <c r="W471" s="1462"/>
      <c r="X471" s="1462"/>
      <c r="Y471" s="1462"/>
      <c r="Z471" s="1462"/>
      <c r="AA471" s="1462"/>
      <c r="AB471" s="1462"/>
      <c r="AC471" s="1462"/>
      <c r="AD471" s="1462"/>
      <c r="AE471" s="1462"/>
      <c r="AF471" s="1462"/>
      <c r="AG471" s="1462"/>
      <c r="AH471" s="151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v>43282</v>
      </c>
      <c r="U474" s="1453"/>
      <c r="V474" s="1453"/>
      <c r="W474" s="1453"/>
      <c r="X474" s="1453"/>
      <c r="Y474" s="1453">
        <v>0</v>
      </c>
      <c r="Z474" s="1453"/>
      <c r="AA474" s="1453"/>
      <c r="AB474" s="1453"/>
      <c r="AC474" s="1453"/>
      <c r="AD474" s="1453">
        <v>43481</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v>43282</v>
      </c>
      <c r="U475" s="1453"/>
      <c r="V475" s="1453"/>
      <c r="W475" s="1453"/>
      <c r="X475" s="1453"/>
      <c r="Y475" s="1453">
        <v>0</v>
      </c>
      <c r="Z475" s="1453"/>
      <c r="AA475" s="1453"/>
      <c r="AB475" s="1453"/>
      <c r="AC475" s="1453"/>
      <c r="AD475" s="1453">
        <v>43490</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t="s">
        <v>641</v>
      </c>
      <c r="U476" s="1453"/>
      <c r="V476" s="1453"/>
      <c r="W476" s="1453"/>
      <c r="X476" s="1453"/>
      <c r="Y476" s="1453" t="s">
        <v>641</v>
      </c>
      <c r="Z476" s="1453"/>
      <c r="AA476" s="1453"/>
      <c r="AB476" s="1453"/>
      <c r="AC476" s="1453"/>
      <c r="AD476" s="1453">
        <v>0</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v>43282</v>
      </c>
      <c r="U477" s="1453"/>
      <c r="V477" s="1453"/>
      <c r="W477" s="1453"/>
      <c r="X477" s="1453"/>
      <c r="Y477" s="1453">
        <v>0</v>
      </c>
      <c r="Z477" s="1453"/>
      <c r="AA477" s="1453"/>
      <c r="AB477" s="1453"/>
      <c r="AC477" s="1453"/>
      <c r="AD477" s="1453">
        <v>43466</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641</v>
      </c>
      <c r="U478" s="1453"/>
      <c r="V478" s="1453"/>
      <c r="W478" s="1453"/>
      <c r="X478" s="1453"/>
      <c r="Y478" s="1453" t="s">
        <v>641</v>
      </c>
      <c r="Z478" s="1453"/>
      <c r="AA478" s="1453"/>
      <c r="AB478" s="1453"/>
      <c r="AC478" s="1453"/>
      <c r="AD478" s="1453">
        <v>0</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v>43255</v>
      </c>
      <c r="U479" s="1453"/>
      <c r="V479" s="1453"/>
      <c r="W479" s="1453"/>
      <c r="X479" s="1453"/>
      <c r="Y479" s="1453">
        <v>0</v>
      </c>
      <c r="Z479" s="1453"/>
      <c r="AA479" s="1453"/>
      <c r="AB479" s="1453"/>
      <c r="AC479" s="1453"/>
      <c r="AD479" s="1453">
        <v>43497</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3">
        <v>43282</v>
      </c>
      <c r="U480" s="1453"/>
      <c r="V480" s="1453"/>
      <c r="W480" s="1453"/>
      <c r="X480" s="1453"/>
      <c r="Y480" s="1453">
        <v>0</v>
      </c>
      <c r="Z480" s="1453"/>
      <c r="AA480" s="1453"/>
      <c r="AB480" s="1453"/>
      <c r="AC480" s="1453"/>
      <c r="AD480" s="1453">
        <v>43481</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v>43647</v>
      </c>
      <c r="U481" s="1453"/>
      <c r="V481" s="1453"/>
      <c r="W481" s="1453"/>
      <c r="X481" s="1453"/>
      <c r="Y481" s="1453">
        <v>0</v>
      </c>
      <c r="Z481" s="1453"/>
      <c r="AA481" s="1453"/>
      <c r="AB481" s="1453"/>
      <c r="AC481" s="1453"/>
      <c r="AD481" s="1453">
        <v>43481</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v>0</v>
      </c>
      <c r="U482" s="1453"/>
      <c r="V482" s="1453"/>
      <c r="W482" s="1453"/>
      <c r="X482" s="1453"/>
      <c r="Y482" s="1453">
        <v>0</v>
      </c>
      <c r="Z482" s="1453"/>
      <c r="AA482" s="1453"/>
      <c r="AB482" s="1453"/>
      <c r="AC482" s="1453"/>
      <c r="AD482" s="1453">
        <v>0</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3">
        <v>0</v>
      </c>
      <c r="U483" s="1453"/>
      <c r="V483" s="1453"/>
      <c r="W483" s="1453"/>
      <c r="X483" s="1453"/>
      <c r="Y483" s="1453">
        <v>0</v>
      </c>
      <c r="Z483" s="1453"/>
      <c r="AA483" s="1453"/>
      <c r="AB483" s="1453"/>
      <c r="AC483" s="1453"/>
      <c r="AD483" s="1453">
        <v>0</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428</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7" t="s">
        <v>1718</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7" t="s">
        <v>1719</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7" t="s">
        <v>1720</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3" t="s">
        <v>432</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6"/>
      <c r="C490" s="1467"/>
      <c r="D490" s="1467"/>
      <c r="E490" s="1467"/>
      <c r="F490" s="1467"/>
      <c r="G490" s="1467"/>
      <c r="H490" s="1467"/>
      <c r="I490" s="1467"/>
      <c r="J490" s="1467"/>
      <c r="K490" s="1467"/>
      <c r="L490" s="1467"/>
      <c r="M490" s="1467"/>
      <c r="N490" s="1467"/>
      <c r="O490" s="1467"/>
      <c r="P490" s="1468"/>
      <c r="Q490" s="1472" t="s">
        <v>722</v>
      </c>
      <c r="R490" s="1473"/>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3" t="s">
        <v>1770</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3" t="s">
        <v>1769</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436</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437</v>
      </c>
      <c r="AD499" s="1462"/>
      <c r="AE499" s="1462"/>
      <c r="AF499" s="1462"/>
      <c r="AG499" s="82" t="s">
        <v>438</v>
      </c>
      <c r="AH499" s="1462" t="s">
        <v>439</v>
      </c>
      <c r="AI499" s="1462"/>
      <c r="AJ499" s="1462"/>
      <c r="AK499" s="151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440</v>
      </c>
      <c r="C500" s="1477"/>
      <c r="D500" s="1477"/>
      <c r="E500" s="1477"/>
      <c r="F500" s="1477"/>
      <c r="G500" s="1477"/>
      <c r="H500" s="1478"/>
      <c r="I500" s="72" t="s">
        <v>441</v>
      </c>
      <c r="J500" s="72"/>
      <c r="K500" s="72"/>
      <c r="L500" s="72"/>
      <c r="M500" s="72"/>
      <c r="N500" s="72"/>
      <c r="O500" s="72"/>
      <c r="P500" s="72"/>
      <c r="Q500" s="72"/>
      <c r="R500" s="72"/>
      <c r="S500" s="72"/>
      <c r="T500" s="72"/>
      <c r="U500" s="72"/>
      <c r="V500" s="72"/>
      <c r="W500" s="72"/>
      <c r="X500" s="25"/>
      <c r="Y500" s="25"/>
      <c r="AC500" s="1457">
        <v>1</v>
      </c>
      <c r="AD500" s="1416"/>
      <c r="AE500" s="1416"/>
      <c r="AF500" s="1416"/>
      <c r="AG500" s="75" t="s">
        <v>438</v>
      </c>
      <c r="AH500" s="1224">
        <v>2019</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442</v>
      </c>
      <c r="J501" s="80"/>
      <c r="K501" s="80"/>
      <c r="L501" s="80"/>
      <c r="M501" s="80"/>
      <c r="N501" s="80"/>
      <c r="O501" s="80"/>
      <c r="P501" s="80"/>
      <c r="Q501" s="80"/>
      <c r="R501" s="80"/>
      <c r="S501" s="80"/>
      <c r="T501" s="80"/>
      <c r="U501" s="80"/>
      <c r="V501" s="80"/>
      <c r="W501" s="80"/>
      <c r="X501" s="80"/>
      <c r="Y501" s="80"/>
      <c r="Z501" s="80"/>
      <c r="AA501" s="80"/>
      <c r="AB501" s="80"/>
      <c r="AC501" s="1457" t="s">
        <v>641</v>
      </c>
      <c r="AD501" s="1416"/>
      <c r="AE501" s="1416"/>
      <c r="AF501" s="1416"/>
      <c r="AG501" s="65" t="s">
        <v>438</v>
      </c>
      <c r="AH501" s="1224"/>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443</v>
      </c>
      <c r="C502" s="1477"/>
      <c r="D502" s="1477"/>
      <c r="E502" s="1477"/>
      <c r="F502" s="1477"/>
      <c r="G502" s="1477"/>
      <c r="H502" s="1478"/>
      <c r="I502" s="72" t="s">
        <v>444</v>
      </c>
      <c r="J502" s="72"/>
      <c r="K502" s="72"/>
      <c r="L502" s="72"/>
      <c r="M502" s="72"/>
      <c r="N502" s="72"/>
      <c r="O502" s="72"/>
      <c r="P502" s="72"/>
      <c r="Q502" s="72"/>
      <c r="R502" s="72"/>
      <c r="S502" s="72"/>
      <c r="T502" s="72"/>
      <c r="U502" s="72"/>
      <c r="V502" s="72"/>
      <c r="W502" s="72"/>
      <c r="X502" s="25"/>
      <c r="Y502" s="25"/>
      <c r="AC502" s="1457" t="s">
        <v>641</v>
      </c>
      <c r="AD502" s="1416"/>
      <c r="AE502" s="1416"/>
      <c r="AF502" s="1416"/>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445</v>
      </c>
      <c r="J503" s="25"/>
      <c r="K503" s="25"/>
      <c r="L503" s="25"/>
      <c r="M503" s="25"/>
      <c r="N503" s="25"/>
      <c r="O503" s="25"/>
      <c r="P503" s="25"/>
      <c r="Q503" s="25"/>
      <c r="R503" s="25"/>
      <c r="S503" s="25"/>
      <c r="T503" s="25"/>
      <c r="U503" s="25"/>
      <c r="V503" s="25"/>
      <c r="W503" s="25"/>
      <c r="X503" s="25"/>
      <c r="Y503" s="25"/>
      <c r="AC503" s="1457" t="s">
        <v>641</v>
      </c>
      <c r="AD503" s="1416"/>
      <c r="AE503" s="1416"/>
      <c r="AF503" s="1416"/>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446</v>
      </c>
      <c r="J504" s="25"/>
      <c r="K504" s="25"/>
      <c r="L504" s="25"/>
      <c r="M504" s="25"/>
      <c r="N504" s="25"/>
      <c r="O504" s="25"/>
      <c r="P504" s="25"/>
      <c r="Q504" s="25"/>
      <c r="R504" s="25"/>
      <c r="S504" s="25"/>
      <c r="T504" s="25"/>
      <c r="U504" s="25"/>
      <c r="V504" s="25"/>
      <c r="W504" s="25"/>
      <c r="X504" s="25"/>
      <c r="Y504" s="25"/>
      <c r="AC504" s="1457">
        <v>12</v>
      </c>
      <c r="AD504" s="1416"/>
      <c r="AE504" s="1416"/>
      <c r="AF504" s="1416"/>
      <c r="AG504" s="75" t="s">
        <v>438</v>
      </c>
      <c r="AH504" s="1224">
        <v>2018</v>
      </c>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447</v>
      </c>
      <c r="J505" s="25"/>
      <c r="K505" s="25"/>
      <c r="L505" s="25"/>
      <c r="M505" s="25"/>
      <c r="N505" s="25"/>
      <c r="O505" s="25"/>
      <c r="P505" s="25"/>
      <c r="Q505" s="25"/>
      <c r="R505" s="25"/>
      <c r="S505" s="25"/>
      <c r="T505" s="25"/>
      <c r="U505" s="25"/>
      <c r="V505" s="25"/>
      <c r="W505" s="25"/>
      <c r="X505" s="25"/>
      <c r="Y505" s="25"/>
      <c r="AC505" s="1457">
        <v>9</v>
      </c>
      <c r="AD505" s="1416"/>
      <c r="AE505" s="1416"/>
      <c r="AF505" s="1416"/>
      <c r="AG505" s="75" t="s">
        <v>438</v>
      </c>
      <c r="AH505" s="1224">
        <v>2020</v>
      </c>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448</v>
      </c>
      <c r="J506" s="80"/>
      <c r="K506" s="80"/>
      <c r="L506" s="80"/>
      <c r="M506" s="80"/>
      <c r="N506" s="80"/>
      <c r="O506" s="80"/>
      <c r="P506" s="80"/>
      <c r="Q506" s="80"/>
      <c r="R506" s="80"/>
      <c r="S506" s="80"/>
      <c r="T506" s="80"/>
      <c r="U506" s="80"/>
      <c r="V506" s="80"/>
      <c r="W506" s="80"/>
      <c r="X506" s="80"/>
      <c r="Y506" s="80"/>
      <c r="Z506" s="80"/>
      <c r="AA506" s="80"/>
      <c r="AB506" s="80"/>
      <c r="AC506" s="1457">
        <v>9</v>
      </c>
      <c r="AD506" s="1416"/>
      <c r="AE506" s="1416"/>
      <c r="AF506" s="1416"/>
      <c r="AG506" s="65" t="s">
        <v>438</v>
      </c>
      <c r="AH506" s="1224">
        <v>2020</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449</v>
      </c>
      <c r="C507" s="1477"/>
      <c r="D507" s="1477"/>
      <c r="E507" s="1477"/>
      <c r="F507" s="1477"/>
      <c r="G507" s="1477"/>
      <c r="H507" s="1478"/>
      <c r="I507" s="72" t="s">
        <v>450</v>
      </c>
      <c r="J507" s="72"/>
      <c r="K507" s="72"/>
      <c r="L507" s="72"/>
      <c r="M507" s="72"/>
      <c r="N507" s="72"/>
      <c r="O507" s="72"/>
      <c r="P507" s="72"/>
      <c r="Q507" s="72"/>
      <c r="R507" s="72"/>
      <c r="S507" s="72"/>
      <c r="T507" s="72"/>
      <c r="U507" s="72"/>
      <c r="V507" s="72"/>
      <c r="W507" s="72"/>
      <c r="X507" s="25"/>
      <c r="Y507" s="25"/>
      <c r="AC507" s="1457">
        <v>1</v>
      </c>
      <c r="AD507" s="1416"/>
      <c r="AE507" s="1416"/>
      <c r="AF507" s="1416"/>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451</v>
      </c>
      <c r="J508" s="25"/>
      <c r="K508" s="25"/>
      <c r="L508" s="25"/>
      <c r="M508" s="25"/>
      <c r="N508" s="25"/>
      <c r="O508" s="25"/>
      <c r="P508" s="25"/>
      <c r="Q508" s="25"/>
      <c r="R508" s="25"/>
      <c r="S508" s="25"/>
      <c r="T508" s="25"/>
      <c r="U508" s="25"/>
      <c r="V508" s="25"/>
      <c r="W508" s="25"/>
      <c r="X508" s="25"/>
      <c r="Y508" s="25"/>
      <c r="AC508" s="1457">
        <v>1</v>
      </c>
      <c r="AD508" s="1416"/>
      <c r="AE508" s="1416"/>
      <c r="AF508" s="1416"/>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452</v>
      </c>
      <c r="J509" s="80"/>
      <c r="K509" s="80"/>
      <c r="L509" s="80"/>
      <c r="M509" s="80"/>
      <c r="N509" s="80"/>
      <c r="O509" s="80"/>
      <c r="P509" s="80"/>
      <c r="Q509" s="80"/>
      <c r="R509" s="80"/>
      <c r="S509" s="80"/>
      <c r="T509" s="80"/>
      <c r="U509" s="80"/>
      <c r="V509" s="80"/>
      <c r="W509" s="80"/>
      <c r="X509" s="80"/>
      <c r="Y509" s="80"/>
      <c r="Z509" s="80"/>
      <c r="AA509" s="80"/>
      <c r="AB509" s="80"/>
      <c r="AC509" s="1457">
        <v>9</v>
      </c>
      <c r="AD509" s="1416"/>
      <c r="AE509" s="1416"/>
      <c r="AF509" s="1416"/>
      <c r="AG509" s="65" t="s">
        <v>438</v>
      </c>
      <c r="AH509" s="1224">
        <v>2020</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453</v>
      </c>
      <c r="C510" s="1477"/>
      <c r="D510" s="1477"/>
      <c r="E510" s="1477"/>
      <c r="F510" s="1477"/>
      <c r="G510" s="1477"/>
      <c r="H510" s="1478"/>
      <c r="I510" s="72" t="s">
        <v>450</v>
      </c>
      <c r="J510" s="72"/>
      <c r="K510" s="72"/>
      <c r="L510" s="72"/>
      <c r="M510" s="72"/>
      <c r="N510" s="72"/>
      <c r="O510" s="72"/>
      <c r="P510" s="72"/>
      <c r="Q510" s="72"/>
      <c r="R510" s="72"/>
      <c r="S510" s="72"/>
      <c r="T510" s="72"/>
      <c r="U510" s="72"/>
      <c r="V510" s="72"/>
      <c r="W510" s="72"/>
      <c r="X510" s="72"/>
      <c r="Y510" s="72"/>
      <c r="Z510" s="72"/>
      <c r="AA510" s="72"/>
      <c r="AB510" s="72"/>
      <c r="AC510" s="1168">
        <v>1</v>
      </c>
      <c r="AD510" s="1169"/>
      <c r="AE510" s="1169"/>
      <c r="AF510" s="1169"/>
      <c r="AG510" s="204" t="s">
        <v>438</v>
      </c>
      <c r="AH510" s="1224">
        <v>2020</v>
      </c>
      <c r="AI510" s="1224"/>
      <c r="AJ510" s="1224"/>
      <c r="AK510" s="12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451</v>
      </c>
      <c r="J511" s="25"/>
      <c r="K511" s="25"/>
      <c r="L511" s="25"/>
      <c r="M511" s="25"/>
      <c r="N511" s="25"/>
      <c r="O511" s="25"/>
      <c r="P511" s="25"/>
      <c r="Q511" s="25"/>
      <c r="R511" s="25"/>
      <c r="S511" s="25"/>
      <c r="T511" s="25"/>
      <c r="U511" s="25"/>
      <c r="V511" s="25"/>
      <c r="W511" s="25"/>
      <c r="X511" s="25"/>
      <c r="Y511" s="25"/>
      <c r="Z511" s="25"/>
      <c r="AA511" s="25"/>
      <c r="AB511" s="25"/>
      <c r="AC511" s="1457">
        <v>1</v>
      </c>
      <c r="AD511" s="1416"/>
      <c r="AE511" s="1416"/>
      <c r="AF511" s="1416"/>
      <c r="AG511" s="75" t="s">
        <v>438</v>
      </c>
      <c r="AH511" s="1224">
        <v>2020</v>
      </c>
      <c r="AI511" s="1224"/>
      <c r="AJ511" s="1224"/>
      <c r="AK511" s="12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452</v>
      </c>
      <c r="J512" s="80"/>
      <c r="K512" s="80"/>
      <c r="L512" s="80"/>
      <c r="M512" s="80"/>
      <c r="N512" s="80"/>
      <c r="O512" s="80"/>
      <c r="P512" s="80"/>
      <c r="Q512" s="80"/>
      <c r="R512" s="80"/>
      <c r="S512" s="80"/>
      <c r="T512" s="80"/>
      <c r="U512" s="80"/>
      <c r="V512" s="80"/>
      <c r="W512" s="80"/>
      <c r="X512" s="80"/>
      <c r="Y512" s="80"/>
      <c r="Z512" s="80"/>
      <c r="AA512" s="80"/>
      <c r="AB512" s="80"/>
      <c r="AC512" s="1457">
        <v>5</v>
      </c>
      <c r="AD512" s="1416"/>
      <c r="AE512" s="1416"/>
      <c r="AF512" s="1416"/>
      <c r="AG512" s="65" t="s">
        <v>438</v>
      </c>
      <c r="AH512" s="1224">
        <v>2023</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454</v>
      </c>
      <c r="C513" s="1477"/>
      <c r="D513" s="1477"/>
      <c r="E513" s="1477"/>
      <c r="F513" s="1477"/>
      <c r="G513" s="1477"/>
      <c r="H513" s="1478"/>
      <c r="I513" s="71" t="s">
        <v>455</v>
      </c>
      <c r="J513" s="72"/>
      <c r="K513" s="72"/>
      <c r="L513" s="72"/>
      <c r="M513" s="72"/>
      <c r="N513" s="72"/>
      <c r="O513" s="1119" t="s">
        <v>1721</v>
      </c>
      <c r="P513" s="1119"/>
      <c r="Q513" s="1119"/>
      <c r="R513" s="1119"/>
      <c r="S513" s="1119"/>
      <c r="T513" s="1119"/>
      <c r="U513" s="1119"/>
      <c r="V513" s="1119"/>
      <c r="W513" s="1119"/>
      <c r="X513" s="1119"/>
      <c r="Y513" s="1119"/>
      <c r="Z513" s="1119"/>
      <c r="AA513" s="1119"/>
      <c r="AB513" s="94"/>
      <c r="AC513" s="1168" t="s">
        <v>641</v>
      </c>
      <c r="AD513" s="1169"/>
      <c r="AE513" s="1169"/>
      <c r="AF513" s="1169"/>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456</v>
      </c>
      <c r="J514" s="25"/>
      <c r="K514" s="25"/>
      <c r="L514" s="25"/>
      <c r="M514" s="25"/>
      <c r="N514" s="25"/>
      <c r="O514" s="25"/>
      <c r="P514" s="25"/>
      <c r="Q514" s="25"/>
      <c r="R514" s="25"/>
      <c r="S514" s="25"/>
      <c r="T514" s="25"/>
      <c r="U514" s="25"/>
      <c r="V514" s="25"/>
      <c r="W514" s="25"/>
      <c r="X514" s="25"/>
      <c r="Y514" s="25"/>
      <c r="Z514" s="25"/>
      <c r="AA514" s="25"/>
      <c r="AB514" s="101"/>
      <c r="AC514" s="1457">
        <v>6</v>
      </c>
      <c r="AD514" s="1416"/>
      <c r="AE514" s="1416"/>
      <c r="AF514" s="1416"/>
      <c r="AG514" s="75" t="s">
        <v>438</v>
      </c>
      <c r="AH514" s="1224">
        <v>2018</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457</v>
      </c>
      <c r="J515" s="80"/>
      <c r="K515" s="80"/>
      <c r="L515" s="80"/>
      <c r="M515" s="80"/>
      <c r="N515" s="80"/>
      <c r="O515" s="80"/>
      <c r="P515" s="80"/>
      <c r="Q515" s="80"/>
      <c r="R515" s="80"/>
      <c r="S515" s="80"/>
      <c r="T515" s="80"/>
      <c r="U515" s="80"/>
      <c r="V515" s="80"/>
      <c r="W515" s="80"/>
      <c r="X515" s="80"/>
      <c r="Y515" s="80"/>
      <c r="Z515" s="80"/>
      <c r="AA515" s="80"/>
      <c r="AB515" s="81"/>
      <c r="AC515" s="1457">
        <v>8</v>
      </c>
      <c r="AD515" s="1416"/>
      <c r="AE515" s="1416"/>
      <c r="AF515" s="1416"/>
      <c r="AG515" s="65" t="s">
        <v>438</v>
      </c>
      <c r="AH515" s="1224">
        <v>2018</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458</v>
      </c>
      <c r="J516" s="72"/>
      <c r="K516" s="72"/>
      <c r="L516" s="72"/>
      <c r="M516" s="72"/>
      <c r="N516" s="72"/>
      <c r="O516" s="1097" t="s">
        <v>1722</v>
      </c>
      <c r="P516" s="1097"/>
      <c r="Q516" s="1097"/>
      <c r="R516" s="1097"/>
      <c r="S516" s="1097"/>
      <c r="T516" s="1097"/>
      <c r="U516" s="1097"/>
      <c r="V516" s="1097"/>
      <c r="W516" s="1097"/>
      <c r="X516" s="1097"/>
      <c r="Y516" s="1097"/>
      <c r="Z516" s="1097"/>
      <c r="AA516" s="1097"/>
      <c r="AC516" s="1457" t="s">
        <v>641</v>
      </c>
      <c r="AD516" s="1416"/>
      <c r="AE516" s="1416"/>
      <c r="AF516" s="1416"/>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456</v>
      </c>
      <c r="J517" s="25"/>
      <c r="K517" s="25"/>
      <c r="L517" s="25"/>
      <c r="M517" s="25"/>
      <c r="N517" s="25"/>
      <c r="O517" s="25"/>
      <c r="P517" s="25"/>
      <c r="Q517" s="25"/>
      <c r="R517" s="25"/>
      <c r="S517" s="25"/>
      <c r="T517" s="25"/>
      <c r="U517" s="25"/>
      <c r="V517" s="25"/>
      <c r="W517" s="25"/>
      <c r="X517" s="25"/>
      <c r="Y517" s="25"/>
      <c r="AC517" s="1457">
        <v>1</v>
      </c>
      <c r="AD517" s="1416"/>
      <c r="AE517" s="1416"/>
      <c r="AF517" s="1416"/>
      <c r="AG517" s="75" t="s">
        <v>438</v>
      </c>
      <c r="AH517" s="1224">
        <v>2019</v>
      </c>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457</v>
      </c>
      <c r="J518" s="80"/>
      <c r="K518" s="80"/>
      <c r="L518" s="80"/>
      <c r="M518" s="80"/>
      <c r="N518" s="80"/>
      <c r="O518" s="80"/>
      <c r="P518" s="80"/>
      <c r="Q518" s="80"/>
      <c r="R518" s="80"/>
      <c r="S518" s="80"/>
      <c r="T518" s="80"/>
      <c r="U518" s="80"/>
      <c r="V518" s="80"/>
      <c r="W518" s="80"/>
      <c r="X518" s="80"/>
      <c r="Y518" s="80"/>
      <c r="Z518" s="80"/>
      <c r="AA518" s="80"/>
      <c r="AB518" s="80"/>
      <c r="AC518" s="1457">
        <v>6</v>
      </c>
      <c r="AD518" s="1416"/>
      <c r="AE518" s="1416"/>
      <c r="AF518" s="1416"/>
      <c r="AG518" s="65" t="s">
        <v>438</v>
      </c>
      <c r="AH518" s="1224">
        <v>2019</v>
      </c>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57" t="s">
        <v>641</v>
      </c>
      <c r="AD519" s="1416"/>
      <c r="AE519" s="1416"/>
      <c r="AF519" s="1416"/>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456</v>
      </c>
      <c r="J520" s="25"/>
      <c r="K520" s="25"/>
      <c r="L520" s="25"/>
      <c r="M520" s="25"/>
      <c r="N520" s="25"/>
      <c r="O520" s="25"/>
      <c r="P520" s="25"/>
      <c r="Q520" s="25"/>
      <c r="R520" s="25"/>
      <c r="S520" s="25"/>
      <c r="T520" s="25"/>
      <c r="U520" s="25"/>
      <c r="V520" s="25"/>
      <c r="W520" s="25"/>
      <c r="X520" s="25"/>
      <c r="Y520" s="25"/>
      <c r="AC520" s="1457" t="s">
        <v>641</v>
      </c>
      <c r="AD520" s="1416"/>
      <c r="AE520" s="1416"/>
      <c r="AF520" s="1416"/>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457</v>
      </c>
      <c r="J521" s="80"/>
      <c r="K521" s="80"/>
      <c r="L521" s="80"/>
      <c r="M521" s="80"/>
      <c r="N521" s="80"/>
      <c r="O521" s="80"/>
      <c r="P521" s="80"/>
      <c r="Q521" s="80"/>
      <c r="R521" s="80"/>
      <c r="S521" s="80"/>
      <c r="T521" s="80"/>
      <c r="U521" s="80"/>
      <c r="V521" s="80"/>
      <c r="W521" s="80"/>
      <c r="X521" s="80"/>
      <c r="Y521" s="80"/>
      <c r="Z521" s="80"/>
      <c r="AA521" s="80"/>
      <c r="AB521" s="80"/>
      <c r="AC521" s="1457" t="s">
        <v>641</v>
      </c>
      <c r="AD521" s="1416"/>
      <c r="AE521" s="1416"/>
      <c r="AF521" s="1416"/>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57" t="s">
        <v>641</v>
      </c>
      <c r="AD522" s="1416"/>
      <c r="AE522" s="1416"/>
      <c r="AF522" s="1416"/>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456</v>
      </c>
      <c r="J523" s="25"/>
      <c r="K523" s="25"/>
      <c r="L523" s="25"/>
      <c r="M523" s="25"/>
      <c r="N523" s="25"/>
      <c r="O523" s="25"/>
      <c r="P523" s="25"/>
      <c r="Q523" s="25"/>
      <c r="R523" s="25"/>
      <c r="S523" s="25"/>
      <c r="T523" s="25"/>
      <c r="U523" s="25"/>
      <c r="V523" s="25"/>
      <c r="W523" s="25"/>
      <c r="X523" s="25"/>
      <c r="Y523" s="25"/>
      <c r="AC523" s="1457" t="s">
        <v>641</v>
      </c>
      <c r="AD523" s="1416"/>
      <c r="AE523" s="1416"/>
      <c r="AF523" s="1416"/>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457</v>
      </c>
      <c r="J524" s="80"/>
      <c r="K524" s="80"/>
      <c r="L524" s="80"/>
      <c r="M524" s="80"/>
      <c r="N524" s="80"/>
      <c r="O524" s="80"/>
      <c r="P524" s="80"/>
      <c r="Q524" s="80"/>
      <c r="R524" s="80"/>
      <c r="S524" s="80"/>
      <c r="T524" s="80"/>
      <c r="U524" s="80"/>
      <c r="V524" s="80"/>
      <c r="W524" s="80"/>
      <c r="X524" s="80"/>
      <c r="Y524" s="80"/>
      <c r="Z524" s="80"/>
      <c r="AA524" s="80"/>
      <c r="AB524" s="80"/>
      <c r="AC524" s="1457" t="s">
        <v>641</v>
      </c>
      <c r="AD524" s="1416"/>
      <c r="AE524" s="1416"/>
      <c r="AF524" s="1416"/>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57" t="s">
        <v>641</v>
      </c>
      <c r="AD525" s="1416"/>
      <c r="AE525" s="1416"/>
      <c r="AF525" s="1416"/>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456</v>
      </c>
      <c r="J526" s="25"/>
      <c r="K526" s="25"/>
      <c r="L526" s="25"/>
      <c r="M526" s="25"/>
      <c r="N526" s="25"/>
      <c r="O526" s="25"/>
      <c r="P526" s="25"/>
      <c r="Q526" s="25"/>
      <c r="R526" s="25"/>
      <c r="S526" s="25"/>
      <c r="T526" s="25"/>
      <c r="U526" s="25"/>
      <c r="V526" s="25"/>
      <c r="W526" s="25"/>
      <c r="X526" s="25"/>
      <c r="Y526" s="25"/>
      <c r="AC526" s="1457" t="s">
        <v>641</v>
      </c>
      <c r="AD526" s="1416"/>
      <c r="AE526" s="1416"/>
      <c r="AF526" s="1416"/>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457</v>
      </c>
      <c r="J527" s="80"/>
      <c r="K527" s="80"/>
      <c r="L527" s="80"/>
      <c r="M527" s="80"/>
      <c r="N527" s="80"/>
      <c r="O527" s="80"/>
      <c r="P527" s="80"/>
      <c r="Q527" s="80"/>
      <c r="R527" s="80"/>
      <c r="S527" s="80"/>
      <c r="T527" s="80"/>
      <c r="U527" s="80"/>
      <c r="V527" s="80"/>
      <c r="W527" s="80"/>
      <c r="X527" s="80"/>
      <c r="Y527" s="80"/>
      <c r="Z527" s="80"/>
      <c r="AA527" s="80"/>
      <c r="AB527" s="80"/>
      <c r="AC527" s="1457" t="s">
        <v>641</v>
      </c>
      <c r="AD527" s="1416"/>
      <c r="AE527" s="1416"/>
      <c r="AF527" s="1416"/>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57" t="s">
        <v>641</v>
      </c>
      <c r="AD528" s="1416"/>
      <c r="AE528" s="1416"/>
      <c r="AF528" s="1416"/>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456</v>
      </c>
      <c r="J529" s="25"/>
      <c r="K529" s="25"/>
      <c r="L529" s="25"/>
      <c r="M529" s="25"/>
      <c r="N529" s="25"/>
      <c r="O529" s="25"/>
      <c r="P529" s="25"/>
      <c r="Q529" s="25"/>
      <c r="R529" s="25"/>
      <c r="S529" s="25"/>
      <c r="T529" s="25"/>
      <c r="U529" s="25"/>
      <c r="V529" s="25"/>
      <c r="W529" s="25"/>
      <c r="X529" s="25"/>
      <c r="Y529" s="25"/>
      <c r="AC529" s="1457" t="s">
        <v>641</v>
      </c>
      <c r="AD529" s="1416"/>
      <c r="AE529" s="1416"/>
      <c r="AF529" s="1416"/>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457</v>
      </c>
      <c r="J530" s="80"/>
      <c r="K530" s="80"/>
      <c r="L530" s="80"/>
      <c r="M530" s="80"/>
      <c r="N530" s="80"/>
      <c r="O530" s="80"/>
      <c r="P530" s="80"/>
      <c r="Q530" s="80"/>
      <c r="R530" s="80"/>
      <c r="S530" s="80"/>
      <c r="T530" s="80"/>
      <c r="U530" s="80"/>
      <c r="V530" s="80"/>
      <c r="W530" s="80"/>
      <c r="X530" s="80"/>
      <c r="Y530" s="80"/>
      <c r="Z530" s="80"/>
      <c r="AA530" s="80"/>
      <c r="AB530" s="80"/>
      <c r="AC530" s="1457" t="s">
        <v>641</v>
      </c>
      <c r="AD530" s="1416"/>
      <c r="AE530" s="1416"/>
      <c r="AF530" s="1416"/>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610</v>
      </c>
      <c r="J531" s="72"/>
      <c r="K531" s="72"/>
      <c r="L531" s="72"/>
      <c r="M531" s="72"/>
      <c r="N531" s="72"/>
      <c r="O531" s="72"/>
      <c r="P531" s="72"/>
      <c r="Q531" s="72"/>
      <c r="R531" s="72"/>
      <c r="S531" s="72"/>
      <c r="T531" s="72"/>
      <c r="U531" s="72"/>
      <c r="V531" s="72"/>
      <c r="W531" s="72"/>
      <c r="X531" s="25"/>
      <c r="Y531" s="25"/>
      <c r="AC531" s="1457">
        <v>3</v>
      </c>
      <c r="AD531" s="1416"/>
      <c r="AE531" s="1416"/>
      <c r="AF531" s="1416"/>
      <c r="AG531" s="65" t="s">
        <v>438</v>
      </c>
      <c r="AH531" s="1224">
        <v>2021</v>
      </c>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611</v>
      </c>
      <c r="J532" s="25"/>
      <c r="K532" s="25"/>
      <c r="L532" s="25"/>
      <c r="M532" s="25"/>
      <c r="N532" s="25"/>
      <c r="O532" s="25"/>
      <c r="P532" s="25"/>
      <c r="Q532" s="25"/>
      <c r="R532" s="25"/>
      <c r="S532" s="25"/>
      <c r="T532" s="25"/>
      <c r="U532" s="25"/>
      <c r="V532" s="25"/>
      <c r="W532" s="25"/>
      <c r="X532" s="25"/>
      <c r="Y532" s="25"/>
      <c r="AC532" s="1457">
        <v>9</v>
      </c>
      <c r="AD532" s="1416"/>
      <c r="AE532" s="1416"/>
      <c r="AF532" s="1416"/>
      <c r="AG532" s="75" t="s">
        <v>438</v>
      </c>
      <c r="AH532" s="1224">
        <v>2020</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612</v>
      </c>
      <c r="J533" s="25"/>
      <c r="K533" s="25"/>
      <c r="L533" s="25"/>
      <c r="M533" s="25"/>
      <c r="N533" s="25"/>
      <c r="O533" s="25"/>
      <c r="P533" s="25"/>
      <c r="Q533" s="25"/>
      <c r="R533" s="25"/>
      <c r="S533" s="25"/>
      <c r="T533" s="25"/>
      <c r="U533" s="25"/>
      <c r="V533" s="25"/>
      <c r="W533" s="25"/>
      <c r="X533" s="25"/>
      <c r="Y533" s="25"/>
      <c r="AC533" s="1457">
        <v>10</v>
      </c>
      <c r="AD533" s="1416"/>
      <c r="AE533" s="1416"/>
      <c r="AF533" s="1416"/>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613</v>
      </c>
      <c r="J534" s="25"/>
      <c r="K534" s="25"/>
      <c r="L534" s="25"/>
      <c r="M534" s="25"/>
      <c r="N534" s="25"/>
      <c r="O534" s="25"/>
      <c r="P534" s="25"/>
      <c r="Q534" s="25"/>
      <c r="R534" s="25"/>
      <c r="S534" s="25"/>
      <c r="T534" s="25"/>
      <c r="U534" s="25"/>
      <c r="V534" s="25"/>
      <c r="W534" s="25"/>
      <c r="X534" s="25"/>
      <c r="Y534" s="25"/>
      <c r="AC534" s="1457">
        <v>10</v>
      </c>
      <c r="AD534" s="1416"/>
      <c r="AE534" s="1416"/>
      <c r="AF534" s="1416"/>
      <c r="AG534" s="65" t="s">
        <v>438</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495</v>
      </c>
      <c r="J535" s="80"/>
      <c r="K535" s="80"/>
      <c r="L535" s="80"/>
      <c r="M535" s="80"/>
      <c r="N535" s="80"/>
      <c r="O535" s="80"/>
      <c r="P535" s="80"/>
      <c r="Q535" s="80"/>
      <c r="R535" s="80"/>
      <c r="S535" s="80"/>
      <c r="T535" s="80"/>
      <c r="U535" s="80"/>
      <c r="V535" s="80"/>
      <c r="W535" s="80"/>
      <c r="X535" s="80"/>
      <c r="Y535" s="80"/>
      <c r="Z535" s="80"/>
      <c r="AA535" s="80"/>
      <c r="AB535" s="80"/>
      <c r="AC535" s="1457">
        <v>1</v>
      </c>
      <c r="AD535" s="1416"/>
      <c r="AE535" s="1416"/>
      <c r="AF535" s="1416"/>
      <c r="AG535" s="65" t="s">
        <v>438</v>
      </c>
      <c r="AH535" s="1224">
        <v>2023</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589</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497</v>
      </c>
      <c r="C544" s="1459"/>
      <c r="D544" s="1459"/>
      <c r="E544" s="1459"/>
      <c r="F544" s="1459"/>
      <c r="G544" s="1459"/>
      <c r="H544" s="1459"/>
      <c r="I544" s="1459"/>
      <c r="J544" s="1459"/>
      <c r="K544" s="1459"/>
      <c r="L544" s="1459"/>
      <c r="M544" s="1459"/>
      <c r="N544" s="1459"/>
      <c r="O544" s="1460"/>
      <c r="P544" s="1458" t="s">
        <v>346</v>
      </c>
      <c r="Q544" s="1459"/>
      <c r="R544" s="1459"/>
      <c r="S544" s="1459"/>
      <c r="T544" s="1460"/>
      <c r="U544" s="1458" t="s">
        <v>498</v>
      </c>
      <c r="V544" s="1459"/>
      <c r="W544" s="1459"/>
      <c r="X544" s="1459"/>
      <c r="Y544" s="1460"/>
      <c r="Z544" s="1517" t="s">
        <v>1423</v>
      </c>
      <c r="AA544" s="1518"/>
      <c r="AB544" s="1518"/>
      <c r="AC544" s="1518"/>
      <c r="AD544" s="1519"/>
      <c r="AE544" s="1458" t="s">
        <v>499</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6" t="s">
        <v>1776</v>
      </c>
      <c r="D545" s="1102"/>
      <c r="E545" s="1102"/>
      <c r="F545" s="1102"/>
      <c r="G545" s="1102"/>
      <c r="H545" s="1102"/>
      <c r="I545" s="1102"/>
      <c r="J545" s="1102"/>
      <c r="K545" s="1102"/>
      <c r="L545" s="1102"/>
      <c r="M545" s="1102"/>
      <c r="N545" s="1102"/>
      <c r="O545" s="1227"/>
      <c r="P545" s="1223">
        <v>480</v>
      </c>
      <c r="Q545" s="1224"/>
      <c r="R545" s="1224"/>
      <c r="S545" s="1224"/>
      <c r="T545" s="1225"/>
      <c r="U545" s="1425">
        <v>4.4999999999999998E-2</v>
      </c>
      <c r="V545" s="1426"/>
      <c r="W545" s="1426"/>
      <c r="X545" s="1426"/>
      <c r="Y545" s="1427"/>
      <c r="Z545" s="1221" t="s">
        <v>1765</v>
      </c>
      <c r="AA545" s="1221"/>
      <c r="AB545" s="1221"/>
      <c r="AC545" s="1221"/>
      <c r="AD545" s="1222"/>
      <c r="AE545" s="1140">
        <v>44000000</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6" t="s">
        <v>1724</v>
      </c>
      <c r="D546" s="1102"/>
      <c r="E546" s="1102"/>
      <c r="F546" s="1102"/>
      <c r="G546" s="1102"/>
      <c r="H546" s="1102"/>
      <c r="I546" s="1102"/>
      <c r="J546" s="1102"/>
      <c r="K546" s="1102"/>
      <c r="L546" s="1102"/>
      <c r="M546" s="1102"/>
      <c r="N546" s="1102"/>
      <c r="O546" s="1227"/>
      <c r="P546" s="1223">
        <v>660</v>
      </c>
      <c r="Q546" s="1224"/>
      <c r="R546" s="1224"/>
      <c r="S546" s="1224"/>
      <c r="T546" s="1225"/>
      <c r="U546" s="1425">
        <v>0.04</v>
      </c>
      <c r="V546" s="1426"/>
      <c r="W546" s="1426"/>
      <c r="X546" s="1426"/>
      <c r="Y546" s="1427"/>
      <c r="Z546" s="1221" t="s">
        <v>1765</v>
      </c>
      <c r="AA546" s="1221"/>
      <c r="AB546" s="1221"/>
      <c r="AC546" s="1221"/>
      <c r="AD546" s="1222"/>
      <c r="AE546" s="1140">
        <v>5850460</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6" t="s">
        <v>1725</v>
      </c>
      <c r="D547" s="1102"/>
      <c r="E547" s="1102"/>
      <c r="F547" s="1102"/>
      <c r="G547" s="1102"/>
      <c r="H547" s="1102"/>
      <c r="I547" s="1102"/>
      <c r="J547" s="1102"/>
      <c r="K547" s="1102"/>
      <c r="L547" s="1102"/>
      <c r="M547" s="1102"/>
      <c r="N547" s="1102"/>
      <c r="O547" s="1227"/>
      <c r="P547" s="1199" t="s">
        <v>641</v>
      </c>
      <c r="Q547" s="1224"/>
      <c r="R547" s="1224"/>
      <c r="S547" s="1224"/>
      <c r="T547" s="1225"/>
      <c r="U547" s="1425" t="s">
        <v>641</v>
      </c>
      <c r="V547" s="1426"/>
      <c r="W547" s="1426"/>
      <c r="X547" s="1426"/>
      <c r="Y547" s="1427"/>
      <c r="Z547" s="1221" t="s">
        <v>1765</v>
      </c>
      <c r="AA547" s="1221"/>
      <c r="AB547" s="1221"/>
      <c r="AC547" s="1221"/>
      <c r="AD547" s="1222"/>
      <c r="AE547" s="1140">
        <v>351028</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6" t="s">
        <v>1726</v>
      </c>
      <c r="D548" s="1102"/>
      <c r="E548" s="1102"/>
      <c r="F548" s="1102"/>
      <c r="G548" s="1102"/>
      <c r="H548" s="1102"/>
      <c r="I548" s="1102"/>
      <c r="J548" s="1102"/>
      <c r="K548" s="1102"/>
      <c r="L548" s="1102"/>
      <c r="M548" s="1102"/>
      <c r="N548" s="1102"/>
      <c r="O548" s="1227"/>
      <c r="P548" s="1199" t="s">
        <v>641</v>
      </c>
      <c r="Q548" s="1224"/>
      <c r="R548" s="1224"/>
      <c r="S548" s="1224"/>
      <c r="T548" s="1225"/>
      <c r="U548" s="1425" t="s">
        <v>641</v>
      </c>
      <c r="V548" s="1426"/>
      <c r="W548" s="1426"/>
      <c r="X548" s="1426"/>
      <c r="Y548" s="1427"/>
      <c r="Z548" s="1221" t="s">
        <v>1765</v>
      </c>
      <c r="AA548" s="1221"/>
      <c r="AB548" s="1221"/>
      <c r="AC548" s="1221"/>
      <c r="AD548" s="1222"/>
      <c r="AE548" s="1140">
        <v>2010000</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6" t="s">
        <v>1728</v>
      </c>
      <c r="D549" s="1102"/>
      <c r="E549" s="1102"/>
      <c r="F549" s="1102"/>
      <c r="G549" s="1102"/>
      <c r="H549" s="1102"/>
      <c r="I549" s="1102"/>
      <c r="J549" s="1102"/>
      <c r="K549" s="1102"/>
      <c r="L549" s="1102"/>
      <c r="M549" s="1102"/>
      <c r="N549" s="1102"/>
      <c r="O549" s="1227"/>
      <c r="P549" s="1223">
        <v>24</v>
      </c>
      <c r="Q549" s="1224"/>
      <c r="R549" s="1224"/>
      <c r="S549" s="1224"/>
      <c r="T549" s="1225"/>
      <c r="U549" s="1425">
        <v>3.8199999999999998E-2</v>
      </c>
      <c r="V549" s="1426"/>
      <c r="W549" s="1426"/>
      <c r="X549" s="1426"/>
      <c r="Y549" s="1427"/>
      <c r="Z549" s="1221" t="s">
        <v>1765</v>
      </c>
      <c r="AA549" s="1221"/>
      <c r="AB549" s="1221"/>
      <c r="AC549" s="1221"/>
      <c r="AD549" s="1222"/>
      <c r="AE549" s="1140">
        <v>27500000</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6" t="s">
        <v>1727</v>
      </c>
      <c r="D550" s="1102"/>
      <c r="E550" s="1102"/>
      <c r="F550" s="1102"/>
      <c r="G550" s="1102"/>
      <c r="H550" s="1102"/>
      <c r="I550" s="1102"/>
      <c r="J550" s="1102"/>
      <c r="K550" s="1102"/>
      <c r="L550" s="1102"/>
      <c r="M550" s="1102"/>
      <c r="N550" s="1102"/>
      <c r="O550" s="1227"/>
      <c r="P550" s="1223" t="s">
        <v>641</v>
      </c>
      <c r="Q550" s="1224"/>
      <c r="R550" s="1224"/>
      <c r="S550" s="1224"/>
      <c r="T550" s="1225"/>
      <c r="U550" s="1425" t="s">
        <v>641</v>
      </c>
      <c r="V550" s="1426"/>
      <c r="W550" s="1426"/>
      <c r="X550" s="1426"/>
      <c r="Y550" s="1427"/>
      <c r="Z550" s="1221" t="s">
        <v>1424</v>
      </c>
      <c r="AA550" s="1221"/>
      <c r="AB550" s="1221"/>
      <c r="AC550" s="1221"/>
      <c r="AD550" s="1222"/>
      <c r="AE550" s="1140">
        <v>1548155</v>
      </c>
      <c r="AF550" s="1141"/>
      <c r="AG550" s="1141"/>
      <c r="AH550" s="1141"/>
      <c r="AI550" s="1141"/>
      <c r="AJ550" s="1141"/>
      <c r="AK550" s="1142"/>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6" t="s">
        <v>1778</v>
      </c>
      <c r="D551" s="1102"/>
      <c r="E551" s="1102"/>
      <c r="F551" s="1102"/>
      <c r="G551" s="1102"/>
      <c r="H551" s="1102"/>
      <c r="I551" s="1102"/>
      <c r="J551" s="1102"/>
      <c r="K551" s="1102"/>
      <c r="L551" s="1102"/>
      <c r="M551" s="1102"/>
      <c r="N551" s="1102"/>
      <c r="O551" s="1227"/>
      <c r="P551" s="1199" t="s">
        <v>641</v>
      </c>
      <c r="Q551" s="1224"/>
      <c r="R551" s="1224"/>
      <c r="S551" s="1224"/>
      <c r="T551" s="1225"/>
      <c r="U551" s="1425" t="s">
        <v>641</v>
      </c>
      <c r="V551" s="1426"/>
      <c r="W551" s="1426"/>
      <c r="X551" s="1426"/>
      <c r="Y551" s="1427"/>
      <c r="Z551" s="1221" t="s">
        <v>1424</v>
      </c>
      <c r="AA551" s="1221"/>
      <c r="AB551" s="1221"/>
      <c r="AC551" s="1221"/>
      <c r="AD551" s="1222"/>
      <c r="AE551" s="1140">
        <v>543058</v>
      </c>
      <c r="AF551" s="1141"/>
      <c r="AG551" s="1141"/>
      <c r="AH551" s="1141"/>
      <c r="AI551" s="1141"/>
      <c r="AJ551" s="1141"/>
      <c r="AK551" s="1142"/>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26"/>
      <c r="D552" s="1102"/>
      <c r="E552" s="1102"/>
      <c r="F552" s="1102"/>
      <c r="G552" s="1102"/>
      <c r="H552" s="1102"/>
      <c r="I552" s="1102"/>
      <c r="J552" s="1102"/>
      <c r="K552" s="1102"/>
      <c r="L552" s="1102"/>
      <c r="M552" s="1102"/>
      <c r="N552" s="1102"/>
      <c r="O552" s="1227"/>
      <c r="P552" s="1223"/>
      <c r="Q552" s="1224"/>
      <c r="R552" s="1224"/>
      <c r="S552" s="1224"/>
      <c r="T552" s="1225"/>
      <c r="U552" s="1425"/>
      <c r="V552" s="1426"/>
      <c r="W552" s="1426"/>
      <c r="X552" s="1426"/>
      <c r="Y552" s="1427"/>
      <c r="Z552" s="1221" t="s">
        <v>1424</v>
      </c>
      <c r="AA552" s="1221"/>
      <c r="AB552" s="1221"/>
      <c r="AC552" s="1221"/>
      <c r="AD552" s="1222"/>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2"/>
      <c r="D553" s="1102"/>
      <c r="E553" s="1102"/>
      <c r="F553" s="1102"/>
      <c r="G553" s="1102"/>
      <c r="H553" s="1102"/>
      <c r="I553" s="1102"/>
      <c r="J553" s="1102"/>
      <c r="K553" s="1102"/>
      <c r="L553" s="1102"/>
      <c r="M553" s="1102"/>
      <c r="N553" s="1102"/>
      <c r="O553" s="1227"/>
      <c r="P553" s="1223"/>
      <c r="Q553" s="1224"/>
      <c r="R553" s="1224"/>
      <c r="S553" s="1224"/>
      <c r="T553" s="1225"/>
      <c r="U553" s="1425"/>
      <c r="V553" s="1426"/>
      <c r="W553" s="1426"/>
      <c r="X553" s="1426"/>
      <c r="Y553" s="1427"/>
      <c r="Z553" s="1221" t="s">
        <v>1424</v>
      </c>
      <c r="AA553" s="1221"/>
      <c r="AB553" s="1221"/>
      <c r="AC553" s="1221"/>
      <c r="AD553" s="1222"/>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2"/>
      <c r="D554" s="1102"/>
      <c r="E554" s="1102"/>
      <c r="F554" s="1102"/>
      <c r="G554" s="1102"/>
      <c r="H554" s="1102"/>
      <c r="I554" s="1102"/>
      <c r="J554" s="1102"/>
      <c r="K554" s="1102"/>
      <c r="L554" s="1102"/>
      <c r="M554" s="1102"/>
      <c r="N554" s="1102"/>
      <c r="O554" s="1227"/>
      <c r="P554" s="1223"/>
      <c r="Q554" s="1224"/>
      <c r="R554" s="1224"/>
      <c r="S554" s="1224"/>
      <c r="T554" s="1225"/>
      <c r="U554" s="1425"/>
      <c r="V554" s="1426"/>
      <c r="W554" s="1426"/>
      <c r="X554" s="1426"/>
      <c r="Y554" s="1427"/>
      <c r="Z554" s="1221" t="s">
        <v>1424</v>
      </c>
      <c r="AA554" s="1221"/>
      <c r="AB554" s="1221"/>
      <c r="AC554" s="1221"/>
      <c r="AD554" s="1222"/>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7"/>
      <c r="P555" s="1223"/>
      <c r="Q555" s="1224"/>
      <c r="R555" s="1224"/>
      <c r="S555" s="1224"/>
      <c r="T555" s="1225"/>
      <c r="U555" s="1425"/>
      <c r="V555" s="1426"/>
      <c r="W555" s="1426"/>
      <c r="X555" s="1426"/>
      <c r="Y555" s="1427"/>
      <c r="Z555" s="1221" t="s">
        <v>1424</v>
      </c>
      <c r="AA555" s="1221"/>
      <c r="AB555" s="1221"/>
      <c r="AC555" s="1221"/>
      <c r="AD555" s="1222"/>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7"/>
      <c r="P556" s="1223"/>
      <c r="Q556" s="1224"/>
      <c r="R556" s="1224"/>
      <c r="S556" s="1224"/>
      <c r="T556" s="1225"/>
      <c r="U556" s="1425"/>
      <c r="V556" s="1426"/>
      <c r="W556" s="1426"/>
      <c r="X556" s="1426"/>
      <c r="Y556" s="1427"/>
      <c r="Z556" s="1221" t="s">
        <v>1424</v>
      </c>
      <c r="AA556" s="1221"/>
      <c r="AB556" s="1221"/>
      <c r="AC556" s="1221"/>
      <c r="AD556" s="1222"/>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8">
        <f>SUM(AE545:AK556)</f>
        <v>81802701</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f>N664</f>
        <v>0</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9" t="str">
        <f>C545</f>
        <v>Wells Fargo- Construction Loan</v>
      </c>
      <c r="H559" s="1099"/>
      <c r="I559" s="1099"/>
      <c r="J559" s="1099"/>
      <c r="K559" s="1099"/>
      <c r="L559" s="1099"/>
      <c r="M559" s="1099"/>
      <c r="N559" s="1099"/>
      <c r="O559" s="1099"/>
      <c r="P559" s="1099"/>
      <c r="Q559" s="1099"/>
      <c r="R559" s="1099"/>
      <c r="S559" s="14"/>
      <c r="T559" s="87" t="s">
        <v>120</v>
      </c>
      <c r="U559" s="12" t="s">
        <v>509</v>
      </c>
      <c r="Z559" s="1099" t="str">
        <f>C546</f>
        <v>HCID - HOME</v>
      </c>
      <c r="AA559" s="1099"/>
      <c r="AB559" s="1099"/>
      <c r="AC559" s="1099"/>
      <c r="AD559" s="1099"/>
      <c r="AE559" s="1099"/>
      <c r="AF559" s="1099"/>
      <c r="AG559" s="1099"/>
      <c r="AH559" s="1099"/>
      <c r="AI559" s="1099"/>
      <c r="AJ559" s="1099"/>
      <c r="AK559" s="1099"/>
      <c r="AM559" s="58" t="s">
        <v>501</v>
      </c>
      <c r="AN559" s="58">
        <f>AG664</f>
        <v>0</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1729</v>
      </c>
      <c r="H560" s="1097"/>
      <c r="I560" s="1097"/>
      <c r="J560" s="1097"/>
      <c r="K560" s="1097"/>
      <c r="L560" s="1097"/>
      <c r="M560" s="1097"/>
      <c r="N560" s="1097"/>
      <c r="O560" s="1097"/>
      <c r="P560" s="1097"/>
      <c r="Q560" s="1097"/>
      <c r="R560" s="1097"/>
      <c r="S560" s="14"/>
      <c r="T560" s="35"/>
      <c r="U560" s="12" t="s">
        <v>92</v>
      </c>
      <c r="Z560" s="1097" t="s">
        <v>1733</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540</v>
      </c>
      <c r="H561" s="1097"/>
      <c r="I561" s="1097"/>
      <c r="J561" s="1097"/>
      <c r="K561" s="1097"/>
      <c r="L561" s="1097"/>
      <c r="M561" s="1097"/>
      <c r="N561" s="1097"/>
      <c r="O561" s="1097"/>
      <c r="P561" s="1097"/>
      <c r="Q561" s="1097"/>
      <c r="R561" s="1097"/>
      <c r="S561" s="88"/>
      <c r="T561" s="35"/>
      <c r="U561" s="12" t="s">
        <v>630</v>
      </c>
      <c r="Z561" s="1119" t="s">
        <v>540</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1730</v>
      </c>
      <c r="H562" s="1097"/>
      <c r="I562" s="1097"/>
      <c r="J562" s="1097"/>
      <c r="K562" s="1097"/>
      <c r="L562" s="1097"/>
      <c r="M562" s="1097"/>
      <c r="N562" s="1097"/>
      <c r="O562" s="1097"/>
      <c r="P562" s="1097"/>
      <c r="Q562" s="1097"/>
      <c r="R562" s="1097"/>
      <c r="S562" s="14"/>
      <c r="T562" s="35"/>
      <c r="U562" s="12" t="s">
        <v>19</v>
      </c>
      <c r="Z562" s="1119" t="s">
        <v>1734</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1731</v>
      </c>
      <c r="H563" s="1101"/>
      <c r="I563" s="1101"/>
      <c r="J563" s="1101"/>
      <c r="K563" s="1101"/>
      <c r="L563" s="1101"/>
      <c r="O563" s="140" t="s">
        <v>220</v>
      </c>
      <c r="P563" s="1102"/>
      <c r="Q563" s="1102"/>
      <c r="R563" s="1102"/>
      <c r="S563" s="16"/>
      <c r="T563" s="35"/>
      <c r="U563" s="12" t="s">
        <v>338</v>
      </c>
      <c r="Z563" s="1100" t="s">
        <v>1735</v>
      </c>
      <c r="AA563" s="1101"/>
      <c r="AB563" s="1101"/>
      <c r="AC563" s="1101"/>
      <c r="AD563" s="1101"/>
      <c r="AE563" s="110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1723</v>
      </c>
      <c r="I564" s="1097"/>
      <c r="J564" s="1097"/>
      <c r="K564" s="1097"/>
      <c r="L564" s="1097"/>
      <c r="M564" s="1097"/>
      <c r="N564" s="1097"/>
      <c r="O564" s="1097"/>
      <c r="P564" s="1097"/>
      <c r="Q564" s="1097"/>
      <c r="R564" s="1097"/>
      <c r="S564" s="14"/>
      <c r="T564" s="35"/>
      <c r="U564" s="12" t="s">
        <v>20</v>
      </c>
      <c r="AA564" s="1097" t="s">
        <v>1736</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2" t="s">
        <v>1732</v>
      </c>
      <c r="N565" s="1522"/>
      <c r="O565" s="1522"/>
      <c r="P565" s="1522"/>
      <c r="Q565" s="1522"/>
      <c r="R565" s="1522"/>
      <c r="S565" s="14"/>
      <c r="T565" s="35"/>
      <c r="U565" s="530" t="s">
        <v>1425</v>
      </c>
      <c r="V565" s="743"/>
      <c r="W565" s="743"/>
      <c r="X565" s="743"/>
      <c r="Y565" s="743"/>
      <c r="Z565" s="743"/>
      <c r="AA565" s="14"/>
      <c r="AB565" s="14"/>
      <c r="AC565" s="14"/>
      <c r="AD565" s="14"/>
      <c r="AE565" s="14"/>
      <c r="AF565" s="1522"/>
      <c r="AG565" s="1522"/>
      <c r="AH565" s="1522"/>
      <c r="AI565" s="1522"/>
      <c r="AJ565" s="1522"/>
      <c r="AK565" s="15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591</v>
      </c>
      <c r="O566" s="1098"/>
      <c r="T566" s="35"/>
      <c r="U566" s="12" t="s">
        <v>22</v>
      </c>
      <c r="AG566" s="1098" t="s">
        <v>591</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9" t="str">
        <f>C547</f>
        <v>Deferred Interest on Soft Loans</v>
      </c>
      <c r="H568" s="1099"/>
      <c r="I568" s="1099"/>
      <c r="J568" s="1099"/>
      <c r="K568" s="1099"/>
      <c r="L568" s="1099"/>
      <c r="M568" s="1099"/>
      <c r="N568" s="1099"/>
      <c r="O568" s="1099"/>
      <c r="P568" s="1099"/>
      <c r="Q568" s="1099"/>
      <c r="R568" s="1099"/>
      <c r="T568" s="87" t="s">
        <v>631</v>
      </c>
      <c r="U568" s="12" t="s">
        <v>509</v>
      </c>
      <c r="Z568" s="1099" t="str">
        <f>C548</f>
        <v>Deferred Developer Fee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1733</v>
      </c>
      <c r="H569" s="1097"/>
      <c r="I569" s="1097"/>
      <c r="J569" s="1097"/>
      <c r="K569" s="1097"/>
      <c r="L569" s="1097"/>
      <c r="M569" s="1097"/>
      <c r="N569" s="1097"/>
      <c r="O569" s="1097"/>
      <c r="P569" s="1097"/>
      <c r="Q569" s="1097"/>
      <c r="R569" s="1097"/>
      <c r="T569" s="35"/>
      <c r="U569" s="12" t="s">
        <v>92</v>
      </c>
      <c r="Z569" s="1097" t="s">
        <v>1737</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9" t="s">
        <v>540</v>
      </c>
      <c r="H570" s="1119"/>
      <c r="I570" s="1119"/>
      <c r="J570" s="1119"/>
      <c r="K570" s="1119"/>
      <c r="L570" s="1119"/>
      <c r="M570" s="1119"/>
      <c r="N570" s="1119"/>
      <c r="O570" s="1119"/>
      <c r="P570" s="1119"/>
      <c r="Q570" s="1119"/>
      <c r="R570" s="1119"/>
      <c r="T570" s="35"/>
      <c r="U570" s="12" t="s">
        <v>630</v>
      </c>
      <c r="Z570" s="1119" t="s">
        <v>1738</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1734</v>
      </c>
      <c r="H571" s="1119"/>
      <c r="I571" s="1119"/>
      <c r="J571" s="1119"/>
      <c r="K571" s="1119"/>
      <c r="L571" s="1119"/>
      <c r="M571" s="1119"/>
      <c r="N571" s="1119"/>
      <c r="O571" s="1119"/>
      <c r="P571" s="1119"/>
      <c r="Q571" s="1119"/>
      <c r="R571" s="1119"/>
      <c r="T571" s="35"/>
      <c r="U571" s="12" t="s">
        <v>19</v>
      </c>
      <c r="Z571" s="1119" t="s">
        <v>1739</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v>2138088596</v>
      </c>
      <c r="H572" s="1101"/>
      <c r="I572" s="1101"/>
      <c r="J572" s="1101"/>
      <c r="K572" s="1101"/>
      <c r="L572" s="1101"/>
      <c r="O572" s="140" t="s">
        <v>220</v>
      </c>
      <c r="P572" s="1102"/>
      <c r="Q572" s="1102"/>
      <c r="R572" s="1102"/>
      <c r="T572" s="35"/>
      <c r="U572" s="12" t="s">
        <v>338</v>
      </c>
      <c r="Z572" s="1100" t="s">
        <v>1740</v>
      </c>
      <c r="AA572" s="1101"/>
      <c r="AB572" s="1101"/>
      <c r="AC572" s="1101"/>
      <c r="AD572" s="1101"/>
      <c r="AE572" s="1101"/>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1783</v>
      </c>
      <c r="I573" s="1097"/>
      <c r="J573" s="1097"/>
      <c r="K573" s="1097"/>
      <c r="L573" s="1097"/>
      <c r="M573" s="1097"/>
      <c r="N573" s="1097"/>
      <c r="O573" s="1097"/>
      <c r="P573" s="1097"/>
      <c r="Q573" s="1097"/>
      <c r="R573" s="1097"/>
      <c r="T573" s="35"/>
      <c r="U573" s="12" t="s">
        <v>20</v>
      </c>
      <c r="AA573" s="1097" t="s">
        <v>1736</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591</v>
      </c>
      <c r="O574" s="1098"/>
      <c r="T574" s="35"/>
      <c r="U574" s="12" t="s">
        <v>22</v>
      </c>
      <c r="AG574" s="1098" t="s">
        <v>591</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9" t="str">
        <f>C549</f>
        <v>Equity Bridge Loan</v>
      </c>
      <c r="H576" s="1099"/>
      <c r="I576" s="1099"/>
      <c r="J576" s="1099"/>
      <c r="K576" s="1099"/>
      <c r="L576" s="1099"/>
      <c r="M576" s="1099"/>
      <c r="N576" s="1099"/>
      <c r="O576" s="1099"/>
      <c r="P576" s="1099"/>
      <c r="Q576" s="1099"/>
      <c r="R576" s="1099"/>
      <c r="T576" s="87" t="s">
        <v>634</v>
      </c>
      <c r="U576" s="12" t="s">
        <v>509</v>
      </c>
      <c r="Z576" s="1099" t="str">
        <f>C550</f>
        <v>LP Equity</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1729</v>
      </c>
      <c r="H577" s="1097"/>
      <c r="I577" s="1097"/>
      <c r="J577" s="1097"/>
      <c r="K577" s="1097"/>
      <c r="L577" s="1097"/>
      <c r="M577" s="1097"/>
      <c r="N577" s="1097"/>
      <c r="O577" s="1097"/>
      <c r="P577" s="1097"/>
      <c r="Q577" s="1097"/>
      <c r="R577" s="1097"/>
      <c r="T577" s="35"/>
      <c r="U577" s="12" t="s">
        <v>92</v>
      </c>
      <c r="Z577" s="1097" t="s">
        <v>1729</v>
      </c>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7" t="s">
        <v>540</v>
      </c>
      <c r="H578" s="1097"/>
      <c r="I578" s="1097"/>
      <c r="J578" s="1097"/>
      <c r="K578" s="1097"/>
      <c r="L578" s="1097"/>
      <c r="M578" s="1097"/>
      <c r="N578" s="1097"/>
      <c r="O578" s="1097"/>
      <c r="P578" s="1097"/>
      <c r="Q578" s="1097"/>
      <c r="R578" s="1097"/>
      <c r="T578" s="35"/>
      <c r="U578" s="12" t="s">
        <v>630</v>
      </c>
      <c r="Z578" s="1119" t="s">
        <v>540</v>
      </c>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t="s">
        <v>1730</v>
      </c>
      <c r="H579" s="1097"/>
      <c r="I579" s="1097"/>
      <c r="J579" s="1097"/>
      <c r="K579" s="1097"/>
      <c r="L579" s="1097"/>
      <c r="M579" s="1097"/>
      <c r="N579" s="1097"/>
      <c r="O579" s="1097"/>
      <c r="P579" s="1097"/>
      <c r="Q579" s="1097"/>
      <c r="R579" s="1097"/>
      <c r="T579" s="35"/>
      <c r="U579" s="12" t="s">
        <v>19</v>
      </c>
      <c r="Z579" s="1119" t="s">
        <v>1730</v>
      </c>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1731</v>
      </c>
      <c r="H580" s="1101"/>
      <c r="I580" s="1101"/>
      <c r="J580" s="1101"/>
      <c r="K580" s="1101"/>
      <c r="L580" s="1101"/>
      <c r="O580" s="140" t="s">
        <v>220</v>
      </c>
      <c r="P580" s="1102"/>
      <c r="Q580" s="1102"/>
      <c r="R580" s="1102"/>
      <c r="T580" s="35"/>
      <c r="U580" s="12" t="s">
        <v>338</v>
      </c>
      <c r="Z580" s="1101" t="s">
        <v>1731</v>
      </c>
      <c r="AA580" s="1101"/>
      <c r="AB580" s="1101"/>
      <c r="AC580" s="1101"/>
      <c r="AD580" s="1101"/>
      <c r="AE580" s="1101"/>
      <c r="AH580" s="140" t="s">
        <v>220</v>
      </c>
      <c r="AI580" s="1102"/>
      <c r="AJ580" s="1102"/>
      <c r="AK580" s="1102"/>
    </row>
    <row r="581" spans="1:112" ht="12.75">
      <c r="A581" s="35"/>
      <c r="B581" s="12" t="s">
        <v>20</v>
      </c>
      <c r="H581" s="1095" t="s">
        <v>1782</v>
      </c>
      <c r="I581" s="1097"/>
      <c r="J581" s="1097"/>
      <c r="K581" s="1097"/>
      <c r="L581" s="1097"/>
      <c r="M581" s="1097"/>
      <c r="N581" s="1097"/>
      <c r="O581" s="1097"/>
      <c r="P581" s="1097"/>
      <c r="Q581" s="1097"/>
      <c r="R581" s="1097"/>
      <c r="T581" s="35"/>
      <c r="U581" s="12" t="s">
        <v>20</v>
      </c>
      <c r="AA581" s="1095" t="s">
        <v>1780</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591</v>
      </c>
      <c r="O582" s="1098"/>
      <c r="T582" s="35"/>
      <c r="U582" s="12" t="s">
        <v>22</v>
      </c>
      <c r="AG582" s="1098" t="s">
        <v>591</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9" t="str">
        <f>C551</f>
        <v>Deferred Reserves</v>
      </c>
      <c r="H584" s="1099"/>
      <c r="I584" s="1099"/>
      <c r="J584" s="1099"/>
      <c r="K584" s="1099"/>
      <c r="L584" s="1099"/>
      <c r="M584" s="1099"/>
      <c r="N584" s="1099"/>
      <c r="O584" s="1099"/>
      <c r="P584" s="1099"/>
      <c r="Q584" s="1099"/>
      <c r="R584" s="1099"/>
      <c r="T584" s="87" t="s">
        <v>501</v>
      </c>
      <c r="U584" s="12" t="s">
        <v>509</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t="s">
        <v>1654</v>
      </c>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t="s">
        <v>540</v>
      </c>
      <c r="H586" s="1097"/>
      <c r="I586" s="1097"/>
      <c r="J586" s="1097"/>
      <c r="K586" s="1097"/>
      <c r="L586" s="1097"/>
      <c r="M586" s="1097"/>
      <c r="N586" s="1097"/>
      <c r="O586" s="1097"/>
      <c r="P586" s="1097"/>
      <c r="Q586" s="1097"/>
      <c r="R586" s="1097"/>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t="s">
        <v>1656</v>
      </c>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v>3108204888</v>
      </c>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520</v>
      </c>
      <c r="AS588" s="194"/>
      <c r="AT588" s="1132"/>
      <c r="AU588" s="1134"/>
      <c r="AV588" s="193" t="s">
        <v>521</v>
      </c>
      <c r="AW588" s="194"/>
      <c r="AX588" s="1132"/>
      <c r="AY588" s="1134"/>
      <c r="AZ588" s="58"/>
      <c r="BA588" s="1216" t="s">
        <v>683</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506</v>
      </c>
      <c r="BV588" s="1202"/>
      <c r="BW588" s="1202"/>
      <c r="BX588" s="1202"/>
      <c r="BY588" s="1202"/>
      <c r="BZ588" s="1202" t="s">
        <v>33</v>
      </c>
      <c r="CA588" s="1202"/>
      <c r="CB588" s="1202"/>
      <c r="CC588" s="1202"/>
      <c r="CD588" s="1202"/>
      <c r="CE588" s="1202" t="s">
        <v>683</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506</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5" t="s">
        <v>1781</v>
      </c>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20">
        <f t="shared" ref="AR589:AR613" si="0">IF(AND(AD709&lt;=0.5,AD709&gt;=0.36),1,0)</f>
        <v>0</v>
      </c>
      <c r="AS589" s="1521"/>
      <c r="AT589" s="1132">
        <f t="shared" ref="AT589:AT613" si="1">IF(AR589=1,G709,0)</f>
        <v>0</v>
      </c>
      <c r="AU589" s="1134"/>
      <c r="AV589" s="1520">
        <f t="shared" ref="AV589:AV613" si="2">IF(AND(AD709&lt;=0.35,AD709&gt;0),1,0)</f>
        <v>1</v>
      </c>
      <c r="AW589" s="1521"/>
      <c r="AX589" s="1132">
        <f t="shared" ref="AX589:AX613" si="3">IF(AV589=1,G709,0)</f>
        <v>1</v>
      </c>
      <c r="AY589" s="1134"/>
      <c r="AZ589" s="58"/>
      <c r="BA589" s="1132">
        <f t="shared" ref="BA589:BA613" si="4">IF(B709="SRO/Studio",G709,0)</f>
        <v>1</v>
      </c>
      <c r="BB589" s="1133"/>
      <c r="BC589" s="1133"/>
      <c r="BD589" s="1133"/>
      <c r="BE589" s="1134"/>
      <c r="BF589" s="1198">
        <f t="shared" ref="BF589:BF613" si="5">IF(B709="1 Bedroom",G709,0)</f>
        <v>0</v>
      </c>
      <c r="BG589" s="1198"/>
      <c r="BH589" s="1198"/>
      <c r="BI589" s="1198"/>
      <c r="BJ589" s="1198"/>
      <c r="BK589" s="1198">
        <f t="shared" ref="BK589:BK613" si="6">IF(B709="2 Bedrooms",G709,0)</f>
        <v>0</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7">
        <f t="shared" ref="CE589:CE613" si="10">IF(AND(B709="SRO/Studio",AD709&lt;=0.3),G709,0)</f>
        <v>1</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8" t="s">
        <v>591</v>
      </c>
      <c r="O590" s="1098"/>
      <c r="P590" s="12"/>
      <c r="Q590" s="12"/>
      <c r="R590" s="12"/>
      <c r="S590" s="12"/>
      <c r="T590" s="35"/>
      <c r="U590" s="12" t="s">
        <v>22</v>
      </c>
      <c r="V590" s="12"/>
      <c r="W590" s="12"/>
      <c r="X590" s="12"/>
      <c r="Y590" s="12"/>
      <c r="Z590" s="12"/>
      <c r="AA590" s="12"/>
      <c r="AB590" s="12"/>
      <c r="AC590" s="12"/>
      <c r="AD590" s="12"/>
      <c r="AE590" s="12"/>
      <c r="AF590" s="12"/>
      <c r="AG590" s="1098" t="s">
        <v>591</v>
      </c>
      <c r="AH590" s="1098"/>
      <c r="AI590" s="12"/>
      <c r="AJ590" s="12"/>
      <c r="AK590" s="12"/>
      <c r="AL590" s="12"/>
      <c r="AM590" s="7" t="s">
        <v>170</v>
      </c>
      <c r="AN590" s="58"/>
      <c r="AO590" s="58"/>
      <c r="AP590" s="58"/>
      <c r="AQ590" s="58"/>
      <c r="AR590" s="1520">
        <f t="shared" si="0"/>
        <v>1</v>
      </c>
      <c r="AS590" s="1521"/>
      <c r="AT590" s="1132">
        <f t="shared" si="1"/>
        <v>3</v>
      </c>
      <c r="AU590" s="1134"/>
      <c r="AV590" s="1520">
        <f t="shared" si="2"/>
        <v>0</v>
      </c>
      <c r="AW590" s="1521"/>
      <c r="AX590" s="1132">
        <f t="shared" si="3"/>
        <v>0</v>
      </c>
      <c r="AY590" s="1134"/>
      <c r="AZ590" s="58"/>
      <c r="BA590" s="1132">
        <f t="shared" si="4"/>
        <v>3</v>
      </c>
      <c r="BB590" s="1133"/>
      <c r="BC590" s="1133"/>
      <c r="BD590" s="1133"/>
      <c r="BE590" s="1134"/>
      <c r="BF590" s="1198">
        <f t="shared" si="5"/>
        <v>0</v>
      </c>
      <c r="BG590" s="1198"/>
      <c r="BH590" s="1198"/>
      <c r="BI590" s="1198"/>
      <c r="BJ590" s="1198"/>
      <c r="BK590" s="1198">
        <f t="shared" si="6"/>
        <v>0</v>
      </c>
      <c r="BL590" s="1198"/>
      <c r="BM590" s="1198"/>
      <c r="BN590" s="1198"/>
      <c r="BO590" s="1198"/>
      <c r="BP590" s="1198">
        <f t="shared" si="7"/>
        <v>0</v>
      </c>
      <c r="BQ590" s="1198"/>
      <c r="BR590" s="1198"/>
      <c r="BS590" s="1198"/>
      <c r="BT590" s="1198"/>
      <c r="BU590" s="1198">
        <f t="shared" si="8"/>
        <v>0</v>
      </c>
      <c r="BV590" s="1198"/>
      <c r="BW590" s="1198"/>
      <c r="BX590" s="1198"/>
      <c r="BY590" s="1198"/>
      <c r="BZ590" s="1198">
        <f t="shared" si="9"/>
        <v>0</v>
      </c>
      <c r="CA590" s="1198"/>
      <c r="CB590" s="1198"/>
      <c r="CC590" s="1198"/>
      <c r="CD590" s="1198"/>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20">
        <f t="shared" si="0"/>
        <v>1</v>
      </c>
      <c r="AS591" s="1521"/>
      <c r="AT591" s="1132">
        <f t="shared" si="1"/>
        <v>4</v>
      </c>
      <c r="AU591" s="1134"/>
      <c r="AV591" s="1520">
        <f t="shared" si="2"/>
        <v>0</v>
      </c>
      <c r="AW591" s="1521"/>
      <c r="AX591" s="1132">
        <f t="shared" si="3"/>
        <v>0</v>
      </c>
      <c r="AY591" s="1134"/>
      <c r="AZ591" s="58"/>
      <c r="BA591" s="1132">
        <f t="shared" si="4"/>
        <v>4</v>
      </c>
      <c r="BB591" s="1133"/>
      <c r="BC591" s="1133"/>
      <c r="BD591" s="1133"/>
      <c r="BE591" s="1134"/>
      <c r="BF591" s="1198">
        <f t="shared" si="5"/>
        <v>0</v>
      </c>
      <c r="BG591" s="1198"/>
      <c r="BH591" s="1198"/>
      <c r="BI591" s="1198"/>
      <c r="BJ591" s="1198"/>
      <c r="BK591" s="1198">
        <f t="shared" si="6"/>
        <v>0</v>
      </c>
      <c r="BL591" s="1198"/>
      <c r="BM591" s="1198"/>
      <c r="BN591" s="1198"/>
      <c r="BO591" s="1198"/>
      <c r="BP591" s="1198">
        <f t="shared" si="7"/>
        <v>0</v>
      </c>
      <c r="BQ591" s="1198"/>
      <c r="BR591" s="1198"/>
      <c r="BS591" s="1198"/>
      <c r="BT591" s="1198"/>
      <c r="BU591" s="1198">
        <f t="shared" si="8"/>
        <v>0</v>
      </c>
      <c r="BV591" s="1198"/>
      <c r="BW591" s="1198"/>
      <c r="BX591" s="1198"/>
      <c r="BY591" s="1198"/>
      <c r="BZ591" s="1198">
        <f t="shared" si="9"/>
        <v>0</v>
      </c>
      <c r="CA591" s="1198"/>
      <c r="CB591" s="1198"/>
      <c r="CC591" s="1198"/>
      <c r="CD591" s="1198"/>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507</v>
      </c>
      <c r="B592" s="12" t="s">
        <v>509</v>
      </c>
      <c r="G592" s="1099">
        <f>C553</f>
        <v>0</v>
      </c>
      <c r="H592" s="1099"/>
      <c r="I592" s="1099"/>
      <c r="J592" s="1099"/>
      <c r="K592" s="1099"/>
      <c r="L592" s="1099"/>
      <c r="M592" s="1099"/>
      <c r="N592" s="1099"/>
      <c r="O592" s="1099"/>
      <c r="P592" s="1099"/>
      <c r="Q592" s="1099"/>
      <c r="R592" s="1099"/>
      <c r="T592" s="87" t="s">
        <v>696</v>
      </c>
      <c r="U592" s="12" t="s">
        <v>509</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20">
        <f t="shared" si="0"/>
        <v>0</v>
      </c>
      <c r="AS592" s="1521"/>
      <c r="AT592" s="1132">
        <f t="shared" si="1"/>
        <v>0</v>
      </c>
      <c r="AU592" s="1134"/>
      <c r="AV592" s="1520">
        <f t="shared" si="2"/>
        <v>0</v>
      </c>
      <c r="AW592" s="1521"/>
      <c r="AX592" s="1132">
        <f t="shared" si="3"/>
        <v>0</v>
      </c>
      <c r="AY592" s="1134"/>
      <c r="AZ592" s="58"/>
      <c r="BA592" s="1132">
        <f t="shared" si="4"/>
        <v>7</v>
      </c>
      <c r="BB592" s="1133"/>
      <c r="BC592" s="1133"/>
      <c r="BD592" s="1133"/>
      <c r="BE592" s="1134"/>
      <c r="BF592" s="1198">
        <f t="shared" si="5"/>
        <v>0</v>
      </c>
      <c r="BG592" s="1198"/>
      <c r="BH592" s="1198"/>
      <c r="BI592" s="1198"/>
      <c r="BJ592" s="1198"/>
      <c r="BK592" s="1198">
        <f t="shared" si="6"/>
        <v>0</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20">
        <f t="shared" si="0"/>
        <v>0</v>
      </c>
      <c r="AS593" s="1521"/>
      <c r="AT593" s="1132">
        <f t="shared" si="1"/>
        <v>0</v>
      </c>
      <c r="AU593" s="1134"/>
      <c r="AV593" s="1520">
        <f t="shared" si="2"/>
        <v>1</v>
      </c>
      <c r="AW593" s="1521"/>
      <c r="AX593" s="1132">
        <f t="shared" si="3"/>
        <v>3</v>
      </c>
      <c r="AY593" s="1134"/>
      <c r="AZ593" s="58"/>
      <c r="BA593" s="1132">
        <f t="shared" si="4"/>
        <v>0</v>
      </c>
      <c r="BB593" s="1133"/>
      <c r="BC593" s="1133"/>
      <c r="BD593" s="1133"/>
      <c r="BE593" s="1134"/>
      <c r="BF593" s="1198">
        <f t="shared" si="5"/>
        <v>3</v>
      </c>
      <c r="BG593" s="1198"/>
      <c r="BH593" s="1198"/>
      <c r="BI593" s="1198"/>
      <c r="BJ593" s="1198"/>
      <c r="BK593" s="1198">
        <f t="shared" si="6"/>
        <v>0</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7">
        <f t="shared" si="10"/>
        <v>0</v>
      </c>
      <c r="CF593" s="1207"/>
      <c r="CG593" s="1207"/>
      <c r="CH593" s="1207"/>
      <c r="CI593" s="1207"/>
      <c r="CJ593" s="1207">
        <f t="shared" si="11"/>
        <v>3</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630</v>
      </c>
      <c r="G594" s="1097"/>
      <c r="H594" s="1097"/>
      <c r="I594" s="1097"/>
      <c r="J594" s="1097"/>
      <c r="K594" s="1097"/>
      <c r="L594" s="1097"/>
      <c r="M594" s="1097"/>
      <c r="N594" s="1097"/>
      <c r="O594" s="1097"/>
      <c r="P594" s="1097"/>
      <c r="Q594" s="1097"/>
      <c r="R594" s="1097"/>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20">
        <f t="shared" si="0"/>
        <v>1</v>
      </c>
      <c r="AS594" s="1521"/>
      <c r="AT594" s="1132">
        <f t="shared" si="1"/>
        <v>13</v>
      </c>
      <c r="AU594" s="1134"/>
      <c r="AV594" s="1520">
        <f t="shared" si="2"/>
        <v>0</v>
      </c>
      <c r="AW594" s="1521"/>
      <c r="AX594" s="1132">
        <f t="shared" si="3"/>
        <v>0</v>
      </c>
      <c r="AY594" s="1134"/>
      <c r="AZ594" s="58"/>
      <c r="BA594" s="1132">
        <f t="shared" si="4"/>
        <v>0</v>
      </c>
      <c r="BB594" s="1133"/>
      <c r="BC594" s="1133"/>
      <c r="BD594" s="1133"/>
      <c r="BE594" s="1134"/>
      <c r="BF594" s="1198">
        <f t="shared" si="5"/>
        <v>13</v>
      </c>
      <c r="BG594" s="1198"/>
      <c r="BH594" s="1198"/>
      <c r="BI594" s="1198"/>
      <c r="BJ594" s="1198"/>
      <c r="BK594" s="1198">
        <f t="shared" si="6"/>
        <v>0</v>
      </c>
      <c r="BL594" s="1198"/>
      <c r="BM594" s="1198"/>
      <c r="BN594" s="1198"/>
      <c r="BO594" s="1198"/>
      <c r="BP594" s="1198">
        <f t="shared" si="7"/>
        <v>0</v>
      </c>
      <c r="BQ594" s="1198"/>
      <c r="BR594" s="1198"/>
      <c r="BS594" s="1198"/>
      <c r="BT594" s="1198"/>
      <c r="BU594" s="1198">
        <f t="shared" si="8"/>
        <v>0</v>
      </c>
      <c r="BV594" s="1198"/>
      <c r="BW594" s="1198"/>
      <c r="BX594" s="1198"/>
      <c r="BY594" s="1198"/>
      <c r="BZ594" s="1198">
        <f t="shared" si="9"/>
        <v>0</v>
      </c>
      <c r="CA594" s="1198"/>
      <c r="CB594" s="1198"/>
      <c r="CC594" s="1198"/>
      <c r="CD594" s="1198"/>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0">
        <f t="shared" si="0"/>
        <v>1</v>
      </c>
      <c r="AS595" s="1521"/>
      <c r="AT595" s="1132">
        <f t="shared" si="1"/>
        <v>13</v>
      </c>
      <c r="AU595" s="1134"/>
      <c r="AV595" s="1520">
        <f t="shared" si="2"/>
        <v>0</v>
      </c>
      <c r="AW595" s="1521"/>
      <c r="AX595" s="1132">
        <f t="shared" si="3"/>
        <v>0</v>
      </c>
      <c r="AY595" s="1134"/>
      <c r="AZ595" s="58"/>
      <c r="BA595" s="1132">
        <f t="shared" si="4"/>
        <v>0</v>
      </c>
      <c r="BB595" s="1133"/>
      <c r="BC595" s="1133"/>
      <c r="BD595" s="1133"/>
      <c r="BE595" s="1134"/>
      <c r="BF595" s="1198">
        <f t="shared" si="5"/>
        <v>13</v>
      </c>
      <c r="BG595" s="1198"/>
      <c r="BH595" s="1198"/>
      <c r="BI595" s="1198"/>
      <c r="BJ595" s="1198"/>
      <c r="BK595" s="1198">
        <f t="shared" si="6"/>
        <v>0</v>
      </c>
      <c r="BL595" s="1198"/>
      <c r="BM595" s="1198"/>
      <c r="BN595" s="1198"/>
      <c r="BO595" s="1198"/>
      <c r="BP595" s="1198">
        <f t="shared" si="7"/>
        <v>0</v>
      </c>
      <c r="BQ595" s="1198"/>
      <c r="BR595" s="1198"/>
      <c r="BS595" s="1198"/>
      <c r="BT595" s="1198"/>
      <c r="BU595" s="1198">
        <f t="shared" si="8"/>
        <v>0</v>
      </c>
      <c r="BV595" s="1198"/>
      <c r="BW595" s="1198"/>
      <c r="BX595" s="1198"/>
      <c r="BY595" s="1198"/>
      <c r="BZ595" s="1198">
        <f t="shared" si="9"/>
        <v>0</v>
      </c>
      <c r="CA595" s="1198"/>
      <c r="CB595" s="1198"/>
      <c r="CC595" s="1198"/>
      <c r="CD595" s="1198"/>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20">
        <f t="shared" si="0"/>
        <v>0</v>
      </c>
      <c r="AS596" s="1521"/>
      <c r="AT596" s="1132">
        <f t="shared" si="1"/>
        <v>0</v>
      </c>
      <c r="AU596" s="1134"/>
      <c r="AV596" s="1520">
        <f t="shared" si="2"/>
        <v>0</v>
      </c>
      <c r="AW596" s="1521"/>
      <c r="AX596" s="1132">
        <f t="shared" si="3"/>
        <v>0</v>
      </c>
      <c r="AY596" s="1134"/>
      <c r="AZ596" s="58"/>
      <c r="BA596" s="1132">
        <f t="shared" si="4"/>
        <v>0</v>
      </c>
      <c r="BB596" s="1133"/>
      <c r="BC596" s="1133"/>
      <c r="BD596" s="1133"/>
      <c r="BE596" s="1134"/>
      <c r="BF596" s="1198">
        <f t="shared" si="5"/>
        <v>25</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0</v>
      </c>
      <c r="BV596" s="1198"/>
      <c r="BW596" s="1198"/>
      <c r="BX596" s="1198"/>
      <c r="BY596" s="1198"/>
      <c r="BZ596" s="1198">
        <f t="shared" si="9"/>
        <v>0</v>
      </c>
      <c r="CA596" s="1198"/>
      <c r="CB596" s="1198"/>
      <c r="CC596" s="1198"/>
      <c r="CD596" s="1198"/>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20">
        <f t="shared" si="0"/>
        <v>0</v>
      </c>
      <c r="AS597" s="1521"/>
      <c r="AT597" s="1132">
        <f t="shared" si="1"/>
        <v>0</v>
      </c>
      <c r="AU597" s="1134"/>
      <c r="AV597" s="1520">
        <f t="shared" si="2"/>
        <v>0</v>
      </c>
      <c r="AW597" s="1521"/>
      <c r="AX597" s="1132">
        <f t="shared" si="3"/>
        <v>0</v>
      </c>
      <c r="AY597" s="1134"/>
      <c r="AZ597" s="58"/>
      <c r="BA597" s="1132">
        <f t="shared" si="4"/>
        <v>0</v>
      </c>
      <c r="BB597" s="1133"/>
      <c r="BC597" s="1133"/>
      <c r="BD597" s="1133"/>
      <c r="BE597" s="1134"/>
      <c r="BF597" s="1198">
        <f t="shared" si="5"/>
        <v>16</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8" t="s">
        <v>722</v>
      </c>
      <c r="O598" s="1098"/>
      <c r="P598" s="12"/>
      <c r="Q598" s="12"/>
      <c r="R598" s="12"/>
      <c r="S598" s="12"/>
      <c r="T598" s="35"/>
      <c r="U598" s="12" t="s">
        <v>22</v>
      </c>
      <c r="V598" s="12"/>
      <c r="W598" s="12"/>
      <c r="X598" s="12"/>
      <c r="Y598" s="12"/>
      <c r="Z598" s="12"/>
      <c r="AA598" s="12"/>
      <c r="AB598" s="12"/>
      <c r="AC598" s="12"/>
      <c r="AD598" s="12"/>
      <c r="AE598" s="12"/>
      <c r="AF598" s="12"/>
      <c r="AG598" s="1098" t="s">
        <v>722</v>
      </c>
      <c r="AH598" s="1098"/>
      <c r="AI598" s="12"/>
      <c r="AJ598" s="12"/>
      <c r="AK598" s="12"/>
      <c r="AL598" s="12"/>
      <c r="AM598" s="58"/>
      <c r="AN598" s="58"/>
      <c r="AO598" s="58"/>
      <c r="AP598" s="58"/>
      <c r="AQ598" s="58"/>
      <c r="AR598" s="1520">
        <f t="shared" si="0"/>
        <v>0</v>
      </c>
      <c r="AS598" s="1521"/>
      <c r="AT598" s="1132">
        <f t="shared" si="1"/>
        <v>0</v>
      </c>
      <c r="AU598" s="1134"/>
      <c r="AV598" s="1520">
        <f t="shared" si="2"/>
        <v>1</v>
      </c>
      <c r="AW598" s="1521"/>
      <c r="AX598" s="1132">
        <f t="shared" si="3"/>
        <v>3</v>
      </c>
      <c r="AY598" s="1134"/>
      <c r="AZ598" s="58"/>
      <c r="BA598" s="1132">
        <f t="shared" si="4"/>
        <v>0</v>
      </c>
      <c r="BB598" s="1133"/>
      <c r="BC598" s="1133"/>
      <c r="BD598" s="1133"/>
      <c r="BE598" s="1134"/>
      <c r="BF598" s="1198">
        <f t="shared" si="5"/>
        <v>0</v>
      </c>
      <c r="BG598" s="1198"/>
      <c r="BH598" s="1198"/>
      <c r="BI598" s="1198"/>
      <c r="BJ598" s="1198"/>
      <c r="BK598" s="1198">
        <f t="shared" si="6"/>
        <v>3</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7">
        <f t="shared" si="10"/>
        <v>0</v>
      </c>
      <c r="CF598" s="1207"/>
      <c r="CG598" s="1207"/>
      <c r="CH598" s="1207"/>
      <c r="CI598" s="1207"/>
      <c r="CJ598" s="1207">
        <f t="shared" si="11"/>
        <v>0</v>
      </c>
      <c r="CK598" s="1207"/>
      <c r="CL598" s="1207"/>
      <c r="CM598" s="1207"/>
      <c r="CN598" s="1207"/>
      <c r="CO598" s="1207">
        <f t="shared" si="12"/>
        <v>3</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1</v>
      </c>
      <c r="AS599" s="1521"/>
      <c r="AT599" s="1132">
        <f t="shared" si="1"/>
        <v>6</v>
      </c>
      <c r="AU599" s="1134"/>
      <c r="AV599" s="1520">
        <f t="shared" si="2"/>
        <v>0</v>
      </c>
      <c r="AW599" s="1521"/>
      <c r="AX599" s="1132">
        <f t="shared" si="3"/>
        <v>0</v>
      </c>
      <c r="AY599" s="1134"/>
      <c r="AZ599" s="58"/>
      <c r="BA599" s="1132">
        <f t="shared" si="4"/>
        <v>0</v>
      </c>
      <c r="BB599" s="1133"/>
      <c r="BC599" s="1133"/>
      <c r="BD599" s="1133"/>
      <c r="BE599" s="1134"/>
      <c r="BF599" s="1198">
        <f t="shared" si="5"/>
        <v>0</v>
      </c>
      <c r="BG599" s="1198"/>
      <c r="BH599" s="1198"/>
      <c r="BI599" s="1198"/>
      <c r="BJ599" s="1198"/>
      <c r="BK599" s="1198">
        <f t="shared" si="6"/>
        <v>6</v>
      </c>
      <c r="BL599" s="1198"/>
      <c r="BM599" s="1198"/>
      <c r="BN599" s="1198"/>
      <c r="BO599" s="1198"/>
      <c r="BP599" s="1198">
        <f t="shared" si="7"/>
        <v>0</v>
      </c>
      <c r="BQ599" s="1198"/>
      <c r="BR599" s="1198"/>
      <c r="BS599" s="1198"/>
      <c r="BT599" s="1198"/>
      <c r="BU599" s="1198">
        <f t="shared" si="8"/>
        <v>0</v>
      </c>
      <c r="BV599" s="1198"/>
      <c r="BW599" s="1198"/>
      <c r="BX599" s="1198"/>
      <c r="BY599" s="1198"/>
      <c r="BZ599" s="1198">
        <f t="shared" si="9"/>
        <v>0</v>
      </c>
      <c r="CA599" s="1198"/>
      <c r="CB599" s="1198"/>
      <c r="CC599" s="1198"/>
      <c r="CD599" s="1198"/>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386</v>
      </c>
      <c r="B600" s="12" t="s">
        <v>509</v>
      </c>
      <c r="G600" s="1099">
        <f>C555</f>
        <v>0</v>
      </c>
      <c r="H600" s="1099"/>
      <c r="I600" s="1099"/>
      <c r="J600" s="1099"/>
      <c r="K600" s="1099"/>
      <c r="L600" s="1099"/>
      <c r="M600" s="1099"/>
      <c r="N600" s="1099"/>
      <c r="O600" s="1099"/>
      <c r="P600" s="1099"/>
      <c r="Q600" s="1099"/>
      <c r="R600" s="1099"/>
      <c r="T600" s="87" t="s">
        <v>387</v>
      </c>
      <c r="U600" s="12" t="s">
        <v>509</v>
      </c>
      <c r="Z600" s="1099">
        <f>C556</f>
        <v>0</v>
      </c>
      <c r="AA600" s="1099"/>
      <c r="AB600" s="1099"/>
      <c r="AC600" s="1099"/>
      <c r="AD600" s="1099"/>
      <c r="AE600" s="1099"/>
      <c r="AF600" s="1099"/>
      <c r="AG600" s="1099"/>
      <c r="AH600" s="1099"/>
      <c r="AI600" s="1099"/>
      <c r="AJ600" s="1099"/>
      <c r="AK600" s="1099"/>
      <c r="AM600" s="58"/>
      <c r="AN600" s="58"/>
      <c r="AO600" s="58"/>
      <c r="AP600" s="58"/>
      <c r="AQ600" s="58"/>
      <c r="AR600" s="1520">
        <f t="shared" si="0"/>
        <v>1</v>
      </c>
      <c r="AS600" s="1521"/>
      <c r="AT600" s="1132">
        <f t="shared" si="1"/>
        <v>6</v>
      </c>
      <c r="AU600" s="1134"/>
      <c r="AV600" s="1520">
        <f t="shared" si="2"/>
        <v>0</v>
      </c>
      <c r="AW600" s="1521"/>
      <c r="AX600" s="1132">
        <f t="shared" si="3"/>
        <v>0</v>
      </c>
      <c r="AY600" s="1134"/>
      <c r="AZ600" s="58"/>
      <c r="BA600" s="1132">
        <f t="shared" si="4"/>
        <v>0</v>
      </c>
      <c r="BB600" s="1133"/>
      <c r="BC600" s="1133"/>
      <c r="BD600" s="1133"/>
      <c r="BE600" s="1134"/>
      <c r="BF600" s="1198">
        <f t="shared" si="5"/>
        <v>0</v>
      </c>
      <c r="BG600" s="1198"/>
      <c r="BH600" s="1198"/>
      <c r="BI600" s="1198"/>
      <c r="BJ600" s="1198"/>
      <c r="BK600" s="1198">
        <f t="shared" si="6"/>
        <v>6</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20">
        <f t="shared" si="0"/>
        <v>0</v>
      </c>
      <c r="AS601" s="1521"/>
      <c r="AT601" s="1132">
        <f t="shared" si="1"/>
        <v>0</v>
      </c>
      <c r="AU601" s="1134"/>
      <c r="AV601" s="1520">
        <f t="shared" si="2"/>
        <v>0</v>
      </c>
      <c r="AW601" s="1521"/>
      <c r="AX601" s="1132">
        <f t="shared" si="3"/>
        <v>0</v>
      </c>
      <c r="AY601" s="1134"/>
      <c r="AZ601" s="58"/>
      <c r="BA601" s="1132">
        <f t="shared" si="4"/>
        <v>0</v>
      </c>
      <c r="BB601" s="1133"/>
      <c r="BC601" s="1133"/>
      <c r="BD601" s="1133"/>
      <c r="BE601" s="1134"/>
      <c r="BF601" s="1198">
        <f t="shared" si="5"/>
        <v>0</v>
      </c>
      <c r="BG601" s="1198"/>
      <c r="BH601" s="1198"/>
      <c r="BI601" s="1198"/>
      <c r="BJ601" s="1198"/>
      <c r="BK601" s="1198">
        <f t="shared" si="6"/>
        <v>14</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630</v>
      </c>
      <c r="G602" s="1097"/>
      <c r="H602" s="1097"/>
      <c r="I602" s="1097"/>
      <c r="J602" s="1097"/>
      <c r="K602" s="1097"/>
      <c r="L602" s="1097"/>
      <c r="M602" s="1097"/>
      <c r="N602" s="1097"/>
      <c r="O602" s="1097"/>
      <c r="P602" s="1097"/>
      <c r="Q602" s="1097"/>
      <c r="R602" s="1097"/>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20">
        <f t="shared" si="0"/>
        <v>0</v>
      </c>
      <c r="AS602" s="1521"/>
      <c r="AT602" s="1132">
        <f t="shared" si="1"/>
        <v>0</v>
      </c>
      <c r="AU602" s="1134"/>
      <c r="AV602" s="1520">
        <f t="shared" si="2"/>
        <v>0</v>
      </c>
      <c r="AW602" s="1521"/>
      <c r="AX602" s="1132">
        <f t="shared" si="3"/>
        <v>0</v>
      </c>
      <c r="AY602" s="1134"/>
      <c r="AZ602" s="58"/>
      <c r="BA602" s="1132">
        <f t="shared" si="4"/>
        <v>0</v>
      </c>
      <c r="BB602" s="1133"/>
      <c r="BC602" s="1133"/>
      <c r="BD602" s="1133"/>
      <c r="BE602" s="1134"/>
      <c r="BF602" s="1198">
        <f t="shared" si="5"/>
        <v>0</v>
      </c>
      <c r="BG602" s="1198"/>
      <c r="BH602" s="1198"/>
      <c r="BI602" s="1198"/>
      <c r="BJ602" s="1198"/>
      <c r="BK602" s="1198">
        <f t="shared" si="6"/>
        <v>10</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0">
        <f t="shared" si="0"/>
        <v>0</v>
      </c>
      <c r="AS603" s="1521"/>
      <c r="AT603" s="1132">
        <f t="shared" si="1"/>
        <v>0</v>
      </c>
      <c r="AU603" s="1134"/>
      <c r="AV603" s="1520">
        <f t="shared" si="2"/>
        <v>1</v>
      </c>
      <c r="AW603" s="1521"/>
      <c r="AX603" s="1132">
        <f t="shared" si="3"/>
        <v>2</v>
      </c>
      <c r="AY603" s="1134"/>
      <c r="AZ603" s="58"/>
      <c r="BA603" s="1132">
        <f t="shared" si="4"/>
        <v>0</v>
      </c>
      <c r="BB603" s="1133"/>
      <c r="BC603" s="1133"/>
      <c r="BD603" s="1133"/>
      <c r="BE603" s="1134"/>
      <c r="BF603" s="1198">
        <f t="shared" si="5"/>
        <v>0</v>
      </c>
      <c r="BG603" s="1198"/>
      <c r="BH603" s="1198"/>
      <c r="BI603" s="1198"/>
      <c r="BJ603" s="1198"/>
      <c r="BK603" s="1198">
        <f t="shared" si="6"/>
        <v>0</v>
      </c>
      <c r="BL603" s="1198"/>
      <c r="BM603" s="1198"/>
      <c r="BN603" s="1198"/>
      <c r="BO603" s="1198"/>
      <c r="BP603" s="1198">
        <f t="shared" si="7"/>
        <v>2</v>
      </c>
      <c r="BQ603" s="1198"/>
      <c r="BR603" s="1198"/>
      <c r="BS603" s="1198"/>
      <c r="BT603" s="1198"/>
      <c r="BU603" s="1198">
        <f t="shared" si="8"/>
        <v>0</v>
      </c>
      <c r="BV603" s="1198"/>
      <c r="BW603" s="1198"/>
      <c r="BX603" s="1198"/>
      <c r="BY603" s="1198"/>
      <c r="BZ603" s="1198">
        <f t="shared" si="9"/>
        <v>0</v>
      </c>
      <c r="CA603" s="1198"/>
      <c r="CB603" s="1198"/>
      <c r="CC603" s="1198"/>
      <c r="CD603" s="1198"/>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2</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20">
        <f t="shared" si="0"/>
        <v>1</v>
      </c>
      <c r="AS604" s="1521"/>
      <c r="AT604" s="1132">
        <f t="shared" si="1"/>
        <v>4</v>
      </c>
      <c r="AU604" s="1134"/>
      <c r="AV604" s="1520">
        <f t="shared" si="2"/>
        <v>0</v>
      </c>
      <c r="AW604" s="1521"/>
      <c r="AX604" s="1132">
        <f t="shared" si="3"/>
        <v>0</v>
      </c>
      <c r="AY604" s="1134"/>
      <c r="AZ604" s="58"/>
      <c r="BA604" s="1132">
        <f t="shared" si="4"/>
        <v>0</v>
      </c>
      <c r="BB604" s="1133"/>
      <c r="BC604" s="1133"/>
      <c r="BD604" s="1133"/>
      <c r="BE604" s="1134"/>
      <c r="BF604" s="1198">
        <f t="shared" si="5"/>
        <v>0</v>
      </c>
      <c r="BG604" s="1198"/>
      <c r="BH604" s="1198"/>
      <c r="BI604" s="1198"/>
      <c r="BJ604" s="1198"/>
      <c r="BK604" s="1198">
        <f t="shared" si="6"/>
        <v>0</v>
      </c>
      <c r="BL604" s="1198"/>
      <c r="BM604" s="1198"/>
      <c r="BN604" s="1198"/>
      <c r="BO604" s="1198"/>
      <c r="BP604" s="1198">
        <f t="shared" si="7"/>
        <v>4</v>
      </c>
      <c r="BQ604" s="1198"/>
      <c r="BR604" s="1198"/>
      <c r="BS604" s="1198"/>
      <c r="BT604" s="1198"/>
      <c r="BU604" s="1198">
        <f t="shared" si="8"/>
        <v>0</v>
      </c>
      <c r="BV604" s="1198"/>
      <c r="BW604" s="1198"/>
      <c r="BX604" s="1198"/>
      <c r="BY604" s="1198"/>
      <c r="BZ604" s="1198">
        <f t="shared" si="9"/>
        <v>0</v>
      </c>
      <c r="CA604" s="1198"/>
      <c r="CB604" s="1198"/>
      <c r="CC604" s="1198"/>
      <c r="CD604" s="1198"/>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20">
        <f t="shared" si="0"/>
        <v>1</v>
      </c>
      <c r="AS605" s="1521"/>
      <c r="AT605" s="1132">
        <f t="shared" si="1"/>
        <v>3</v>
      </c>
      <c r="AU605" s="1134"/>
      <c r="AV605" s="1520">
        <f t="shared" si="2"/>
        <v>0</v>
      </c>
      <c r="AW605" s="1521"/>
      <c r="AX605" s="1132">
        <f t="shared" si="3"/>
        <v>0</v>
      </c>
      <c r="AY605" s="1134"/>
      <c r="AZ605" s="58"/>
      <c r="BA605" s="1132">
        <f t="shared" si="4"/>
        <v>0</v>
      </c>
      <c r="BB605" s="1133"/>
      <c r="BC605" s="1133"/>
      <c r="BD605" s="1133"/>
      <c r="BE605" s="1134"/>
      <c r="BF605" s="1198">
        <f t="shared" si="5"/>
        <v>0</v>
      </c>
      <c r="BG605" s="1198"/>
      <c r="BH605" s="1198"/>
      <c r="BI605" s="1198"/>
      <c r="BJ605" s="1198"/>
      <c r="BK605" s="1198">
        <f t="shared" si="6"/>
        <v>0</v>
      </c>
      <c r="BL605" s="1198"/>
      <c r="BM605" s="1198"/>
      <c r="BN605" s="1198"/>
      <c r="BO605" s="1198"/>
      <c r="BP605" s="1198">
        <f t="shared" si="7"/>
        <v>3</v>
      </c>
      <c r="BQ605" s="1198"/>
      <c r="BR605" s="1198"/>
      <c r="BS605" s="1198"/>
      <c r="BT605" s="1198"/>
      <c r="BU605" s="1198">
        <f t="shared" si="8"/>
        <v>0</v>
      </c>
      <c r="BV605" s="1198"/>
      <c r="BW605" s="1198"/>
      <c r="BX605" s="1198"/>
      <c r="BY605" s="1198"/>
      <c r="BZ605" s="1198">
        <f t="shared" si="9"/>
        <v>0</v>
      </c>
      <c r="CA605" s="1198"/>
      <c r="CB605" s="1198"/>
      <c r="CC605" s="1198"/>
      <c r="CD605" s="1198"/>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8" t="s">
        <v>722</v>
      </c>
      <c r="O606" s="1098"/>
      <c r="U606" s="12" t="s">
        <v>22</v>
      </c>
      <c r="AG606" s="1098" t="s">
        <v>722</v>
      </c>
      <c r="AH606" s="1098"/>
      <c r="AM606" s="58"/>
      <c r="AN606" s="58"/>
      <c r="AO606" s="58"/>
      <c r="AP606" s="58"/>
      <c r="AQ606" s="58"/>
      <c r="AR606" s="1520">
        <f t="shared" si="0"/>
        <v>0</v>
      </c>
      <c r="AS606" s="1521"/>
      <c r="AT606" s="1132">
        <f t="shared" si="1"/>
        <v>0</v>
      </c>
      <c r="AU606" s="1134"/>
      <c r="AV606" s="1520">
        <f t="shared" si="2"/>
        <v>0</v>
      </c>
      <c r="AW606" s="1521"/>
      <c r="AX606" s="1132">
        <f t="shared" si="3"/>
        <v>0</v>
      </c>
      <c r="AY606" s="1134"/>
      <c r="AZ606" s="58"/>
      <c r="BA606" s="1132">
        <f t="shared" si="4"/>
        <v>0</v>
      </c>
      <c r="BB606" s="1133"/>
      <c r="BC606" s="1133"/>
      <c r="BD606" s="1133"/>
      <c r="BE606" s="1134"/>
      <c r="BF606" s="1198">
        <f t="shared" si="5"/>
        <v>0</v>
      </c>
      <c r="BG606" s="1198"/>
      <c r="BH606" s="1198"/>
      <c r="BI606" s="1198"/>
      <c r="BJ606" s="1198"/>
      <c r="BK606" s="1198">
        <f t="shared" si="6"/>
        <v>0</v>
      </c>
      <c r="BL606" s="1198"/>
      <c r="BM606" s="1198"/>
      <c r="BN606" s="1198"/>
      <c r="BO606" s="1198"/>
      <c r="BP606" s="1198">
        <f t="shared" si="7"/>
        <v>7</v>
      </c>
      <c r="BQ606" s="1198"/>
      <c r="BR606" s="1198"/>
      <c r="BS606" s="1198"/>
      <c r="BT606" s="1198"/>
      <c r="BU606" s="1198">
        <f t="shared" si="8"/>
        <v>0</v>
      </c>
      <c r="BV606" s="1198"/>
      <c r="BW606" s="1198"/>
      <c r="BX606" s="1198"/>
      <c r="BY606" s="1198"/>
      <c r="BZ606" s="1198">
        <f t="shared" si="9"/>
        <v>0</v>
      </c>
      <c r="CA606" s="1198"/>
      <c r="CB606" s="1198"/>
      <c r="CC606" s="1198"/>
      <c r="CD606" s="1198"/>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20">
        <f t="shared" si="0"/>
        <v>0</v>
      </c>
      <c r="AS607" s="1521"/>
      <c r="AT607" s="1132">
        <f t="shared" si="1"/>
        <v>0</v>
      </c>
      <c r="AU607" s="1134"/>
      <c r="AV607" s="1520">
        <f t="shared" si="2"/>
        <v>0</v>
      </c>
      <c r="AW607" s="1521"/>
      <c r="AX607" s="1132">
        <f t="shared" si="3"/>
        <v>0</v>
      </c>
      <c r="AY607" s="1134"/>
      <c r="AZ607" s="58"/>
      <c r="BA607" s="1132">
        <f t="shared" si="4"/>
        <v>0</v>
      </c>
      <c r="BB607" s="1133"/>
      <c r="BC607" s="1133"/>
      <c r="BD607" s="1133"/>
      <c r="BE607" s="1134"/>
      <c r="BF607" s="1198">
        <f t="shared" si="5"/>
        <v>0</v>
      </c>
      <c r="BG607" s="1198"/>
      <c r="BH607" s="1198"/>
      <c r="BI607" s="1198"/>
      <c r="BJ607" s="1198"/>
      <c r="BK607" s="1198">
        <f t="shared" si="6"/>
        <v>0</v>
      </c>
      <c r="BL607" s="1198"/>
      <c r="BM607" s="1198"/>
      <c r="BN607" s="1198"/>
      <c r="BO607" s="1198"/>
      <c r="BP607" s="1198">
        <f t="shared" si="7"/>
        <v>6</v>
      </c>
      <c r="BQ607" s="1198"/>
      <c r="BR607" s="1198"/>
      <c r="BS607" s="1198"/>
      <c r="BT607" s="1198"/>
      <c r="BU607" s="1198">
        <f t="shared" si="8"/>
        <v>0</v>
      </c>
      <c r="BV607" s="1198"/>
      <c r="BW607" s="1198"/>
      <c r="BX607" s="1198"/>
      <c r="BY607" s="1198"/>
      <c r="BZ607" s="1198">
        <f t="shared" si="9"/>
        <v>0</v>
      </c>
      <c r="CA607" s="1198"/>
      <c r="CB607" s="1198"/>
      <c r="CC607" s="1198"/>
      <c r="CD607" s="1198"/>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2" t="s">
        <v>590</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20">
        <f t="shared" si="0"/>
        <v>0</v>
      </c>
      <c r="AS608" s="1521"/>
      <c r="AT608" s="1132">
        <f t="shared" si="1"/>
        <v>0</v>
      </c>
      <c r="AU608" s="1134"/>
      <c r="AV608" s="1520">
        <f t="shared" si="2"/>
        <v>0</v>
      </c>
      <c r="AW608" s="1521"/>
      <c r="AX608" s="1132">
        <f t="shared" si="3"/>
        <v>0</v>
      </c>
      <c r="AY608" s="1134"/>
      <c r="AZ608" s="58"/>
      <c r="BA608" s="1132">
        <f t="shared" si="4"/>
        <v>5</v>
      </c>
      <c r="BB608" s="1133"/>
      <c r="BC608" s="1133"/>
      <c r="BD608" s="1133"/>
      <c r="BE608" s="1134"/>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20">
        <f t="shared" si="0"/>
        <v>0</v>
      </c>
      <c r="AS609" s="1521"/>
      <c r="AT609" s="1132">
        <f t="shared" si="1"/>
        <v>0</v>
      </c>
      <c r="AU609" s="1134"/>
      <c r="AV609" s="1520">
        <f t="shared" si="2"/>
        <v>0</v>
      </c>
      <c r="AW609" s="1521"/>
      <c r="AX609" s="1132">
        <f t="shared" si="3"/>
        <v>0</v>
      </c>
      <c r="AY609" s="1134"/>
      <c r="AZ609" s="58"/>
      <c r="BA609" s="1132">
        <f t="shared" si="4"/>
        <v>0</v>
      </c>
      <c r="BB609" s="1133"/>
      <c r="BC609" s="1133"/>
      <c r="BD609" s="1133"/>
      <c r="BE609" s="1134"/>
      <c r="BF609" s="1198">
        <f t="shared" si="5"/>
        <v>0</v>
      </c>
      <c r="BG609" s="1198"/>
      <c r="BH609" s="1198"/>
      <c r="BI609" s="1198"/>
      <c r="BJ609" s="1198"/>
      <c r="BK609" s="1198">
        <f t="shared" si="6"/>
        <v>0</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20">
        <f t="shared" si="0"/>
        <v>0</v>
      </c>
      <c r="AS610" s="1521"/>
      <c r="AT610" s="1132">
        <f t="shared" si="1"/>
        <v>0</v>
      </c>
      <c r="AU610" s="1134"/>
      <c r="AV610" s="1520">
        <f t="shared" si="2"/>
        <v>0</v>
      </c>
      <c r="AW610" s="1521"/>
      <c r="AX610" s="1132">
        <f t="shared" si="3"/>
        <v>0</v>
      </c>
      <c r="AY610" s="1134"/>
      <c r="AZ610" s="58"/>
      <c r="BA610" s="1132">
        <f t="shared" si="4"/>
        <v>0</v>
      </c>
      <c r="BB610" s="1133"/>
      <c r="BC610" s="1133"/>
      <c r="BD610" s="1133"/>
      <c r="BE610" s="1134"/>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341</v>
      </c>
      <c r="B611" s="50"/>
      <c r="C611" s="50" t="s">
        <v>23</v>
      </c>
      <c r="AM611" s="58"/>
      <c r="AN611" s="58"/>
      <c r="AO611" s="58"/>
      <c r="AP611" s="58"/>
      <c r="AQ611" s="58"/>
      <c r="AR611" s="1520">
        <f t="shared" si="0"/>
        <v>0</v>
      </c>
      <c r="AS611" s="1521"/>
      <c r="AT611" s="1132">
        <f t="shared" si="1"/>
        <v>0</v>
      </c>
      <c r="AU611" s="1134"/>
      <c r="AV611" s="1520">
        <f t="shared" si="2"/>
        <v>0</v>
      </c>
      <c r="AW611" s="1521"/>
      <c r="AX611" s="1132">
        <f t="shared" si="3"/>
        <v>0</v>
      </c>
      <c r="AY611" s="1134"/>
      <c r="AZ611" s="58"/>
      <c r="BA611" s="1132">
        <f t="shared" si="4"/>
        <v>0</v>
      </c>
      <c r="BB611" s="1133"/>
      <c r="BC611" s="1133"/>
      <c r="BD611" s="1133"/>
      <c r="BE611" s="1134"/>
      <c r="BF611" s="1198">
        <f t="shared" si="5"/>
        <v>0</v>
      </c>
      <c r="BG611" s="1198"/>
      <c r="BH611" s="1198"/>
      <c r="BI611" s="1198"/>
      <c r="BJ611" s="1198"/>
      <c r="BK611" s="1198">
        <f t="shared" si="6"/>
        <v>0</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20">
        <f t="shared" si="0"/>
        <v>0</v>
      </c>
      <c r="AS612" s="1521"/>
      <c r="AT612" s="1132">
        <f t="shared" si="1"/>
        <v>0</v>
      </c>
      <c r="AU612" s="1134"/>
      <c r="AV612" s="1520">
        <f t="shared" si="2"/>
        <v>0</v>
      </c>
      <c r="AW612" s="1521"/>
      <c r="AX612" s="1132">
        <f t="shared" si="3"/>
        <v>0</v>
      </c>
      <c r="AY612" s="1134"/>
      <c r="AZ612" s="58"/>
      <c r="BA612" s="1132">
        <f t="shared" si="4"/>
        <v>0</v>
      </c>
      <c r="BB612" s="1133"/>
      <c r="BC612" s="1133"/>
      <c r="BD612" s="1133"/>
      <c r="BE612" s="1134"/>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2">
        <f t="shared" si="1"/>
        <v>0</v>
      </c>
      <c r="AU613" s="1134"/>
      <c r="AV613" s="1520">
        <f t="shared" si="2"/>
        <v>0</v>
      </c>
      <c r="AW613" s="1521"/>
      <c r="AX613" s="1132">
        <f t="shared" si="3"/>
        <v>0</v>
      </c>
      <c r="AY613" s="1134"/>
      <c r="AZ613" s="58"/>
      <c r="BA613" s="1132">
        <f t="shared" si="4"/>
        <v>0</v>
      </c>
      <c r="BB613" s="1133"/>
      <c r="BC613" s="1133"/>
      <c r="BD613" s="1133"/>
      <c r="BE613" s="1134"/>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52</v>
      </c>
      <c r="AU614" s="1521"/>
      <c r="AV614" s="58"/>
      <c r="AW614" s="58"/>
      <c r="AX614" s="1520">
        <f>SUM(AX589:AY613)</f>
        <v>9</v>
      </c>
      <c r="AY614" s="1521"/>
      <c r="AZ614" s="58"/>
      <c r="BA614" s="1520">
        <f>SUM(BA589:BE613)</f>
        <v>20</v>
      </c>
      <c r="BB614" s="1528"/>
      <c r="BC614" s="1528"/>
      <c r="BD614" s="1528"/>
      <c r="BE614" s="1521"/>
      <c r="BF614" s="1212">
        <f>SUM(BF589:BJ613)</f>
        <v>70</v>
      </c>
      <c r="BG614" s="1212"/>
      <c r="BH614" s="1212"/>
      <c r="BI614" s="1212"/>
      <c r="BJ614" s="1212"/>
      <c r="BK614" s="1212">
        <f>SUM(BK589:BO613)</f>
        <v>39</v>
      </c>
      <c r="BL614" s="1212"/>
      <c r="BM614" s="1212"/>
      <c r="BN614" s="1212"/>
      <c r="BO614" s="1212"/>
      <c r="BP614" s="1212">
        <f>SUM(BP589:BT613)</f>
        <v>22</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1</v>
      </c>
      <c r="CF614" s="1212"/>
      <c r="CG614" s="1212"/>
      <c r="CH614" s="1212"/>
      <c r="CI614" s="1212"/>
      <c r="CJ614" s="1212">
        <f>SUM(CJ589:CN613)</f>
        <v>3</v>
      </c>
      <c r="CK614" s="1212"/>
      <c r="CL614" s="1212"/>
      <c r="CM614" s="1212"/>
      <c r="CN614" s="1212"/>
      <c r="CO614" s="1212">
        <f>SUM(CO589:CS613)</f>
        <v>3</v>
      </c>
      <c r="CP614" s="1212"/>
      <c r="CQ614" s="1212"/>
      <c r="CR614" s="1212"/>
      <c r="CS614" s="1212"/>
      <c r="CT614" s="1212">
        <f>SUM(CT589:CX613)</f>
        <v>2</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1" t="s">
        <v>497</v>
      </c>
      <c r="C615" s="1432"/>
      <c r="D615" s="1432"/>
      <c r="E615" s="1432"/>
      <c r="F615" s="1432"/>
      <c r="G615" s="1432"/>
      <c r="H615" s="1432"/>
      <c r="I615" s="1432"/>
      <c r="J615" s="1432"/>
      <c r="K615" s="1432"/>
      <c r="L615" s="1432"/>
      <c r="M615" s="1432"/>
      <c r="N615" s="1432"/>
      <c r="O615" s="1433"/>
      <c r="P615" s="1440" t="s">
        <v>346</v>
      </c>
      <c r="Q615" s="1441"/>
      <c r="R615" s="1442"/>
      <c r="S615" s="1534" t="s">
        <v>498</v>
      </c>
      <c r="T615" s="1535"/>
      <c r="U615" s="1536"/>
      <c r="V615" s="1430" t="s">
        <v>18</v>
      </c>
      <c r="W615" s="1430"/>
      <c r="X615" s="1430"/>
      <c r="Y615" s="1430"/>
      <c r="Z615" s="1430"/>
      <c r="AA615" s="1430"/>
      <c r="AB615" s="1430" t="s">
        <v>17</v>
      </c>
      <c r="AC615" s="1430"/>
      <c r="AD615" s="1430"/>
      <c r="AE615" s="1430"/>
      <c r="AF615" s="1430"/>
      <c r="AG615" s="1430" t="s">
        <v>499</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7"/>
      <c r="T616" s="1538"/>
      <c r="U616" s="1539"/>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40"/>
      <c r="T617" s="1541"/>
      <c r="U617" s="1542"/>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8">
        <f>IF(J754="1 Bedroom",O754,0)</f>
        <v>0</v>
      </c>
      <c r="BG617" s="1198"/>
      <c r="BH617" s="1198"/>
      <c r="BI617" s="1198"/>
      <c r="BJ617" s="1198"/>
      <c r="BK617" s="1198">
        <f>IF(J754="2 Bedrooms",O754,0)</f>
        <v>0</v>
      </c>
      <c r="BL617" s="1198"/>
      <c r="BM617" s="1198"/>
      <c r="BN617" s="1198"/>
      <c r="BO617" s="1198"/>
      <c r="BP617" s="1198">
        <f>IF(J754="3 Bedrooms",O754,0)</f>
        <v>1</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226" t="s">
        <v>1777</v>
      </c>
      <c r="D618" s="1428"/>
      <c r="E618" s="1428"/>
      <c r="F618" s="1428"/>
      <c r="G618" s="1428"/>
      <c r="H618" s="1428"/>
      <c r="I618" s="1428"/>
      <c r="J618" s="1428"/>
      <c r="K618" s="1428"/>
      <c r="L618" s="1428"/>
      <c r="M618" s="1428"/>
      <c r="N618" s="1428"/>
      <c r="O618" s="1429"/>
      <c r="P618" s="1223">
        <v>216</v>
      </c>
      <c r="Q618" s="1224"/>
      <c r="R618" s="1225"/>
      <c r="S618" s="1220">
        <v>4.7E-2</v>
      </c>
      <c r="T618" s="1221"/>
      <c r="U618" s="1222"/>
      <c r="V618" s="1223"/>
      <c r="W618" s="1224"/>
      <c r="X618" s="1224"/>
      <c r="Y618" s="1224"/>
      <c r="Z618" s="1224"/>
      <c r="AA618" s="1225"/>
      <c r="AB618" s="1228">
        <v>1136580</v>
      </c>
      <c r="AC618" s="1228"/>
      <c r="AD618" s="1228"/>
      <c r="AE618" s="1228"/>
      <c r="AF618" s="1228"/>
      <c r="AG618" s="1228">
        <v>19500000</v>
      </c>
      <c r="AH618" s="1228"/>
      <c r="AI618" s="1228"/>
      <c r="AJ618" s="1228"/>
      <c r="AK618" s="1228"/>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8">
        <f>IF(J755="1 Bedroom",O755,0)</f>
        <v>0</v>
      </c>
      <c r="BG618" s="1198"/>
      <c r="BH618" s="1198"/>
      <c r="BI618" s="1198"/>
      <c r="BJ618" s="1198"/>
      <c r="BK618" s="1198">
        <f>IF(J755="2 Bedrooms",O755,0)</f>
        <v>0</v>
      </c>
      <c r="BL618" s="1198"/>
      <c r="BM618" s="1198"/>
      <c r="BN618" s="1198"/>
      <c r="BO618" s="1198"/>
      <c r="BP618" s="1198">
        <f>IF(J755="3 Bedrooms",O755,0)</f>
        <v>0</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226" t="s">
        <v>1724</v>
      </c>
      <c r="D619" s="1102"/>
      <c r="E619" s="1102"/>
      <c r="F619" s="1102"/>
      <c r="G619" s="1102"/>
      <c r="H619" s="1102"/>
      <c r="I619" s="1102"/>
      <c r="J619" s="1102"/>
      <c r="K619" s="1102"/>
      <c r="L619" s="1102"/>
      <c r="M619" s="1102"/>
      <c r="N619" s="1102"/>
      <c r="O619" s="1227"/>
      <c r="P619" s="1223">
        <v>666</v>
      </c>
      <c r="Q619" s="1224"/>
      <c r="R619" s="1225"/>
      <c r="S619" s="1220">
        <v>0.04</v>
      </c>
      <c r="T619" s="1221"/>
      <c r="U619" s="1222"/>
      <c r="V619" s="1223" t="s">
        <v>503</v>
      </c>
      <c r="W619" s="1224"/>
      <c r="X619" s="1224"/>
      <c r="Y619" s="1224"/>
      <c r="Z619" s="1224"/>
      <c r="AA619" s="1225"/>
      <c r="AB619" s="1228"/>
      <c r="AC619" s="1228"/>
      <c r="AD619" s="1228"/>
      <c r="AE619" s="1228"/>
      <c r="AF619" s="1228"/>
      <c r="AG619" s="1228">
        <v>5850460</v>
      </c>
      <c r="AH619" s="1228"/>
      <c r="AI619" s="1228"/>
      <c r="AJ619" s="1228"/>
      <c r="AK619" s="1228"/>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226" t="s">
        <v>1722</v>
      </c>
      <c r="D620" s="1102"/>
      <c r="E620" s="1102"/>
      <c r="F620" s="1102"/>
      <c r="G620" s="1102"/>
      <c r="H620" s="1102"/>
      <c r="I620" s="1102"/>
      <c r="J620" s="1102"/>
      <c r="K620" s="1102"/>
      <c r="L620" s="1102"/>
      <c r="M620" s="1102"/>
      <c r="N620" s="1102"/>
      <c r="O620" s="1227"/>
      <c r="P620" s="1223">
        <v>660</v>
      </c>
      <c r="Q620" s="1224"/>
      <c r="R620" s="1225"/>
      <c r="S620" s="1220">
        <v>4.1999999999999997E-3</v>
      </c>
      <c r="T620" s="1221"/>
      <c r="U620" s="1222"/>
      <c r="V620" s="1223" t="s">
        <v>503</v>
      </c>
      <c r="W620" s="1224"/>
      <c r="X620" s="1224"/>
      <c r="Y620" s="1224"/>
      <c r="Z620" s="1224"/>
      <c r="AA620" s="1225"/>
      <c r="AB620" s="1228">
        <v>39900</v>
      </c>
      <c r="AC620" s="1228"/>
      <c r="AD620" s="1228"/>
      <c r="AE620" s="1228"/>
      <c r="AF620" s="1228"/>
      <c r="AG620" s="1228">
        <v>9500000</v>
      </c>
      <c r="AH620" s="1228"/>
      <c r="AI620" s="1228"/>
      <c r="AJ620" s="1228"/>
      <c r="AK620" s="1228"/>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631</v>
      </c>
      <c r="C621" s="1226" t="s">
        <v>1741</v>
      </c>
      <c r="D621" s="1102"/>
      <c r="E621" s="1102"/>
      <c r="F621" s="1102"/>
      <c r="G621" s="1102"/>
      <c r="H621" s="1102"/>
      <c r="I621" s="1102"/>
      <c r="J621" s="1102"/>
      <c r="K621" s="1102"/>
      <c r="L621" s="1102"/>
      <c r="M621" s="1102"/>
      <c r="N621" s="1102"/>
      <c r="O621" s="1227"/>
      <c r="P621" s="1199" t="s">
        <v>641</v>
      </c>
      <c r="Q621" s="1224"/>
      <c r="R621" s="1225"/>
      <c r="S621" s="1516" t="s">
        <v>641</v>
      </c>
      <c r="T621" s="1221"/>
      <c r="U621" s="1222"/>
      <c r="V621" s="1223"/>
      <c r="W621" s="1224"/>
      <c r="X621" s="1224"/>
      <c r="Y621" s="1224"/>
      <c r="Z621" s="1224"/>
      <c r="AA621" s="1225"/>
      <c r="AB621" s="1228"/>
      <c r="AC621" s="1228"/>
      <c r="AD621" s="1228"/>
      <c r="AE621" s="1228"/>
      <c r="AF621" s="1228"/>
      <c r="AG621" s="1228">
        <v>1</v>
      </c>
      <c r="AH621" s="1228"/>
      <c r="AI621" s="1228"/>
      <c r="AJ621" s="1228"/>
      <c r="AK621" s="1228"/>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0</v>
      </c>
      <c r="BL621" s="1136"/>
      <c r="BM621" s="1136"/>
      <c r="BN621" s="1136"/>
      <c r="BO621" s="1137"/>
      <c r="BP621" s="1135">
        <f>SUM(BP617:BT620)</f>
        <v>1</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226" t="s">
        <v>1725</v>
      </c>
      <c r="D622" s="1102"/>
      <c r="E622" s="1102"/>
      <c r="F622" s="1102"/>
      <c r="G622" s="1102"/>
      <c r="H622" s="1102"/>
      <c r="I622" s="1102"/>
      <c r="J622" s="1102"/>
      <c r="K622" s="1102"/>
      <c r="L622" s="1102"/>
      <c r="M622" s="1102"/>
      <c r="N622" s="1102"/>
      <c r="O622" s="1227"/>
      <c r="P622" s="1199" t="s">
        <v>641</v>
      </c>
      <c r="Q622" s="1224"/>
      <c r="R622" s="1225"/>
      <c r="S622" s="1516" t="s">
        <v>641</v>
      </c>
      <c r="T622" s="1221"/>
      <c r="U622" s="1222"/>
      <c r="V622" s="1223" t="s">
        <v>504</v>
      </c>
      <c r="W622" s="1224"/>
      <c r="X622" s="1224"/>
      <c r="Y622" s="1224"/>
      <c r="Z622" s="1224"/>
      <c r="AA622" s="1225"/>
      <c r="AB622" s="1228"/>
      <c r="AC622" s="1228"/>
      <c r="AD622" s="1228"/>
      <c r="AE622" s="1228"/>
      <c r="AF622" s="1228"/>
      <c r="AG622" s="1228">
        <v>351028</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26" t="s">
        <v>1726</v>
      </c>
      <c r="D623" s="1102"/>
      <c r="E623" s="1102"/>
      <c r="F623" s="1102"/>
      <c r="G623" s="1102"/>
      <c r="H623" s="1102"/>
      <c r="I623" s="1102"/>
      <c r="J623" s="1102"/>
      <c r="K623" s="1102"/>
      <c r="L623" s="1102"/>
      <c r="M623" s="1102"/>
      <c r="N623" s="1102"/>
      <c r="O623" s="1227"/>
      <c r="P623" s="1199" t="s">
        <v>641</v>
      </c>
      <c r="Q623" s="1224"/>
      <c r="R623" s="1225"/>
      <c r="S623" s="1220">
        <v>0.03</v>
      </c>
      <c r="T623" s="1221"/>
      <c r="U623" s="1222"/>
      <c r="V623" s="1223" t="s">
        <v>504</v>
      </c>
      <c r="W623" s="1224"/>
      <c r="X623" s="1224"/>
      <c r="Y623" s="1224"/>
      <c r="Z623" s="1224"/>
      <c r="AA623" s="1225"/>
      <c r="AB623" s="1228"/>
      <c r="AC623" s="1228"/>
      <c r="AD623" s="1228"/>
      <c r="AE623" s="1228"/>
      <c r="AF623" s="1228"/>
      <c r="AG623" s="1228">
        <v>651648</v>
      </c>
      <c r="AH623" s="1228"/>
      <c r="AI623" s="1228"/>
      <c r="AJ623" s="1228"/>
      <c r="AK623" s="1228"/>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198">
        <f t="shared" ref="BF623:BF632" si="17">IF(J768="1 Bedroom",O768,0)</f>
        <v>0</v>
      </c>
      <c r="BG623" s="1198"/>
      <c r="BH623" s="1198"/>
      <c r="BI623" s="1198"/>
      <c r="BJ623" s="1198"/>
      <c r="BK623" s="1198">
        <f t="shared" ref="BK623:BK632" si="18">IF(J768="2 Bedrooms",O768,0)</f>
        <v>0</v>
      </c>
      <c r="BL623" s="1198"/>
      <c r="BM623" s="1198"/>
      <c r="BN623" s="1198"/>
      <c r="BO623" s="1198"/>
      <c r="BP623" s="1198">
        <f t="shared" ref="BP623:BP632" si="19">IF(J768="3 Bedrooms",O768,0)</f>
        <v>0</v>
      </c>
      <c r="BQ623" s="1198"/>
      <c r="BR623" s="1198"/>
      <c r="BS623" s="1198"/>
      <c r="BT623" s="1198"/>
      <c r="BU623" s="1198">
        <f t="shared" ref="BU623:BU632" si="20">IF(J768="4 Bedrooms",O768,0)</f>
        <v>0</v>
      </c>
      <c r="BV623" s="1198"/>
      <c r="BW623" s="1198"/>
      <c r="BX623" s="1198"/>
      <c r="BY623" s="1198"/>
      <c r="BZ623" s="1198">
        <f t="shared" ref="BZ623:BZ632" si="21">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500</v>
      </c>
      <c r="C624" s="1226"/>
      <c r="D624" s="1102"/>
      <c r="E624" s="1102"/>
      <c r="F624" s="1102"/>
      <c r="G624" s="1102"/>
      <c r="H624" s="1102"/>
      <c r="I624" s="1102"/>
      <c r="J624" s="1102"/>
      <c r="K624" s="1102"/>
      <c r="L624" s="1102"/>
      <c r="M624" s="1102"/>
      <c r="N624" s="1102"/>
      <c r="O624" s="1227"/>
      <c r="P624" s="1223"/>
      <c r="Q624" s="1224"/>
      <c r="R624" s="1225"/>
      <c r="S624" s="1220"/>
      <c r="T624" s="1221"/>
      <c r="U624" s="1222"/>
      <c r="V624" s="1223"/>
      <c r="W624" s="1224"/>
      <c r="X624" s="1224"/>
      <c r="Y624" s="1224"/>
      <c r="Z624" s="1224"/>
      <c r="AA624" s="1225"/>
      <c r="AB624" s="1228"/>
      <c r="AC624" s="1228"/>
      <c r="AD624" s="1228"/>
      <c r="AE624" s="1228"/>
      <c r="AF624" s="1228"/>
      <c r="AG624" s="1228">
        <v>0</v>
      </c>
      <c r="AH624" s="1228"/>
      <c r="AI624" s="1228"/>
      <c r="AJ624" s="1228"/>
      <c r="AK624" s="1228"/>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8">
        <f t="shared" si="17"/>
        <v>0</v>
      </c>
      <c r="BG624" s="1198"/>
      <c r="BH624" s="1198"/>
      <c r="BI624" s="1198"/>
      <c r="BJ624" s="1198"/>
      <c r="BK624" s="1198">
        <f t="shared" si="18"/>
        <v>0</v>
      </c>
      <c r="BL624" s="1198"/>
      <c r="BM624" s="1198"/>
      <c r="BN624" s="1198"/>
      <c r="BO624" s="1198"/>
      <c r="BP624" s="1198">
        <f t="shared" si="19"/>
        <v>0</v>
      </c>
      <c r="BQ624" s="1198"/>
      <c r="BR624" s="1198"/>
      <c r="BS624" s="1198"/>
      <c r="BT624" s="1198"/>
      <c r="BU624" s="1198">
        <f t="shared" si="20"/>
        <v>0</v>
      </c>
      <c r="BV624" s="1198"/>
      <c r="BW624" s="1198"/>
      <c r="BX624" s="1198"/>
      <c r="BY624" s="1198"/>
      <c r="BZ624" s="1198">
        <f t="shared" si="21"/>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501</v>
      </c>
      <c r="C625" s="1226"/>
      <c r="D625" s="1102"/>
      <c r="E625" s="1102"/>
      <c r="F625" s="1102"/>
      <c r="G625" s="1102"/>
      <c r="H625" s="1102"/>
      <c r="I625" s="1102"/>
      <c r="J625" s="1102"/>
      <c r="K625" s="1102"/>
      <c r="L625" s="1102"/>
      <c r="M625" s="1102"/>
      <c r="N625" s="1102"/>
      <c r="O625" s="1227"/>
      <c r="P625" s="1223"/>
      <c r="Q625" s="1224"/>
      <c r="R625" s="1225"/>
      <c r="S625" s="1220"/>
      <c r="T625" s="1221"/>
      <c r="U625" s="1222"/>
      <c r="V625" s="1223"/>
      <c r="W625" s="1224"/>
      <c r="X625" s="1224"/>
      <c r="Y625" s="1224"/>
      <c r="Z625" s="1224"/>
      <c r="AA625" s="1225"/>
      <c r="AB625" s="1228"/>
      <c r="AC625" s="1228"/>
      <c r="AD625" s="1228"/>
      <c r="AE625" s="1228"/>
      <c r="AF625" s="1228"/>
      <c r="AG625" s="1228">
        <v>0</v>
      </c>
      <c r="AH625" s="1228"/>
      <c r="AI625" s="1228"/>
      <c r="AJ625" s="1228"/>
      <c r="AK625" s="1228"/>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8">
        <f t="shared" si="17"/>
        <v>0</v>
      </c>
      <c r="BG625" s="1198"/>
      <c r="BH625" s="1198"/>
      <c r="BI625" s="1198"/>
      <c r="BJ625" s="1198"/>
      <c r="BK625" s="1198">
        <f t="shared" si="18"/>
        <v>0</v>
      </c>
      <c r="BL625" s="1198"/>
      <c r="BM625" s="1198"/>
      <c r="BN625" s="1198"/>
      <c r="BO625" s="1198"/>
      <c r="BP625" s="1198">
        <f t="shared" si="19"/>
        <v>0</v>
      </c>
      <c r="BQ625" s="1198"/>
      <c r="BR625" s="1198"/>
      <c r="BS625" s="1198"/>
      <c r="BT625" s="1198"/>
      <c r="BU625" s="1198">
        <f t="shared" si="20"/>
        <v>0</v>
      </c>
      <c r="BV625" s="1198"/>
      <c r="BW625" s="1198"/>
      <c r="BX625" s="1198"/>
      <c r="BY625" s="1198"/>
      <c r="BZ625" s="1198">
        <f t="shared" si="21"/>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507</v>
      </c>
      <c r="C626" s="1102"/>
      <c r="D626" s="1102"/>
      <c r="E626" s="1102"/>
      <c r="F626" s="1102"/>
      <c r="G626" s="1102"/>
      <c r="H626" s="1102"/>
      <c r="I626" s="1102"/>
      <c r="J626" s="1102"/>
      <c r="K626" s="1102"/>
      <c r="L626" s="1102"/>
      <c r="M626" s="1102"/>
      <c r="N626" s="1102"/>
      <c r="O626" s="1227"/>
      <c r="P626" s="1223"/>
      <c r="Q626" s="1224"/>
      <c r="R626" s="1225"/>
      <c r="S626" s="1220"/>
      <c r="T626" s="1221"/>
      <c r="U626" s="1222"/>
      <c r="V626" s="1223"/>
      <c r="W626" s="1224"/>
      <c r="X626" s="1224"/>
      <c r="Y626" s="1224"/>
      <c r="Z626" s="1224"/>
      <c r="AA626" s="1225"/>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8">
        <f t="shared" si="17"/>
        <v>0</v>
      </c>
      <c r="BG626" s="1198"/>
      <c r="BH626" s="1198"/>
      <c r="BI626" s="1198"/>
      <c r="BJ626" s="1198"/>
      <c r="BK626" s="1198">
        <f t="shared" si="18"/>
        <v>0</v>
      </c>
      <c r="BL626" s="1198"/>
      <c r="BM626" s="1198"/>
      <c r="BN626" s="1198"/>
      <c r="BO626" s="1198"/>
      <c r="BP626" s="1198">
        <f t="shared" si="19"/>
        <v>0</v>
      </c>
      <c r="BQ626" s="1198"/>
      <c r="BR626" s="1198"/>
      <c r="BS626" s="1198"/>
      <c r="BT626" s="1198"/>
      <c r="BU626" s="1198">
        <f t="shared" si="20"/>
        <v>0</v>
      </c>
      <c r="BV626" s="1198"/>
      <c r="BW626" s="1198"/>
      <c r="BX626" s="1198"/>
      <c r="BY626" s="1198"/>
      <c r="BZ626" s="1198">
        <f t="shared" si="21"/>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696</v>
      </c>
      <c r="C627" s="1102"/>
      <c r="D627" s="1102"/>
      <c r="E627" s="1102"/>
      <c r="F627" s="1102"/>
      <c r="G627" s="1102"/>
      <c r="H627" s="1102"/>
      <c r="I627" s="1102"/>
      <c r="J627" s="1102"/>
      <c r="K627" s="1102"/>
      <c r="L627" s="1102"/>
      <c r="M627" s="1102"/>
      <c r="N627" s="1102"/>
      <c r="O627" s="1227"/>
      <c r="P627" s="1223"/>
      <c r="Q627" s="1224"/>
      <c r="R627" s="1225"/>
      <c r="S627" s="1220"/>
      <c r="T627" s="1221"/>
      <c r="U627" s="1222"/>
      <c r="V627" s="1223"/>
      <c r="W627" s="1224"/>
      <c r="X627" s="1224"/>
      <c r="Y627" s="1224"/>
      <c r="Z627" s="1224"/>
      <c r="AA627" s="1225"/>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8">
        <f t="shared" si="17"/>
        <v>0</v>
      </c>
      <c r="BG627" s="1198"/>
      <c r="BH627" s="1198"/>
      <c r="BI627" s="1198"/>
      <c r="BJ627" s="1198"/>
      <c r="BK627" s="1198">
        <f t="shared" si="18"/>
        <v>0</v>
      </c>
      <c r="BL627" s="1198"/>
      <c r="BM627" s="1198"/>
      <c r="BN627" s="1198"/>
      <c r="BO627" s="1198"/>
      <c r="BP627" s="1198">
        <f t="shared" si="19"/>
        <v>0</v>
      </c>
      <c r="BQ627" s="1198"/>
      <c r="BR627" s="1198"/>
      <c r="BS627" s="1198"/>
      <c r="BT627" s="1198"/>
      <c r="BU627" s="1198">
        <f t="shared" si="20"/>
        <v>0</v>
      </c>
      <c r="BV627" s="1198"/>
      <c r="BW627" s="1198"/>
      <c r="BX627" s="1198"/>
      <c r="BY627" s="1198"/>
      <c r="BZ627" s="1198">
        <f t="shared" si="21"/>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7"/>
      <c r="P628" s="1223"/>
      <c r="Q628" s="1224"/>
      <c r="R628" s="1225"/>
      <c r="S628" s="1220"/>
      <c r="T628" s="1221"/>
      <c r="U628" s="1222"/>
      <c r="V628" s="1223"/>
      <c r="W628" s="1224"/>
      <c r="X628" s="1224"/>
      <c r="Y628" s="1224"/>
      <c r="Z628" s="1224"/>
      <c r="AA628" s="1225"/>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8">
        <f t="shared" si="17"/>
        <v>0</v>
      </c>
      <c r="BG628" s="1198"/>
      <c r="BH628" s="1198"/>
      <c r="BI628" s="1198"/>
      <c r="BJ628" s="1198"/>
      <c r="BK628" s="1198">
        <f t="shared" si="18"/>
        <v>0</v>
      </c>
      <c r="BL628" s="1198"/>
      <c r="BM628" s="1198"/>
      <c r="BN628" s="1198"/>
      <c r="BO628" s="1198"/>
      <c r="BP628" s="1198">
        <f t="shared" si="19"/>
        <v>0</v>
      </c>
      <c r="BQ628" s="1198"/>
      <c r="BR628" s="1198"/>
      <c r="BS628" s="1198"/>
      <c r="BT628" s="1198"/>
      <c r="BU628" s="1198">
        <f t="shared" si="20"/>
        <v>0</v>
      </c>
      <c r="BV628" s="1198"/>
      <c r="BW628" s="1198"/>
      <c r="BX628" s="1198"/>
      <c r="BY628" s="1198"/>
      <c r="BZ628" s="1198">
        <f t="shared" si="21"/>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387</v>
      </c>
      <c r="C629" s="1226"/>
      <c r="D629" s="1102"/>
      <c r="E629" s="1102"/>
      <c r="F629" s="1102"/>
      <c r="G629" s="1102"/>
      <c r="H629" s="1102"/>
      <c r="I629" s="1102"/>
      <c r="J629" s="1102"/>
      <c r="K629" s="1102"/>
      <c r="L629" s="1102"/>
      <c r="M629" s="1102"/>
      <c r="N629" s="1102"/>
      <c r="O629" s="1227"/>
      <c r="P629" s="1223"/>
      <c r="Q629" s="1224"/>
      <c r="R629" s="1225"/>
      <c r="S629" s="1220"/>
      <c r="T629" s="1221"/>
      <c r="U629" s="1222"/>
      <c r="V629" s="1223"/>
      <c r="W629" s="1224"/>
      <c r="X629" s="1224"/>
      <c r="Y629" s="1224"/>
      <c r="Z629" s="1224"/>
      <c r="AA629" s="1225"/>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8">
        <f t="shared" si="17"/>
        <v>0</v>
      </c>
      <c r="BG629" s="1198"/>
      <c r="BH629" s="1198"/>
      <c r="BI629" s="1198"/>
      <c r="BJ629" s="1198"/>
      <c r="BK629" s="1198">
        <f t="shared" si="18"/>
        <v>0</v>
      </c>
      <c r="BL629" s="1198"/>
      <c r="BM629" s="1198"/>
      <c r="BN629" s="1198"/>
      <c r="BO629" s="1198"/>
      <c r="BP629" s="1198">
        <f t="shared" si="19"/>
        <v>0</v>
      </c>
      <c r="BQ629" s="1198"/>
      <c r="BR629" s="1198"/>
      <c r="BS629" s="1198"/>
      <c r="BT629" s="1198"/>
      <c r="BU629" s="1198">
        <f t="shared" si="20"/>
        <v>0</v>
      </c>
      <c r="BV629" s="1198"/>
      <c r="BW629" s="1198"/>
      <c r="BX629" s="1198"/>
      <c r="BY629" s="1198"/>
      <c r="BZ629" s="1198">
        <f t="shared" si="21"/>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8">
        <f>SUM(AG618:AJ629)</f>
        <v>35853137</v>
      </c>
      <c r="AH630" s="1209"/>
      <c r="AI630" s="1209"/>
      <c r="AJ630" s="1209"/>
      <c r="AK630" s="1210"/>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8">
        <f t="shared" si="17"/>
        <v>0</v>
      </c>
      <c r="BG630" s="1198"/>
      <c r="BH630" s="1198"/>
      <c r="BI630" s="1198"/>
      <c r="BJ630" s="1198"/>
      <c r="BK630" s="1198">
        <f t="shared" si="18"/>
        <v>0</v>
      </c>
      <c r="BL630" s="1198"/>
      <c r="BM630" s="1198"/>
      <c r="BN630" s="1198"/>
      <c r="BO630" s="1198"/>
      <c r="BP630" s="1198">
        <f t="shared" si="19"/>
        <v>0</v>
      </c>
      <c r="BQ630" s="1198"/>
      <c r="BR630" s="1198"/>
      <c r="BS630" s="1198"/>
      <c r="BT630" s="1198"/>
      <c r="BU630" s="1198">
        <f t="shared" si="20"/>
        <v>0</v>
      </c>
      <c r="BV630" s="1198"/>
      <c r="BW630" s="1198"/>
      <c r="BX630" s="1198"/>
      <c r="BY630" s="1198"/>
      <c r="BZ630" s="1198">
        <f t="shared" si="21"/>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v>45949564</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8">
        <f t="shared" si="17"/>
        <v>0</v>
      </c>
      <c r="BG631" s="1198"/>
      <c r="BH631" s="1198"/>
      <c r="BI631" s="1198"/>
      <c r="BJ631" s="1198"/>
      <c r="BK631" s="1198">
        <f t="shared" si="18"/>
        <v>0</v>
      </c>
      <c r="BL631" s="1198"/>
      <c r="BM631" s="1198"/>
      <c r="BN631" s="1198"/>
      <c r="BO631" s="1198"/>
      <c r="BP631" s="1198">
        <f t="shared" si="19"/>
        <v>0</v>
      </c>
      <c r="BQ631" s="1198"/>
      <c r="BR631" s="1198"/>
      <c r="BS631" s="1198"/>
      <c r="BT631" s="1198"/>
      <c r="BU631" s="1198">
        <f t="shared" si="20"/>
        <v>0</v>
      </c>
      <c r="BV631" s="1198"/>
      <c r="BW631" s="1198"/>
      <c r="BX631" s="1198"/>
      <c r="BY631" s="1198"/>
      <c r="BZ631" s="1198">
        <f t="shared" si="21"/>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8">
        <f>AG630+AG631</f>
        <v>81802701</v>
      </c>
      <c r="AH632" s="1209"/>
      <c r="AI632" s="1209"/>
      <c r="AJ632" s="1209"/>
      <c r="AK632" s="1210"/>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8">
        <f t="shared" si="17"/>
        <v>0</v>
      </c>
      <c r="BG632" s="1198"/>
      <c r="BH632" s="1198"/>
      <c r="BI632" s="1198"/>
      <c r="BJ632" s="1198"/>
      <c r="BK632" s="1198">
        <f t="shared" si="18"/>
        <v>0</v>
      </c>
      <c r="BL632" s="1198"/>
      <c r="BM632" s="1198"/>
      <c r="BN632" s="1198"/>
      <c r="BO632" s="1198"/>
      <c r="BP632" s="1198">
        <f t="shared" si="19"/>
        <v>0</v>
      </c>
      <c r="BQ632" s="1198"/>
      <c r="BR632" s="1198"/>
      <c r="BS632" s="1198"/>
      <c r="BT632" s="1198"/>
      <c r="BU632" s="1198">
        <f t="shared" si="20"/>
        <v>0</v>
      </c>
      <c r="BV632" s="1198"/>
      <c r="BW632" s="1198"/>
      <c r="BX632" s="1198"/>
      <c r="BY632" s="1198"/>
      <c r="BZ632" s="1198">
        <f t="shared" si="21"/>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9" t="str">
        <f>C618</f>
        <v>CCRC- Perm Loan</v>
      </c>
      <c r="H634" s="1099"/>
      <c r="I634" s="1099"/>
      <c r="J634" s="1099"/>
      <c r="K634" s="1099"/>
      <c r="L634" s="1099"/>
      <c r="M634" s="1099"/>
      <c r="N634" s="1099"/>
      <c r="O634" s="1099"/>
      <c r="P634" s="1099"/>
      <c r="Q634" s="1099"/>
      <c r="R634" s="1099"/>
      <c r="S634" s="14"/>
      <c r="T634" s="87" t="s">
        <v>120</v>
      </c>
      <c r="U634" s="12" t="s">
        <v>509</v>
      </c>
      <c r="Z634" s="1099" t="str">
        <f>C619</f>
        <v>HCID - HOME</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1773</v>
      </c>
      <c r="H635" s="1097"/>
      <c r="I635" s="1097"/>
      <c r="J635" s="1097"/>
      <c r="K635" s="1097"/>
      <c r="L635" s="1097"/>
      <c r="M635" s="1097"/>
      <c r="N635" s="1097"/>
      <c r="O635" s="1097"/>
      <c r="P635" s="1097"/>
      <c r="Q635" s="1097"/>
      <c r="R635" s="1097"/>
      <c r="S635" s="14"/>
      <c r="T635" s="35"/>
      <c r="U635" s="12" t="s">
        <v>92</v>
      </c>
      <c r="Z635" s="1097" t="s">
        <v>1733</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5">
        <f>BA614+BA621+BA633</f>
        <v>20</v>
      </c>
      <c r="BB635" s="1136"/>
      <c r="BC635" s="1136"/>
      <c r="BD635" s="1136"/>
      <c r="BE635" s="1137"/>
      <c r="BF635" s="1135">
        <f>BF614+BF621+BF633</f>
        <v>70</v>
      </c>
      <c r="BG635" s="1136"/>
      <c r="BH635" s="1136"/>
      <c r="BI635" s="1136"/>
      <c r="BJ635" s="1137"/>
      <c r="BK635" s="1135">
        <f>BK614+BK621+BK633</f>
        <v>39</v>
      </c>
      <c r="BL635" s="1136"/>
      <c r="BM635" s="1136"/>
      <c r="BN635" s="1136"/>
      <c r="BO635" s="1137"/>
      <c r="BP635" s="1135">
        <f>BP614+BP621+BP633</f>
        <v>23</v>
      </c>
      <c r="BQ635" s="1136"/>
      <c r="BR635" s="1136"/>
      <c r="BS635" s="1136"/>
      <c r="BT635" s="1137"/>
      <c r="BU635" s="1135">
        <f>BU614+BU621+BU633</f>
        <v>0</v>
      </c>
      <c r="BV635" s="1136"/>
      <c r="BW635" s="1136"/>
      <c r="BX635" s="1136"/>
      <c r="BY635" s="1137"/>
      <c r="BZ635" s="1520">
        <f>BZ633+BZ621+BZ614</f>
        <v>0</v>
      </c>
      <c r="CA635" s="1528"/>
      <c r="CB635" s="1528"/>
      <c r="CC635" s="1528"/>
      <c r="CD635" s="1521"/>
      <c r="CE635" s="58"/>
      <c r="CF635" s="58"/>
      <c r="CG635" s="58"/>
      <c r="CH635" s="58"/>
      <c r="CI635" s="58"/>
      <c r="CJ635" s="58"/>
      <c r="CK635" s="58"/>
      <c r="CL635" s="58"/>
      <c r="CM635" s="58"/>
      <c r="CN635" s="58"/>
      <c r="CO635" s="58"/>
      <c r="CP635" s="58"/>
      <c r="CQ635" s="58"/>
      <c r="CR635" s="58"/>
    </row>
    <row r="636" spans="1:96" ht="12.75">
      <c r="A636" s="35"/>
      <c r="B636" s="12" t="s">
        <v>630</v>
      </c>
      <c r="G636" s="1095" t="s">
        <v>1774</v>
      </c>
      <c r="H636" s="1097"/>
      <c r="I636" s="1097"/>
      <c r="J636" s="1097"/>
      <c r="K636" s="1097"/>
      <c r="L636" s="1097"/>
      <c r="M636" s="1097"/>
      <c r="N636" s="1097"/>
      <c r="O636" s="1097"/>
      <c r="P636" s="1097"/>
      <c r="Q636" s="1097"/>
      <c r="R636" s="1097"/>
      <c r="S636" s="88"/>
      <c r="T636" s="35"/>
      <c r="U636" s="12" t="s">
        <v>630</v>
      </c>
      <c r="Z636" s="1226" t="s">
        <v>540</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1771</v>
      </c>
      <c r="H637" s="1097"/>
      <c r="I637" s="1097"/>
      <c r="J637" s="1097"/>
      <c r="K637" s="1097"/>
      <c r="L637" s="1097"/>
      <c r="M637" s="1097"/>
      <c r="N637" s="1097"/>
      <c r="O637" s="1097"/>
      <c r="P637" s="1097"/>
      <c r="Q637" s="1097"/>
      <c r="R637" s="1097"/>
      <c r="S637" s="14"/>
      <c r="T637" s="35"/>
      <c r="U637" s="12" t="s">
        <v>19</v>
      </c>
      <c r="Z637" s="1119" t="s">
        <v>1734</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1772</v>
      </c>
      <c r="H638" s="1101"/>
      <c r="I638" s="1101"/>
      <c r="J638" s="1101"/>
      <c r="K638" s="1101"/>
      <c r="L638" s="1101"/>
      <c r="O638" s="140" t="s">
        <v>220</v>
      </c>
      <c r="P638" s="1102"/>
      <c r="Q638" s="1102"/>
      <c r="R638" s="1102"/>
      <c r="S638" s="16"/>
      <c r="T638" s="35"/>
      <c r="U638" s="12" t="s">
        <v>338</v>
      </c>
      <c r="Z638" s="1100" t="s">
        <v>1735</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1775</v>
      </c>
      <c r="I639" s="1097"/>
      <c r="J639" s="1097"/>
      <c r="K639" s="1097"/>
      <c r="L639" s="1097"/>
      <c r="M639" s="1097"/>
      <c r="N639" s="1097"/>
      <c r="O639" s="1097"/>
      <c r="P639" s="1097"/>
      <c r="Q639" s="1097"/>
      <c r="R639" s="1097"/>
      <c r="S639" s="14"/>
      <c r="T639" s="35"/>
      <c r="U639" s="12" t="s">
        <v>20</v>
      </c>
      <c r="AA639" s="1097" t="s">
        <v>1736</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591</v>
      </c>
      <c r="O640" s="1098"/>
      <c r="T640" s="35"/>
      <c r="U640" s="12" t="s">
        <v>22</v>
      </c>
      <c r="AG640" s="1098" t="s">
        <v>591</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9" t="str">
        <f>C620</f>
        <v>HCD - AHSC</v>
      </c>
      <c r="H642" s="1099"/>
      <c r="I642" s="1099"/>
      <c r="J642" s="1099"/>
      <c r="K642" s="1099"/>
      <c r="L642" s="1099"/>
      <c r="M642" s="1099"/>
      <c r="N642" s="1099"/>
      <c r="O642" s="1099"/>
      <c r="P642" s="1099"/>
      <c r="Q642" s="1099"/>
      <c r="R642" s="1099"/>
      <c r="T642" s="87" t="s">
        <v>631</v>
      </c>
      <c r="U642" s="12" t="s">
        <v>509</v>
      </c>
      <c r="Z642" s="1099" t="str">
        <f>C621</f>
        <v>HCID - Ground Lease</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1742</v>
      </c>
      <c r="H643" s="1097"/>
      <c r="I643" s="1097"/>
      <c r="J643" s="1097"/>
      <c r="K643" s="1097"/>
      <c r="L643" s="1097"/>
      <c r="M643" s="1097"/>
      <c r="N643" s="1097"/>
      <c r="O643" s="1097"/>
      <c r="P643" s="1097"/>
      <c r="Q643" s="1097"/>
      <c r="R643" s="1097"/>
      <c r="T643" s="35"/>
      <c r="U643" s="12" t="s">
        <v>92</v>
      </c>
      <c r="Z643" s="1097" t="s">
        <v>1733</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9" t="s">
        <v>1743</v>
      </c>
      <c r="H644" s="1119"/>
      <c r="I644" s="1119"/>
      <c r="J644" s="1119"/>
      <c r="K644" s="1119"/>
      <c r="L644" s="1119"/>
      <c r="M644" s="1119"/>
      <c r="N644" s="1119"/>
      <c r="O644" s="1119"/>
      <c r="P644" s="1119"/>
      <c r="Q644" s="1119"/>
      <c r="R644" s="1119"/>
      <c r="T644" s="35"/>
      <c r="U644" s="12" t="s">
        <v>630</v>
      </c>
      <c r="Z644" s="1119" t="s">
        <v>540</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1744</v>
      </c>
      <c r="H645" s="1119"/>
      <c r="I645" s="1119"/>
      <c r="J645" s="1119"/>
      <c r="K645" s="1119"/>
      <c r="L645" s="1119"/>
      <c r="M645" s="1119"/>
      <c r="N645" s="1119"/>
      <c r="O645" s="1119"/>
      <c r="P645" s="1119"/>
      <c r="Q645" s="1119"/>
      <c r="R645" s="1119"/>
      <c r="T645" s="35"/>
      <c r="U645" s="12" t="s">
        <v>19</v>
      </c>
      <c r="Z645" s="1119" t="s">
        <v>1734</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1745</v>
      </c>
      <c r="H646" s="1101"/>
      <c r="I646" s="1101"/>
      <c r="J646" s="1101"/>
      <c r="K646" s="1101"/>
      <c r="L646" s="1101"/>
      <c r="O646" s="140" t="s">
        <v>220</v>
      </c>
      <c r="P646" s="1102"/>
      <c r="Q646" s="1102"/>
      <c r="R646" s="1102"/>
      <c r="T646" s="35"/>
      <c r="U646" s="12" t="s">
        <v>338</v>
      </c>
      <c r="Z646" s="1100" t="s">
        <v>1735</v>
      </c>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1736</v>
      </c>
      <c r="I647" s="1097"/>
      <c r="J647" s="1097"/>
      <c r="K647" s="1097"/>
      <c r="L647" s="1097"/>
      <c r="M647" s="1097"/>
      <c r="N647" s="1097"/>
      <c r="O647" s="1097"/>
      <c r="P647" s="1097"/>
      <c r="Q647" s="1097"/>
      <c r="R647" s="1097"/>
      <c r="T647" s="35"/>
      <c r="U647" s="12" t="s">
        <v>20</v>
      </c>
      <c r="AA647" s="1097" t="s">
        <v>1736</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591</v>
      </c>
      <c r="O648" s="1098"/>
      <c r="T648" s="35"/>
      <c r="U648" s="12" t="s">
        <v>22</v>
      </c>
      <c r="AG648" s="1098" t="s">
        <v>591</v>
      </c>
      <c r="AH648" s="109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9" t="str">
        <f>C622</f>
        <v>Deferred Interest on Soft Loans</v>
      </c>
      <c r="H650" s="1099"/>
      <c r="I650" s="1099"/>
      <c r="J650" s="1099"/>
      <c r="K650" s="1099"/>
      <c r="L650" s="1099"/>
      <c r="M650" s="1099"/>
      <c r="N650" s="1099"/>
      <c r="O650" s="1099"/>
      <c r="P650" s="1099"/>
      <c r="Q650" s="1099"/>
      <c r="R650" s="1099"/>
      <c r="T650" s="87" t="s">
        <v>634</v>
      </c>
      <c r="U650" s="12" t="s">
        <v>509</v>
      </c>
      <c r="Z650" s="1099" t="str">
        <f>C623</f>
        <v>Deferred Developer Fee</v>
      </c>
      <c r="AA650" s="1099"/>
      <c r="AB650" s="1099"/>
      <c r="AC650" s="1099"/>
      <c r="AD650" s="1099"/>
      <c r="AE650" s="1099"/>
      <c r="AF650" s="1099"/>
      <c r="AG650" s="1099"/>
      <c r="AH650" s="1099"/>
      <c r="AI650" s="1099"/>
      <c r="AJ650" s="1099"/>
      <c r="AK650" s="1099"/>
      <c r="AM650" s="58"/>
      <c r="AN650" s="463">
        <f t="shared" si="22"/>
        <v>1826</v>
      </c>
      <c r="AO650" s="58"/>
      <c r="AP650" s="58"/>
      <c r="AQ650" s="58"/>
      <c r="AR650" s="58"/>
      <c r="AS650" s="399"/>
      <c r="AT650" s="473">
        <f t="shared" ref="AT650:AT674" si="23">G709</f>
        <v>1</v>
      </c>
      <c r="AU650" s="477">
        <f>AT650/$AT$675</f>
        <v>6.6225165562913907E-3</v>
      </c>
      <c r="AV650" s="478">
        <f t="shared" ref="AV650:AV674" si="24">IF(AU650=0," ",AU650*AD709)</f>
        <v>1.9867549668874172E-3</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t="s">
        <v>1733</v>
      </c>
      <c r="H651" s="1097"/>
      <c r="I651" s="1097"/>
      <c r="J651" s="1097"/>
      <c r="K651" s="1097"/>
      <c r="L651" s="1097"/>
      <c r="M651" s="1097"/>
      <c r="N651" s="1097"/>
      <c r="O651" s="1097"/>
      <c r="P651" s="1097"/>
      <c r="Q651" s="1097"/>
      <c r="R651" s="1097"/>
      <c r="T651" s="35"/>
      <c r="U651" s="12" t="s">
        <v>92</v>
      </c>
      <c r="Z651" s="1097" t="s">
        <v>1654</v>
      </c>
      <c r="AA651" s="1097"/>
      <c r="AB651" s="1097"/>
      <c r="AC651" s="1097"/>
      <c r="AD651" s="1097"/>
      <c r="AE651" s="1097"/>
      <c r="AF651" s="1097"/>
      <c r="AG651" s="1097"/>
      <c r="AH651" s="1097"/>
      <c r="AI651" s="1097"/>
      <c r="AJ651" s="1097"/>
      <c r="AK651" s="1097"/>
      <c r="AM651" s="58"/>
      <c r="AN651" s="463">
        <f t="shared" si="22"/>
        <v>1826</v>
      </c>
      <c r="AO651" s="58"/>
      <c r="AP651" s="58"/>
      <c r="AQ651" s="58"/>
      <c r="AR651" s="58"/>
      <c r="AS651" s="399"/>
      <c r="AT651" s="474">
        <f t="shared" si="23"/>
        <v>3</v>
      </c>
      <c r="AU651" s="477">
        <f t="shared" ref="AU651:AU674" si="25">AT651/$AT$675</f>
        <v>1.9867549668874173E-2</v>
      </c>
      <c r="AV651" s="478">
        <f t="shared" si="24"/>
        <v>7.9470198675496689E-3</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7" t="s">
        <v>540</v>
      </c>
      <c r="H652" s="1097"/>
      <c r="I652" s="1097"/>
      <c r="J652" s="1097"/>
      <c r="K652" s="1097"/>
      <c r="L652" s="1097"/>
      <c r="M652" s="1097"/>
      <c r="N652" s="1097"/>
      <c r="O652" s="1097"/>
      <c r="P652" s="1097"/>
      <c r="Q652" s="1097"/>
      <c r="R652" s="1097"/>
      <c r="T652" s="35"/>
      <c r="U652" s="12" t="s">
        <v>630</v>
      </c>
      <c r="Z652" s="1119" t="s">
        <v>540</v>
      </c>
      <c r="AA652" s="1119"/>
      <c r="AB652" s="1119"/>
      <c r="AC652" s="1119"/>
      <c r="AD652" s="1119"/>
      <c r="AE652" s="1119"/>
      <c r="AF652" s="1119"/>
      <c r="AG652" s="1119"/>
      <c r="AH652" s="1119"/>
      <c r="AI652" s="1119"/>
      <c r="AJ652" s="1119"/>
      <c r="AK652" s="1119"/>
      <c r="AM652" s="58"/>
      <c r="AN652" s="463">
        <f t="shared" si="22"/>
        <v>1826</v>
      </c>
      <c r="AO652" s="58"/>
      <c r="AP652" s="58"/>
      <c r="AQ652" s="58"/>
      <c r="AR652" s="58"/>
      <c r="AS652" s="399"/>
      <c r="AT652" s="474">
        <f t="shared" si="23"/>
        <v>4</v>
      </c>
      <c r="AU652" s="477">
        <f t="shared" si="25"/>
        <v>2.6490066225165563E-2</v>
      </c>
      <c r="AV652" s="478">
        <f t="shared" si="24"/>
        <v>1.3245033112582781E-2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t="s">
        <v>1734</v>
      </c>
      <c r="H653" s="1097"/>
      <c r="I653" s="1097"/>
      <c r="J653" s="1097"/>
      <c r="K653" s="1097"/>
      <c r="L653" s="1097"/>
      <c r="M653" s="1097"/>
      <c r="N653" s="1097"/>
      <c r="O653" s="1097"/>
      <c r="P653" s="1097"/>
      <c r="Q653" s="1097"/>
      <c r="R653" s="1097"/>
      <c r="T653" s="35"/>
      <c r="U653" s="12" t="s">
        <v>19</v>
      </c>
      <c r="Z653" s="1119" t="s">
        <v>1656</v>
      </c>
      <c r="AA653" s="1119"/>
      <c r="AB653" s="1119"/>
      <c r="AC653" s="1119"/>
      <c r="AD653" s="1119"/>
      <c r="AE653" s="1119"/>
      <c r="AF653" s="1119"/>
      <c r="AG653" s="1119"/>
      <c r="AH653" s="1119"/>
      <c r="AI653" s="1119"/>
      <c r="AJ653" s="1119"/>
      <c r="AK653" s="1119"/>
      <c r="AM653" s="58"/>
      <c r="AN653" s="463">
        <f t="shared" si="22"/>
        <v>1958</v>
      </c>
      <c r="AO653" s="58"/>
      <c r="AP653" s="58"/>
      <c r="AQ653" s="58"/>
      <c r="AR653" s="58"/>
      <c r="AS653" s="399"/>
      <c r="AT653" s="474">
        <f t="shared" si="23"/>
        <v>7</v>
      </c>
      <c r="AU653" s="477">
        <f t="shared" si="25"/>
        <v>4.6357615894039736E-2</v>
      </c>
      <c r="AV653" s="478">
        <f t="shared" si="24"/>
        <v>2.781456953642384E-2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t="s">
        <v>1735</v>
      </c>
      <c r="H654" s="1101"/>
      <c r="I654" s="1101"/>
      <c r="J654" s="1101"/>
      <c r="K654" s="1101"/>
      <c r="L654" s="1101"/>
      <c r="O654" s="140" t="s">
        <v>220</v>
      </c>
      <c r="P654" s="1102"/>
      <c r="Q654" s="1102"/>
      <c r="R654" s="1102"/>
      <c r="T654" s="35"/>
      <c r="U654" s="12" t="s">
        <v>338</v>
      </c>
      <c r="Z654" s="1100" t="s">
        <v>1657</v>
      </c>
      <c r="AA654" s="1101"/>
      <c r="AB654" s="1101"/>
      <c r="AC654" s="1101"/>
      <c r="AD654" s="1101"/>
      <c r="AE654" s="1101"/>
      <c r="AH654" s="140" t="s">
        <v>220</v>
      </c>
      <c r="AI654" s="1102"/>
      <c r="AJ654" s="1102"/>
      <c r="AK654" s="1102"/>
      <c r="AM654" s="58"/>
      <c r="AN654" s="463">
        <f t="shared" si="22"/>
        <v>1958</v>
      </c>
      <c r="AO654" s="58"/>
      <c r="AP654" s="58"/>
      <c r="AQ654" s="58"/>
      <c r="AR654" s="58"/>
      <c r="AS654" s="399"/>
      <c r="AT654" s="474">
        <f t="shared" si="23"/>
        <v>3</v>
      </c>
      <c r="AU654" s="477">
        <f t="shared" si="25"/>
        <v>1.9867549668874173E-2</v>
      </c>
      <c r="AV654" s="478">
        <f t="shared" si="24"/>
        <v>5.9602649006622521E-3</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t="s">
        <v>1783</v>
      </c>
      <c r="I655" s="1097"/>
      <c r="J655" s="1097"/>
      <c r="K655" s="1097"/>
      <c r="L655" s="1097"/>
      <c r="M655" s="1097"/>
      <c r="N655" s="1097"/>
      <c r="O655" s="1097"/>
      <c r="P655" s="1097"/>
      <c r="Q655" s="1097"/>
      <c r="R655" s="1097"/>
      <c r="T655" s="35"/>
      <c r="U655" s="12" t="s">
        <v>20</v>
      </c>
      <c r="AA655" s="1095" t="s">
        <v>1781</v>
      </c>
      <c r="AB655" s="1097"/>
      <c r="AC655" s="1097"/>
      <c r="AD655" s="1097"/>
      <c r="AE655" s="1097"/>
      <c r="AF655" s="1097"/>
      <c r="AG655" s="1097"/>
      <c r="AH655" s="1097"/>
      <c r="AI655" s="1097"/>
      <c r="AJ655" s="1097"/>
      <c r="AK655" s="1097"/>
      <c r="AM655" s="58"/>
      <c r="AN655" s="463">
        <f t="shared" si="22"/>
        <v>1958</v>
      </c>
      <c r="AO655" s="58"/>
      <c r="AP655" s="58"/>
      <c r="AQ655" s="58"/>
      <c r="AR655" s="58"/>
      <c r="AS655" s="399"/>
      <c r="AT655" s="474">
        <f t="shared" si="23"/>
        <v>13</v>
      </c>
      <c r="AU655" s="477">
        <f t="shared" si="25"/>
        <v>8.6092715231788075E-2</v>
      </c>
      <c r="AV655" s="478">
        <f t="shared" si="24"/>
        <v>3.443708609271523E-2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591</v>
      </c>
      <c r="O656" s="1098"/>
      <c r="T656" s="35"/>
      <c r="U656" s="12" t="s">
        <v>22</v>
      </c>
      <c r="AG656" s="1098" t="s">
        <v>591</v>
      </c>
      <c r="AH656" s="1098"/>
      <c r="AM656" s="58"/>
      <c r="AN656" s="463">
        <f t="shared" si="22"/>
        <v>1958</v>
      </c>
      <c r="AO656" s="58"/>
      <c r="AP656" s="58"/>
      <c r="AQ656" s="58"/>
      <c r="AR656" s="58"/>
      <c r="AS656" s="399"/>
      <c r="AT656" s="474">
        <f t="shared" si="23"/>
        <v>13</v>
      </c>
      <c r="AU656" s="477">
        <f t="shared" si="25"/>
        <v>8.6092715231788075E-2</v>
      </c>
      <c r="AV656" s="478">
        <f t="shared" si="24"/>
        <v>4.3046357615894038E-2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1958</v>
      </c>
      <c r="AO657" s="58"/>
      <c r="AP657" s="58"/>
      <c r="AQ657" s="58"/>
      <c r="AR657" s="58"/>
      <c r="AS657" s="399"/>
      <c r="AT657" s="474">
        <f t="shared" si="23"/>
        <v>25</v>
      </c>
      <c r="AU657" s="477">
        <f t="shared" si="25"/>
        <v>0.16556291390728478</v>
      </c>
      <c r="AV657" s="478">
        <f t="shared" si="24"/>
        <v>9.9337748344370869E-2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9">
        <f>C624</f>
        <v>0</v>
      </c>
      <c r="H658" s="1099"/>
      <c r="I658" s="1099"/>
      <c r="J658" s="1099"/>
      <c r="K658" s="1099"/>
      <c r="L658" s="1099"/>
      <c r="M658" s="1099"/>
      <c r="N658" s="1099"/>
      <c r="O658" s="1099"/>
      <c r="P658" s="1099"/>
      <c r="Q658" s="1099"/>
      <c r="R658" s="1099"/>
      <c r="T658" s="87" t="s">
        <v>501</v>
      </c>
      <c r="U658" s="12" t="s">
        <v>509</v>
      </c>
      <c r="Z658" s="1099">
        <f>C625</f>
        <v>0</v>
      </c>
      <c r="AA658" s="1099"/>
      <c r="AB658" s="1099"/>
      <c r="AC658" s="1099"/>
      <c r="AD658" s="1099"/>
      <c r="AE658" s="1099"/>
      <c r="AF658" s="1099"/>
      <c r="AG658" s="1099"/>
      <c r="AH658" s="1099"/>
      <c r="AI658" s="1099"/>
      <c r="AJ658" s="1099"/>
      <c r="AK658" s="1099"/>
      <c r="AM658" s="58"/>
      <c r="AN658" s="463">
        <f t="shared" si="22"/>
        <v>2350</v>
      </c>
      <c r="AO658" s="58"/>
      <c r="AP658" s="58"/>
      <c r="AQ658" s="58"/>
      <c r="AR658" s="58"/>
      <c r="AS658" s="399"/>
      <c r="AT658" s="474">
        <f t="shared" si="23"/>
        <v>16</v>
      </c>
      <c r="AU658" s="477">
        <f t="shared" si="25"/>
        <v>0.10596026490066225</v>
      </c>
      <c r="AV658" s="478">
        <f t="shared" si="24"/>
        <v>8.4768211920529801E-2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f t="shared" si="22"/>
        <v>2350</v>
      </c>
      <c r="AO659" s="58"/>
      <c r="AP659" s="58"/>
      <c r="AQ659" s="58"/>
      <c r="AR659" s="58"/>
      <c r="AS659" s="399"/>
      <c r="AT659" s="474">
        <f t="shared" si="23"/>
        <v>3</v>
      </c>
      <c r="AU659" s="477">
        <f t="shared" si="25"/>
        <v>1.9867549668874173E-2</v>
      </c>
      <c r="AV659" s="478">
        <f t="shared" si="24"/>
        <v>5.9602649006622521E-3</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7"/>
      <c r="H660" s="1097"/>
      <c r="I660" s="1097"/>
      <c r="J660" s="1097"/>
      <c r="K660" s="1097"/>
      <c r="L660" s="1097"/>
      <c r="M660" s="1097"/>
      <c r="N660" s="1097"/>
      <c r="O660" s="1097"/>
      <c r="P660" s="1097"/>
      <c r="Q660" s="1097"/>
      <c r="R660" s="1097"/>
      <c r="T660" s="35"/>
      <c r="U660" s="12" t="s">
        <v>630</v>
      </c>
      <c r="Z660" s="1119"/>
      <c r="AA660" s="1119"/>
      <c r="AB660" s="1119"/>
      <c r="AC660" s="1119"/>
      <c r="AD660" s="1119"/>
      <c r="AE660" s="1119"/>
      <c r="AF660" s="1119"/>
      <c r="AG660" s="1119"/>
      <c r="AH660" s="1119"/>
      <c r="AI660" s="1119"/>
      <c r="AJ660" s="1119"/>
      <c r="AK660" s="1119"/>
      <c r="AM660" s="58"/>
      <c r="AN660" s="463">
        <f t="shared" si="22"/>
        <v>2350</v>
      </c>
      <c r="AO660" s="58"/>
      <c r="AP660" s="58"/>
      <c r="AQ660" s="58"/>
      <c r="AR660" s="58"/>
      <c r="AS660" s="399"/>
      <c r="AT660" s="474">
        <f t="shared" si="23"/>
        <v>6</v>
      </c>
      <c r="AU660" s="477">
        <f t="shared" si="25"/>
        <v>3.9735099337748346E-2</v>
      </c>
      <c r="AV660" s="478">
        <f t="shared" si="24"/>
        <v>1.5894039735099338E-2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f t="shared" si="22"/>
        <v>2350</v>
      </c>
      <c r="AO661" s="58"/>
      <c r="AP661" s="58"/>
      <c r="AQ661" s="58"/>
      <c r="AR661" s="58"/>
      <c r="AS661" s="399"/>
      <c r="AT661" s="474">
        <f t="shared" si="23"/>
        <v>6</v>
      </c>
      <c r="AU661" s="477">
        <f t="shared" si="25"/>
        <v>3.9735099337748346E-2</v>
      </c>
      <c r="AV661" s="478">
        <f t="shared" si="24"/>
        <v>1.9867549668874173E-2</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c r="H662" s="1101"/>
      <c r="I662" s="1101"/>
      <c r="J662" s="1101"/>
      <c r="K662" s="1101"/>
      <c r="L662" s="1101"/>
      <c r="O662" s="140" t="s">
        <v>220</v>
      </c>
      <c r="P662" s="1102"/>
      <c r="Q662" s="1102"/>
      <c r="R662" s="1102"/>
      <c r="T662" s="35"/>
      <c r="U662" s="12" t="s">
        <v>338</v>
      </c>
      <c r="Z662" s="1100"/>
      <c r="AA662" s="1101"/>
      <c r="AB662" s="1101"/>
      <c r="AC662" s="1101"/>
      <c r="AD662" s="1101"/>
      <c r="AE662" s="1101"/>
      <c r="AH662" s="140" t="s">
        <v>220</v>
      </c>
      <c r="AI662" s="1102"/>
      <c r="AJ662" s="1102"/>
      <c r="AK662" s="1102"/>
      <c r="AM662" s="58"/>
      <c r="AN662" s="463">
        <f t="shared" si="22"/>
        <v>2350</v>
      </c>
      <c r="AO662" s="58"/>
      <c r="AP662" s="58"/>
      <c r="AQ662" s="58"/>
      <c r="AR662" s="58"/>
      <c r="AS662" s="399"/>
      <c r="AT662" s="474">
        <f t="shared" si="23"/>
        <v>14</v>
      </c>
      <c r="AU662" s="477">
        <f t="shared" si="25"/>
        <v>9.2715231788079472E-2</v>
      </c>
      <c r="AV662" s="478">
        <f t="shared" si="24"/>
        <v>5.562913907284768E-2</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f t="shared" si="22"/>
        <v>2714</v>
      </c>
      <c r="AO663" s="58"/>
      <c r="AP663" s="58"/>
      <c r="AQ663" s="58"/>
      <c r="AR663" s="58"/>
      <c r="AS663" s="399"/>
      <c r="AT663" s="474">
        <f t="shared" si="23"/>
        <v>10</v>
      </c>
      <c r="AU663" s="477">
        <f t="shared" si="25"/>
        <v>6.6225165562913912E-2</v>
      </c>
      <c r="AV663" s="478">
        <f t="shared" si="24"/>
        <v>5.2980132450331133E-2</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c r="O664" s="1098"/>
      <c r="T664" s="35"/>
      <c r="U664" s="12" t="s">
        <v>22</v>
      </c>
      <c r="AG664" s="1098"/>
      <c r="AH664" s="1098"/>
      <c r="AM664" s="58"/>
      <c r="AN664" s="463">
        <f t="shared" si="22"/>
        <v>2714</v>
      </c>
      <c r="AO664" s="58"/>
      <c r="AP664" s="58"/>
      <c r="AQ664" s="58"/>
      <c r="AR664" s="58"/>
      <c r="AS664" s="399"/>
      <c r="AT664" s="474">
        <f t="shared" si="23"/>
        <v>2</v>
      </c>
      <c r="AU664" s="477">
        <f t="shared" si="25"/>
        <v>1.3245033112582781E-2</v>
      </c>
      <c r="AV664" s="478">
        <f t="shared" si="24"/>
        <v>3.9735099337748344E-3</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2714</v>
      </c>
      <c r="AO665" s="58"/>
      <c r="AP665" s="58"/>
      <c r="AQ665" s="58"/>
      <c r="AR665" s="58"/>
      <c r="AS665" s="399"/>
      <c r="AT665" s="474">
        <f t="shared" si="23"/>
        <v>4</v>
      </c>
      <c r="AU665" s="477">
        <f t="shared" si="25"/>
        <v>2.6490066225165563E-2</v>
      </c>
      <c r="AV665" s="478">
        <f t="shared" si="24"/>
        <v>1.0596026490066225E-2</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9">
        <f>C626</f>
        <v>0</v>
      </c>
      <c r="H666" s="1099"/>
      <c r="I666" s="1099"/>
      <c r="J666" s="1099"/>
      <c r="K666" s="1099"/>
      <c r="L666" s="1099"/>
      <c r="M666" s="1099"/>
      <c r="N666" s="1099"/>
      <c r="O666" s="1099"/>
      <c r="P666" s="1099"/>
      <c r="Q666" s="1099"/>
      <c r="R666" s="1099"/>
      <c r="T666" s="87" t="s">
        <v>696</v>
      </c>
      <c r="U666" s="12" t="s">
        <v>509</v>
      </c>
      <c r="Z666" s="1099">
        <f>C627</f>
        <v>0</v>
      </c>
      <c r="AA666" s="1099"/>
      <c r="AB666" s="1099"/>
      <c r="AC666" s="1099"/>
      <c r="AD666" s="1099"/>
      <c r="AE666" s="1099"/>
      <c r="AF666" s="1099"/>
      <c r="AG666" s="1099"/>
      <c r="AH666" s="1099"/>
      <c r="AI666" s="1099"/>
      <c r="AJ666" s="1099"/>
      <c r="AK666" s="1099"/>
      <c r="AM666" s="58"/>
      <c r="AN666" s="463">
        <f t="shared" si="22"/>
        <v>2714</v>
      </c>
      <c r="AO666" s="58"/>
      <c r="AP666" s="58"/>
      <c r="AQ666" s="58"/>
      <c r="AR666" s="58"/>
      <c r="AS666" s="399"/>
      <c r="AT666" s="474">
        <f t="shared" si="23"/>
        <v>3</v>
      </c>
      <c r="AU666" s="477">
        <f t="shared" si="25"/>
        <v>1.9867549668874173E-2</v>
      </c>
      <c r="AV666" s="478">
        <f t="shared" si="24"/>
        <v>9.9337748344370865E-3</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f t="shared" si="22"/>
        <v>2714</v>
      </c>
      <c r="AO667" s="58"/>
      <c r="AP667" s="58"/>
      <c r="AQ667" s="58"/>
      <c r="AR667" s="58"/>
      <c r="AS667" s="399"/>
      <c r="AT667" s="474">
        <f t="shared" si="23"/>
        <v>7</v>
      </c>
      <c r="AU667" s="477">
        <f t="shared" si="25"/>
        <v>4.6357615894039736E-2</v>
      </c>
      <c r="AV667" s="478">
        <f t="shared" si="24"/>
        <v>2.781456953642384E-2</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7"/>
      <c r="H668" s="1097"/>
      <c r="I668" s="1097"/>
      <c r="J668" s="1097"/>
      <c r="K668" s="1097"/>
      <c r="L668" s="1097"/>
      <c r="M668" s="1097"/>
      <c r="N668" s="1097"/>
      <c r="O668" s="1097"/>
      <c r="P668" s="1097"/>
      <c r="Q668" s="1097"/>
      <c r="R668" s="1097"/>
      <c r="T668" s="35"/>
      <c r="U668" s="12" t="s">
        <v>630</v>
      </c>
      <c r="Z668" s="1119"/>
      <c r="AA668" s="1119"/>
      <c r="AB668" s="1119"/>
      <c r="AC668" s="1119"/>
      <c r="AD668" s="1119"/>
      <c r="AE668" s="1119"/>
      <c r="AF668" s="1119"/>
      <c r="AG668" s="1119"/>
      <c r="AH668" s="1119"/>
      <c r="AI668" s="1119"/>
      <c r="AJ668" s="1119"/>
      <c r="AK668" s="1119"/>
      <c r="AM668" s="58"/>
      <c r="AN668" s="463">
        <f t="shared" si="22"/>
        <v>1826</v>
      </c>
      <c r="AO668" s="58"/>
      <c r="AP668" s="58"/>
      <c r="AQ668" s="58"/>
      <c r="AR668" s="58"/>
      <c r="AS668" s="399"/>
      <c r="AT668" s="474">
        <f t="shared" si="23"/>
        <v>6</v>
      </c>
      <c r="AU668" s="477">
        <f t="shared" si="25"/>
        <v>3.9735099337748346E-2</v>
      </c>
      <c r="AV668" s="478">
        <f t="shared" si="24"/>
        <v>3.1788079470198675E-2</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5</v>
      </c>
      <c r="AU669" s="477">
        <f t="shared" si="25"/>
        <v>3.3112582781456956E-2</v>
      </c>
      <c r="AV669" s="478">
        <f t="shared" si="24"/>
        <v>2.6490066225165566E-2</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591</v>
      </c>
      <c r="O672" s="1098"/>
      <c r="T672" s="35"/>
      <c r="U672" s="12" t="s">
        <v>22</v>
      </c>
      <c r="AG672" s="1098" t="s">
        <v>722</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9">
        <f>C628</f>
        <v>0</v>
      </c>
      <c r="H674" s="1099"/>
      <c r="I674" s="1099"/>
      <c r="J674" s="1099"/>
      <c r="K674" s="1099"/>
      <c r="L674" s="1099"/>
      <c r="M674" s="1099"/>
      <c r="N674" s="1099"/>
      <c r="O674" s="1099"/>
      <c r="P674" s="1099"/>
      <c r="Q674" s="1099"/>
      <c r="R674" s="1099"/>
      <c r="T674" s="87" t="s">
        <v>387</v>
      </c>
      <c r="U674" s="12" t="s">
        <v>509</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151</v>
      </c>
      <c r="AU675" s="480">
        <f>SUM(AU650:AU674)</f>
        <v>1</v>
      </c>
      <c r="AV675" s="480">
        <f>SUM(AV650:AV674)</f>
        <v>0.57947019867549665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7"/>
      <c r="H676" s="1097"/>
      <c r="I676" s="1097"/>
      <c r="J676" s="1097"/>
      <c r="K676" s="1097"/>
      <c r="L676" s="1097"/>
      <c r="M676" s="1097"/>
      <c r="N676" s="1097"/>
      <c r="O676" s="1097"/>
      <c r="P676" s="1097"/>
      <c r="Q676" s="1097"/>
      <c r="R676" s="1097"/>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722</v>
      </c>
      <c r="O680" s="1098"/>
      <c r="U680" s="12" t="s">
        <v>22</v>
      </c>
      <c r="AG680" s="1098" t="s">
        <v>722</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591</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591</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43847</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43908</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44075</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City of LA (HCIDLA)</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722</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491</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697</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9" t="s">
        <v>347</v>
      </c>
      <c r="C709" s="1169"/>
      <c r="D709" s="1169"/>
      <c r="E709" s="1169"/>
      <c r="F709" s="1170"/>
      <c r="G709" s="1124">
        <v>1</v>
      </c>
      <c r="H709" s="1125"/>
      <c r="I709" s="1125"/>
      <c r="J709" s="1126"/>
      <c r="K709" s="1183">
        <v>518</v>
      </c>
      <c r="L709" s="1184"/>
      <c r="M709" s="1184"/>
      <c r="N709" s="1184"/>
      <c r="O709" s="1185"/>
      <c r="P709" s="1154">
        <f t="shared" ref="P709:P733" si="26">G709*K709</f>
        <v>518</v>
      </c>
      <c r="Q709" s="1116"/>
      <c r="R709" s="1116"/>
      <c r="S709" s="1116"/>
      <c r="T709" s="1155"/>
      <c r="U709" s="1183">
        <v>30</v>
      </c>
      <c r="V709" s="1184"/>
      <c r="W709" s="1184"/>
      <c r="X709" s="1185"/>
      <c r="Y709" s="1154">
        <f>K709+U709</f>
        <v>548</v>
      </c>
      <c r="Z709" s="1116"/>
      <c r="AA709" s="1116"/>
      <c r="AB709" s="1116"/>
      <c r="AC709" s="1155"/>
      <c r="AD709" s="1113">
        <v>0.3</v>
      </c>
      <c r="AE709" s="1114"/>
      <c r="AF709" s="1114"/>
      <c r="AG709" s="1114"/>
      <c r="AH709" s="1115"/>
      <c r="AI709" s="1128">
        <f t="shared" ref="AI709:AI733" si="27">IF($AD709&gt;0,($Y709/$AN649), " ")</f>
        <v>0.30010952902519167</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9" t="s">
        <v>347</v>
      </c>
      <c r="C710" s="1169"/>
      <c r="D710" s="1169"/>
      <c r="E710" s="1169"/>
      <c r="F710" s="1170"/>
      <c r="G710" s="1124">
        <v>3</v>
      </c>
      <c r="H710" s="1125"/>
      <c r="I710" s="1125"/>
      <c r="J710" s="1126"/>
      <c r="K710" s="1183">
        <v>701</v>
      </c>
      <c r="L710" s="1184"/>
      <c r="M710" s="1184"/>
      <c r="N710" s="1184"/>
      <c r="O710" s="1185"/>
      <c r="P710" s="1154">
        <f t="shared" si="26"/>
        <v>2103</v>
      </c>
      <c r="Q710" s="1116"/>
      <c r="R710" s="1116"/>
      <c r="S710" s="1116"/>
      <c r="T710" s="1155"/>
      <c r="U710" s="1183">
        <v>30</v>
      </c>
      <c r="V710" s="1184"/>
      <c r="W710" s="1184"/>
      <c r="X710" s="1185"/>
      <c r="Y710" s="1154">
        <f t="shared" ref="Y710:Y733" si="28">K710+U710</f>
        <v>731</v>
      </c>
      <c r="Z710" s="1116"/>
      <c r="AA710" s="1116"/>
      <c r="AB710" s="1116"/>
      <c r="AC710" s="1155"/>
      <c r="AD710" s="1113">
        <v>0.4</v>
      </c>
      <c r="AE710" s="1114"/>
      <c r="AF710" s="1114"/>
      <c r="AG710" s="1114"/>
      <c r="AH710" s="1115"/>
      <c r="AI710" s="1128">
        <f t="shared" si="27"/>
        <v>0.400328587075575</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9" t="s">
        <v>347</v>
      </c>
      <c r="C711" s="1169"/>
      <c r="D711" s="1169"/>
      <c r="E711" s="1169"/>
      <c r="F711" s="1170"/>
      <c r="G711" s="1124">
        <v>4</v>
      </c>
      <c r="H711" s="1125"/>
      <c r="I711" s="1125"/>
      <c r="J711" s="1126"/>
      <c r="K711" s="1183">
        <v>883</v>
      </c>
      <c r="L711" s="1184"/>
      <c r="M711" s="1184"/>
      <c r="N711" s="1184"/>
      <c r="O711" s="1185"/>
      <c r="P711" s="1154">
        <f t="shared" si="26"/>
        <v>3532</v>
      </c>
      <c r="Q711" s="1116"/>
      <c r="R711" s="1116"/>
      <c r="S711" s="1116"/>
      <c r="T711" s="1155"/>
      <c r="U711" s="1183">
        <v>30</v>
      </c>
      <c r="V711" s="1184"/>
      <c r="W711" s="1184"/>
      <c r="X711" s="1185"/>
      <c r="Y711" s="1154">
        <f t="shared" si="28"/>
        <v>913</v>
      </c>
      <c r="Z711" s="1116"/>
      <c r="AA711" s="1116"/>
      <c r="AB711" s="1116"/>
      <c r="AC711" s="1155"/>
      <c r="AD711" s="1113">
        <v>0.5</v>
      </c>
      <c r="AE711" s="1114"/>
      <c r="AF711" s="1114"/>
      <c r="AG711" s="1114"/>
      <c r="AH711" s="1115"/>
      <c r="AI711" s="1128">
        <f t="shared" si="27"/>
        <v>0.5</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9" t="s">
        <v>347</v>
      </c>
      <c r="C712" s="1169"/>
      <c r="D712" s="1169"/>
      <c r="E712" s="1169"/>
      <c r="F712" s="1170"/>
      <c r="G712" s="1124">
        <v>7</v>
      </c>
      <c r="H712" s="1125"/>
      <c r="I712" s="1125"/>
      <c r="J712" s="1126"/>
      <c r="K712" s="1182">
        <v>1066</v>
      </c>
      <c r="L712" s="1182"/>
      <c r="M712" s="1182"/>
      <c r="N712" s="1182"/>
      <c r="O712" s="1182"/>
      <c r="P712" s="1123">
        <f t="shared" si="26"/>
        <v>7462</v>
      </c>
      <c r="Q712" s="1123"/>
      <c r="R712" s="1123"/>
      <c r="S712" s="1123"/>
      <c r="T712" s="1123"/>
      <c r="U712" s="1183">
        <v>30</v>
      </c>
      <c r="V712" s="1184"/>
      <c r="W712" s="1184"/>
      <c r="X712" s="1185"/>
      <c r="Y712" s="1123">
        <f t="shared" si="28"/>
        <v>1096</v>
      </c>
      <c r="Z712" s="1123"/>
      <c r="AA712" s="1123"/>
      <c r="AB712" s="1123"/>
      <c r="AC712" s="1123"/>
      <c r="AD712" s="1113">
        <v>0.6</v>
      </c>
      <c r="AE712" s="1114"/>
      <c r="AF712" s="1114"/>
      <c r="AG712" s="1114"/>
      <c r="AH712" s="1115"/>
      <c r="AI712" s="1128">
        <f t="shared" si="27"/>
        <v>0.60021905805038334</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9" t="s">
        <v>348</v>
      </c>
      <c r="C713" s="1169"/>
      <c r="D713" s="1169"/>
      <c r="E713" s="1169"/>
      <c r="F713" s="1170"/>
      <c r="G713" s="1124">
        <v>3</v>
      </c>
      <c r="H713" s="1125"/>
      <c r="I713" s="1125"/>
      <c r="J713" s="1126"/>
      <c r="K713" s="1182">
        <v>548</v>
      </c>
      <c r="L713" s="1182"/>
      <c r="M713" s="1182"/>
      <c r="N713" s="1182"/>
      <c r="O713" s="1182"/>
      <c r="P713" s="1123">
        <f t="shared" si="26"/>
        <v>1644</v>
      </c>
      <c r="Q713" s="1123"/>
      <c r="R713" s="1123"/>
      <c r="S713" s="1123"/>
      <c r="T713" s="1123"/>
      <c r="U713" s="1183">
        <v>39</v>
      </c>
      <c r="V713" s="1184"/>
      <c r="W713" s="1184"/>
      <c r="X713" s="1185"/>
      <c r="Y713" s="1123">
        <f t="shared" si="28"/>
        <v>587</v>
      </c>
      <c r="Z713" s="1123"/>
      <c r="AA713" s="1123"/>
      <c r="AB713" s="1123"/>
      <c r="AC713" s="1123"/>
      <c r="AD713" s="1113">
        <v>0.3</v>
      </c>
      <c r="AE713" s="1114"/>
      <c r="AF713" s="1114"/>
      <c r="AG713" s="1114"/>
      <c r="AH713" s="1115"/>
      <c r="AI713" s="1128">
        <f t="shared" si="27"/>
        <v>0.29979570990806947</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9" t="s">
        <v>348</v>
      </c>
      <c r="C714" s="1169"/>
      <c r="D714" s="1169"/>
      <c r="E714" s="1169"/>
      <c r="F714" s="1170"/>
      <c r="G714" s="1124">
        <v>13</v>
      </c>
      <c r="H714" s="1125"/>
      <c r="I714" s="1125"/>
      <c r="J714" s="1126"/>
      <c r="K714" s="1182">
        <v>744</v>
      </c>
      <c r="L714" s="1182"/>
      <c r="M714" s="1182"/>
      <c r="N714" s="1182"/>
      <c r="O714" s="1182"/>
      <c r="P714" s="1123">
        <f t="shared" si="26"/>
        <v>9672</v>
      </c>
      <c r="Q714" s="1123"/>
      <c r="R714" s="1123"/>
      <c r="S714" s="1123"/>
      <c r="T714" s="1123"/>
      <c r="U714" s="1183">
        <v>39</v>
      </c>
      <c r="V714" s="1184"/>
      <c r="W714" s="1184"/>
      <c r="X714" s="1185"/>
      <c r="Y714" s="1123">
        <f t="shared" si="28"/>
        <v>783</v>
      </c>
      <c r="Z714" s="1123"/>
      <c r="AA714" s="1123"/>
      <c r="AB714" s="1123"/>
      <c r="AC714" s="1123"/>
      <c r="AD714" s="1113">
        <v>0.4</v>
      </c>
      <c r="AE714" s="1114"/>
      <c r="AF714" s="1114"/>
      <c r="AG714" s="1114"/>
      <c r="AH714" s="1115"/>
      <c r="AI714" s="1128">
        <f t="shared" si="27"/>
        <v>0.39989785495403474</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t="s">
        <v>348</v>
      </c>
      <c r="C715" s="1169"/>
      <c r="D715" s="1169"/>
      <c r="E715" s="1169"/>
      <c r="F715" s="1170"/>
      <c r="G715" s="1124">
        <v>13</v>
      </c>
      <c r="H715" s="1125"/>
      <c r="I715" s="1125"/>
      <c r="J715" s="1126"/>
      <c r="K715" s="1182">
        <v>940</v>
      </c>
      <c r="L715" s="1182"/>
      <c r="M715" s="1182"/>
      <c r="N715" s="1182"/>
      <c r="O715" s="1182"/>
      <c r="P715" s="1123">
        <f t="shared" si="26"/>
        <v>12220</v>
      </c>
      <c r="Q715" s="1123"/>
      <c r="R715" s="1123"/>
      <c r="S715" s="1123"/>
      <c r="T715" s="1123"/>
      <c r="U715" s="1183">
        <v>39</v>
      </c>
      <c r="V715" s="1184"/>
      <c r="W715" s="1184"/>
      <c r="X715" s="1185"/>
      <c r="Y715" s="1123">
        <f t="shared" si="28"/>
        <v>979</v>
      </c>
      <c r="Z715" s="1123"/>
      <c r="AA715" s="1123"/>
      <c r="AB715" s="1123"/>
      <c r="AC715" s="1123"/>
      <c r="AD715" s="1113">
        <v>0.5</v>
      </c>
      <c r="AE715" s="1114"/>
      <c r="AF715" s="1114"/>
      <c r="AG715" s="1114"/>
      <c r="AH715" s="1115"/>
      <c r="AI715" s="1128">
        <f t="shared" si="27"/>
        <v>0.5</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t="s">
        <v>348</v>
      </c>
      <c r="C716" s="1169"/>
      <c r="D716" s="1169"/>
      <c r="E716" s="1169"/>
      <c r="F716" s="1170"/>
      <c r="G716" s="1124">
        <v>25</v>
      </c>
      <c r="H716" s="1125"/>
      <c r="I716" s="1125"/>
      <c r="J716" s="1126"/>
      <c r="K716" s="1182">
        <v>1136</v>
      </c>
      <c r="L716" s="1182"/>
      <c r="M716" s="1182"/>
      <c r="N716" s="1182"/>
      <c r="O716" s="1182"/>
      <c r="P716" s="1123">
        <f t="shared" si="26"/>
        <v>28400</v>
      </c>
      <c r="Q716" s="1123"/>
      <c r="R716" s="1123"/>
      <c r="S716" s="1123"/>
      <c r="T716" s="1123"/>
      <c r="U716" s="1183">
        <v>39</v>
      </c>
      <c r="V716" s="1184"/>
      <c r="W716" s="1184"/>
      <c r="X716" s="1185"/>
      <c r="Y716" s="1123">
        <f t="shared" si="28"/>
        <v>1175</v>
      </c>
      <c r="Z716" s="1123"/>
      <c r="AA716" s="1123"/>
      <c r="AB716" s="1123"/>
      <c r="AC716" s="1123"/>
      <c r="AD716" s="1113">
        <v>0.6</v>
      </c>
      <c r="AE716" s="1114"/>
      <c r="AF716" s="1114"/>
      <c r="AG716" s="1114"/>
      <c r="AH716" s="1115"/>
      <c r="AI716" s="1128">
        <f t="shared" si="27"/>
        <v>0.60010214504596526</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t="s">
        <v>348</v>
      </c>
      <c r="C717" s="1169"/>
      <c r="D717" s="1169"/>
      <c r="E717" s="1169"/>
      <c r="F717" s="1170"/>
      <c r="G717" s="1124">
        <v>16</v>
      </c>
      <c r="H717" s="1125"/>
      <c r="I717" s="1125"/>
      <c r="J717" s="1126"/>
      <c r="K717" s="1182">
        <v>1528</v>
      </c>
      <c r="L717" s="1182"/>
      <c r="M717" s="1182"/>
      <c r="N717" s="1182"/>
      <c r="O717" s="1182"/>
      <c r="P717" s="1123">
        <f t="shared" si="26"/>
        <v>24448</v>
      </c>
      <c r="Q717" s="1123"/>
      <c r="R717" s="1123"/>
      <c r="S717" s="1123"/>
      <c r="T717" s="1123"/>
      <c r="U717" s="1183">
        <v>39</v>
      </c>
      <c r="V717" s="1184"/>
      <c r="W717" s="1184"/>
      <c r="X717" s="1185"/>
      <c r="Y717" s="1123">
        <f t="shared" si="28"/>
        <v>1567</v>
      </c>
      <c r="Z717" s="1123"/>
      <c r="AA717" s="1123"/>
      <c r="AB717" s="1123"/>
      <c r="AC717" s="1123"/>
      <c r="AD717" s="1113">
        <v>0.8</v>
      </c>
      <c r="AE717" s="1114"/>
      <c r="AF717" s="1114"/>
      <c r="AG717" s="1114"/>
      <c r="AH717" s="1115"/>
      <c r="AI717" s="1128">
        <f t="shared" si="27"/>
        <v>0.80030643513789579</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t="s">
        <v>170</v>
      </c>
      <c r="C718" s="1169"/>
      <c r="D718" s="1169"/>
      <c r="E718" s="1169"/>
      <c r="F718" s="1170"/>
      <c r="G718" s="1124">
        <v>3</v>
      </c>
      <c r="H718" s="1125"/>
      <c r="I718" s="1125"/>
      <c r="J718" s="1126"/>
      <c r="K718" s="1259">
        <v>655</v>
      </c>
      <c r="L718" s="1259"/>
      <c r="M718" s="1259"/>
      <c r="N718" s="1259"/>
      <c r="O718" s="1259"/>
      <c r="P718" s="1127">
        <f t="shared" si="26"/>
        <v>1965</v>
      </c>
      <c r="Q718" s="1127"/>
      <c r="R718" s="1127"/>
      <c r="S718" s="1127"/>
      <c r="T718" s="1127"/>
      <c r="U718" s="1183">
        <v>50</v>
      </c>
      <c r="V718" s="1184"/>
      <c r="W718" s="1184"/>
      <c r="X718" s="1185"/>
      <c r="Y718" s="1127">
        <f t="shared" si="28"/>
        <v>705</v>
      </c>
      <c r="Z718" s="1127"/>
      <c r="AA718" s="1127"/>
      <c r="AB718" s="1127"/>
      <c r="AC718" s="1127"/>
      <c r="AD718" s="1113">
        <v>0.3</v>
      </c>
      <c r="AE718" s="1114"/>
      <c r="AF718" s="1114"/>
      <c r="AG718" s="1114"/>
      <c r="AH718" s="1115"/>
      <c r="AI718" s="1128">
        <f t="shared" si="27"/>
        <v>0.3</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t="s">
        <v>170</v>
      </c>
      <c r="C719" s="1169"/>
      <c r="D719" s="1169"/>
      <c r="E719" s="1169"/>
      <c r="F719" s="1170"/>
      <c r="G719" s="1124">
        <v>6</v>
      </c>
      <c r="H719" s="1125"/>
      <c r="I719" s="1125"/>
      <c r="J719" s="1126"/>
      <c r="K719" s="1182">
        <v>890</v>
      </c>
      <c r="L719" s="1182"/>
      <c r="M719" s="1182"/>
      <c r="N719" s="1182"/>
      <c r="O719" s="1182"/>
      <c r="P719" s="1123">
        <f t="shared" si="26"/>
        <v>5340</v>
      </c>
      <c r="Q719" s="1123"/>
      <c r="R719" s="1123"/>
      <c r="S719" s="1123"/>
      <c r="T719" s="1123"/>
      <c r="U719" s="1183">
        <v>50</v>
      </c>
      <c r="V719" s="1184"/>
      <c r="W719" s="1184"/>
      <c r="X719" s="1185"/>
      <c r="Y719" s="1123">
        <f t="shared" si="28"/>
        <v>940</v>
      </c>
      <c r="Z719" s="1123"/>
      <c r="AA719" s="1123"/>
      <c r="AB719" s="1123"/>
      <c r="AC719" s="1123"/>
      <c r="AD719" s="1113">
        <v>0.4</v>
      </c>
      <c r="AE719" s="1114"/>
      <c r="AF719" s="1114"/>
      <c r="AG719" s="1114"/>
      <c r="AH719" s="1115"/>
      <c r="AI719" s="1128">
        <f t="shared" si="27"/>
        <v>0.4</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t="s">
        <v>170</v>
      </c>
      <c r="C720" s="1169"/>
      <c r="D720" s="1169"/>
      <c r="E720" s="1169"/>
      <c r="F720" s="1170"/>
      <c r="G720" s="1124">
        <v>6</v>
      </c>
      <c r="H720" s="1125"/>
      <c r="I720" s="1125"/>
      <c r="J720" s="1126"/>
      <c r="K720" s="1182">
        <v>1125</v>
      </c>
      <c r="L720" s="1182"/>
      <c r="M720" s="1182"/>
      <c r="N720" s="1182"/>
      <c r="O720" s="1182"/>
      <c r="P720" s="1123">
        <f t="shared" si="26"/>
        <v>6750</v>
      </c>
      <c r="Q720" s="1123"/>
      <c r="R720" s="1123"/>
      <c r="S720" s="1123"/>
      <c r="T720" s="1123"/>
      <c r="U720" s="1183">
        <v>50</v>
      </c>
      <c r="V720" s="1184"/>
      <c r="W720" s="1184"/>
      <c r="X720" s="1185"/>
      <c r="Y720" s="1123">
        <f t="shared" si="28"/>
        <v>1175</v>
      </c>
      <c r="Z720" s="1123"/>
      <c r="AA720" s="1123"/>
      <c r="AB720" s="1123"/>
      <c r="AC720" s="1123"/>
      <c r="AD720" s="1113">
        <v>0.5</v>
      </c>
      <c r="AE720" s="1114"/>
      <c r="AF720" s="1114"/>
      <c r="AG720" s="1114"/>
      <c r="AH720" s="1115"/>
      <c r="AI720" s="1128">
        <f t="shared" si="27"/>
        <v>0.5</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t="s">
        <v>170</v>
      </c>
      <c r="C721" s="1169"/>
      <c r="D721" s="1169"/>
      <c r="E721" s="1169"/>
      <c r="F721" s="1170"/>
      <c r="G721" s="1124">
        <v>14</v>
      </c>
      <c r="H721" s="1125"/>
      <c r="I721" s="1125"/>
      <c r="J721" s="1126"/>
      <c r="K721" s="1182">
        <v>1360</v>
      </c>
      <c r="L721" s="1182"/>
      <c r="M721" s="1182"/>
      <c r="N721" s="1182"/>
      <c r="O721" s="1182"/>
      <c r="P721" s="1123">
        <f t="shared" si="26"/>
        <v>19040</v>
      </c>
      <c r="Q721" s="1123"/>
      <c r="R721" s="1123"/>
      <c r="S721" s="1123"/>
      <c r="T721" s="1123"/>
      <c r="U721" s="1183">
        <v>50</v>
      </c>
      <c r="V721" s="1184"/>
      <c r="W721" s="1184"/>
      <c r="X721" s="1185"/>
      <c r="Y721" s="1123">
        <f t="shared" si="28"/>
        <v>1410</v>
      </c>
      <c r="Z721" s="1123"/>
      <c r="AA721" s="1123"/>
      <c r="AB721" s="1123"/>
      <c r="AC721" s="1123"/>
      <c r="AD721" s="1113">
        <v>0.6</v>
      </c>
      <c r="AE721" s="1114"/>
      <c r="AF721" s="1114"/>
      <c r="AG721" s="1114"/>
      <c r="AH721" s="1115"/>
      <c r="AI721" s="1128">
        <f t="shared" si="27"/>
        <v>0.6</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t="s">
        <v>170</v>
      </c>
      <c r="C722" s="1169"/>
      <c r="D722" s="1169"/>
      <c r="E722" s="1169"/>
      <c r="F722" s="1170"/>
      <c r="G722" s="1124">
        <v>10</v>
      </c>
      <c r="H722" s="1125"/>
      <c r="I722" s="1125"/>
      <c r="J722" s="1126"/>
      <c r="K722" s="1182">
        <v>1830</v>
      </c>
      <c r="L722" s="1182"/>
      <c r="M722" s="1182"/>
      <c r="N722" s="1182"/>
      <c r="O722" s="1182"/>
      <c r="P722" s="1123">
        <f t="shared" si="26"/>
        <v>18300</v>
      </c>
      <c r="Q722" s="1123"/>
      <c r="R722" s="1123"/>
      <c r="S722" s="1123"/>
      <c r="T722" s="1123"/>
      <c r="U722" s="1183">
        <v>50</v>
      </c>
      <c r="V722" s="1184"/>
      <c r="W722" s="1184"/>
      <c r="X722" s="1185"/>
      <c r="Y722" s="1123">
        <f t="shared" si="28"/>
        <v>1880</v>
      </c>
      <c r="Z722" s="1123"/>
      <c r="AA722" s="1123"/>
      <c r="AB722" s="1123"/>
      <c r="AC722" s="1123"/>
      <c r="AD722" s="1113">
        <v>0.8</v>
      </c>
      <c r="AE722" s="1114"/>
      <c r="AF722" s="1114"/>
      <c r="AG722" s="1114"/>
      <c r="AH722" s="1115"/>
      <c r="AI722" s="1128">
        <f t="shared" si="27"/>
        <v>0.8</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t="s">
        <v>171</v>
      </c>
      <c r="C723" s="1169"/>
      <c r="D723" s="1169"/>
      <c r="E723" s="1169"/>
      <c r="F723" s="1170"/>
      <c r="G723" s="1124">
        <v>2</v>
      </c>
      <c r="H723" s="1125"/>
      <c r="I723" s="1125"/>
      <c r="J723" s="1126"/>
      <c r="K723" s="1182">
        <v>752</v>
      </c>
      <c r="L723" s="1182"/>
      <c r="M723" s="1182"/>
      <c r="N723" s="1182"/>
      <c r="O723" s="1182"/>
      <c r="P723" s="1123">
        <f t="shared" si="26"/>
        <v>1504</v>
      </c>
      <c r="Q723" s="1123"/>
      <c r="R723" s="1123"/>
      <c r="S723" s="1123"/>
      <c r="T723" s="1123"/>
      <c r="U723" s="1183">
        <v>62</v>
      </c>
      <c r="V723" s="1184"/>
      <c r="W723" s="1184"/>
      <c r="X723" s="1185"/>
      <c r="Y723" s="1123">
        <f t="shared" si="28"/>
        <v>814</v>
      </c>
      <c r="Z723" s="1123"/>
      <c r="AA723" s="1123"/>
      <c r="AB723" s="1123"/>
      <c r="AC723" s="1123"/>
      <c r="AD723" s="1113">
        <v>0.3</v>
      </c>
      <c r="AE723" s="1114"/>
      <c r="AF723" s="1114"/>
      <c r="AG723" s="1114"/>
      <c r="AH723" s="1115"/>
      <c r="AI723" s="1128">
        <f t="shared" si="27"/>
        <v>0.29992630803242448</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t="s">
        <v>171</v>
      </c>
      <c r="C724" s="1169"/>
      <c r="D724" s="1169"/>
      <c r="E724" s="1169"/>
      <c r="F724" s="1170"/>
      <c r="G724" s="1124">
        <v>4</v>
      </c>
      <c r="H724" s="1125"/>
      <c r="I724" s="1125"/>
      <c r="J724" s="1126"/>
      <c r="K724" s="1182">
        <v>1024</v>
      </c>
      <c r="L724" s="1182"/>
      <c r="M724" s="1182"/>
      <c r="N724" s="1182"/>
      <c r="O724" s="1182"/>
      <c r="P724" s="1123">
        <f t="shared" si="26"/>
        <v>4096</v>
      </c>
      <c r="Q724" s="1123"/>
      <c r="R724" s="1123"/>
      <c r="S724" s="1123"/>
      <c r="T724" s="1123"/>
      <c r="U724" s="1183">
        <v>62</v>
      </c>
      <c r="V724" s="1184"/>
      <c r="W724" s="1184"/>
      <c r="X724" s="1185"/>
      <c r="Y724" s="1123">
        <f>K724+U724</f>
        <v>1086</v>
      </c>
      <c r="Z724" s="1123"/>
      <c r="AA724" s="1123"/>
      <c r="AB724" s="1123"/>
      <c r="AC724" s="1123"/>
      <c r="AD724" s="1113">
        <v>0.4</v>
      </c>
      <c r="AE724" s="1114"/>
      <c r="AF724" s="1114"/>
      <c r="AG724" s="1114"/>
      <c r="AH724" s="1115"/>
      <c r="AI724" s="1128">
        <f t="shared" si="27"/>
        <v>0.40014738393515109</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t="s">
        <v>171</v>
      </c>
      <c r="C725" s="1169"/>
      <c r="D725" s="1169"/>
      <c r="E725" s="1169"/>
      <c r="F725" s="1170"/>
      <c r="G725" s="1124">
        <v>3</v>
      </c>
      <c r="H725" s="1125"/>
      <c r="I725" s="1125"/>
      <c r="J725" s="1126"/>
      <c r="K725" s="1182">
        <v>1295</v>
      </c>
      <c r="L725" s="1182"/>
      <c r="M725" s="1182"/>
      <c r="N725" s="1182"/>
      <c r="O725" s="1182"/>
      <c r="P725" s="1123">
        <f t="shared" si="26"/>
        <v>3885</v>
      </c>
      <c r="Q725" s="1123"/>
      <c r="R725" s="1123"/>
      <c r="S725" s="1123"/>
      <c r="T725" s="1123"/>
      <c r="U725" s="1183">
        <v>62</v>
      </c>
      <c r="V725" s="1184"/>
      <c r="W725" s="1184"/>
      <c r="X725" s="1185"/>
      <c r="Y725" s="1123">
        <f>K725+U725</f>
        <v>1357</v>
      </c>
      <c r="Z725" s="1123"/>
      <c r="AA725" s="1123"/>
      <c r="AB725" s="1123"/>
      <c r="AC725" s="1123"/>
      <c r="AD725" s="1113">
        <v>0.5</v>
      </c>
      <c r="AE725" s="1114"/>
      <c r="AF725" s="1114"/>
      <c r="AG725" s="1114"/>
      <c r="AH725" s="1115"/>
      <c r="AI725" s="1128">
        <f t="shared" si="27"/>
        <v>0.5</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t="s">
        <v>171</v>
      </c>
      <c r="C726" s="1169"/>
      <c r="D726" s="1169"/>
      <c r="E726" s="1169"/>
      <c r="F726" s="1170"/>
      <c r="G726" s="1124">
        <v>7</v>
      </c>
      <c r="H726" s="1125"/>
      <c r="I726" s="1125"/>
      <c r="J726" s="1126"/>
      <c r="K726" s="1182">
        <v>1567</v>
      </c>
      <c r="L726" s="1182"/>
      <c r="M726" s="1182"/>
      <c r="N726" s="1182"/>
      <c r="O726" s="1182"/>
      <c r="P726" s="1123">
        <f t="shared" si="26"/>
        <v>10969</v>
      </c>
      <c r="Q726" s="1123"/>
      <c r="R726" s="1123"/>
      <c r="S726" s="1123"/>
      <c r="T726" s="1123"/>
      <c r="U726" s="1183">
        <v>62</v>
      </c>
      <c r="V726" s="1184"/>
      <c r="W726" s="1184"/>
      <c r="X726" s="1185"/>
      <c r="Y726" s="1123">
        <f>K726+U726</f>
        <v>1629</v>
      </c>
      <c r="Z726" s="1123"/>
      <c r="AA726" s="1123"/>
      <c r="AB726" s="1123"/>
      <c r="AC726" s="1123"/>
      <c r="AD726" s="1113">
        <v>0.6</v>
      </c>
      <c r="AE726" s="1114"/>
      <c r="AF726" s="1114"/>
      <c r="AG726" s="1114"/>
      <c r="AH726" s="1115"/>
      <c r="AI726" s="1128">
        <f t="shared" si="27"/>
        <v>0.60022107590272655</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t="s">
        <v>171</v>
      </c>
      <c r="C727" s="1169"/>
      <c r="D727" s="1169"/>
      <c r="E727" s="1169"/>
      <c r="F727" s="1170"/>
      <c r="G727" s="1124">
        <v>6</v>
      </c>
      <c r="H727" s="1125"/>
      <c r="I727" s="1125"/>
      <c r="J727" s="1126"/>
      <c r="K727" s="1182">
        <v>2110</v>
      </c>
      <c r="L727" s="1182"/>
      <c r="M727" s="1182"/>
      <c r="N727" s="1182"/>
      <c r="O727" s="1182"/>
      <c r="P727" s="1123">
        <f t="shared" si="26"/>
        <v>12660</v>
      </c>
      <c r="Q727" s="1123"/>
      <c r="R727" s="1123"/>
      <c r="S727" s="1123"/>
      <c r="T727" s="1123"/>
      <c r="U727" s="1183">
        <v>62</v>
      </c>
      <c r="V727" s="1184"/>
      <c r="W727" s="1184"/>
      <c r="X727" s="1185"/>
      <c r="Y727" s="1123">
        <f>K727+U727</f>
        <v>2172</v>
      </c>
      <c r="Z727" s="1123"/>
      <c r="AA727" s="1123"/>
      <c r="AB727" s="1123"/>
      <c r="AC727" s="1123"/>
      <c r="AD727" s="1113">
        <v>0.8</v>
      </c>
      <c r="AE727" s="1114"/>
      <c r="AF727" s="1114"/>
      <c r="AG727" s="1114"/>
      <c r="AH727" s="1115"/>
      <c r="AI727" s="1128">
        <f t="shared" si="27"/>
        <v>0.80029476787030218</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t="s">
        <v>347</v>
      </c>
      <c r="C728" s="1169"/>
      <c r="D728" s="1169"/>
      <c r="E728" s="1169"/>
      <c r="F728" s="1170"/>
      <c r="G728" s="1124">
        <v>5</v>
      </c>
      <c r="H728" s="1125"/>
      <c r="I728" s="1125"/>
      <c r="J728" s="1126"/>
      <c r="K728" s="1182">
        <v>1432</v>
      </c>
      <c r="L728" s="1182"/>
      <c r="M728" s="1182"/>
      <c r="N728" s="1182"/>
      <c r="O728" s="1182"/>
      <c r="P728" s="1123">
        <f t="shared" si="26"/>
        <v>7160</v>
      </c>
      <c r="Q728" s="1123"/>
      <c r="R728" s="1123"/>
      <c r="S728" s="1123"/>
      <c r="T728" s="1123"/>
      <c r="U728" s="1183">
        <v>30</v>
      </c>
      <c r="V728" s="1184"/>
      <c r="W728" s="1184"/>
      <c r="X728" s="1185"/>
      <c r="Y728" s="1123">
        <f>K728+U728</f>
        <v>1462</v>
      </c>
      <c r="Z728" s="1123"/>
      <c r="AA728" s="1123"/>
      <c r="AB728" s="1123"/>
      <c r="AC728" s="1123"/>
      <c r="AD728" s="1113">
        <v>0.8</v>
      </c>
      <c r="AE728" s="1114"/>
      <c r="AF728" s="1114"/>
      <c r="AG728" s="1114"/>
      <c r="AH728" s="1115"/>
      <c r="AI728" s="1128">
        <f t="shared" si="27"/>
        <v>0.80065717415115001</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4"/>
      <c r="H729" s="1125"/>
      <c r="I729" s="1125"/>
      <c r="J729" s="1126"/>
      <c r="K729" s="1182"/>
      <c r="L729" s="1182"/>
      <c r="M729" s="1182"/>
      <c r="N729" s="1182"/>
      <c r="O729" s="1182"/>
      <c r="P729" s="1123">
        <f t="shared" si="26"/>
        <v>0</v>
      </c>
      <c r="Q729" s="1123"/>
      <c r="R729" s="1123"/>
      <c r="S729" s="1123"/>
      <c r="T729" s="1123"/>
      <c r="U729" s="1183"/>
      <c r="V729" s="1184"/>
      <c r="W729" s="1184"/>
      <c r="X729" s="1185"/>
      <c r="Y729" s="1123">
        <f t="shared" si="28"/>
        <v>0</v>
      </c>
      <c r="Z729" s="1123"/>
      <c r="AA729" s="1123"/>
      <c r="AB729" s="1123"/>
      <c r="AC729" s="1123"/>
      <c r="AD729" s="1113"/>
      <c r="AE729" s="1114"/>
      <c r="AF729" s="1114"/>
      <c r="AG729" s="1114"/>
      <c r="AH729" s="1115"/>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4"/>
      <c r="H730" s="1125"/>
      <c r="I730" s="1125"/>
      <c r="J730" s="1126"/>
      <c r="K730" s="1182"/>
      <c r="L730" s="1182"/>
      <c r="M730" s="1182"/>
      <c r="N730" s="1182"/>
      <c r="O730" s="1182"/>
      <c r="P730" s="1123">
        <f t="shared" si="26"/>
        <v>0</v>
      </c>
      <c r="Q730" s="1123"/>
      <c r="R730" s="1123"/>
      <c r="S730" s="1123"/>
      <c r="T730" s="1123"/>
      <c r="U730" s="1183"/>
      <c r="V730" s="1184"/>
      <c r="W730" s="1184"/>
      <c r="X730" s="1185"/>
      <c r="Y730" s="1123">
        <f t="shared" si="28"/>
        <v>0</v>
      </c>
      <c r="Z730" s="1123"/>
      <c r="AA730" s="1123"/>
      <c r="AB730" s="1123"/>
      <c r="AC730" s="1123"/>
      <c r="AD730" s="1113"/>
      <c r="AE730" s="1114"/>
      <c r="AF730" s="1114"/>
      <c r="AG730" s="1114"/>
      <c r="AH730" s="1115"/>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4"/>
      <c r="H731" s="1125"/>
      <c r="I731" s="1125"/>
      <c r="J731" s="1126"/>
      <c r="K731" s="1182"/>
      <c r="L731" s="1182"/>
      <c r="M731" s="1182"/>
      <c r="N731" s="1182"/>
      <c r="O731" s="1182"/>
      <c r="P731" s="1123">
        <f t="shared" si="26"/>
        <v>0</v>
      </c>
      <c r="Q731" s="1123"/>
      <c r="R731" s="1123"/>
      <c r="S731" s="1123"/>
      <c r="T731" s="1123"/>
      <c r="U731" s="1183"/>
      <c r="V731" s="1184"/>
      <c r="W731" s="1184"/>
      <c r="X731" s="1185"/>
      <c r="Y731" s="1123">
        <f t="shared" si="28"/>
        <v>0</v>
      </c>
      <c r="Z731" s="1123"/>
      <c r="AA731" s="1123"/>
      <c r="AB731" s="1123"/>
      <c r="AC731" s="1123"/>
      <c r="AD731" s="1113"/>
      <c r="AE731" s="1114"/>
      <c r="AF731" s="1114"/>
      <c r="AG731" s="1114"/>
      <c r="AH731" s="1115"/>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4"/>
      <c r="H732" s="1125"/>
      <c r="I732" s="1125"/>
      <c r="J732" s="1126"/>
      <c r="K732" s="1182"/>
      <c r="L732" s="1182"/>
      <c r="M732" s="1182"/>
      <c r="N732" s="1182"/>
      <c r="O732" s="1182"/>
      <c r="P732" s="1123">
        <f t="shared" si="26"/>
        <v>0</v>
      </c>
      <c r="Q732" s="1123"/>
      <c r="R732" s="1123"/>
      <c r="S732" s="1123"/>
      <c r="T732" s="1123"/>
      <c r="U732" s="1183">
        <v>0</v>
      </c>
      <c r="V732" s="1184"/>
      <c r="W732" s="1184"/>
      <c r="X732" s="1185"/>
      <c r="Y732" s="1123">
        <f t="shared" si="28"/>
        <v>0</v>
      </c>
      <c r="Z732" s="1123"/>
      <c r="AA732" s="1123"/>
      <c r="AB732" s="1123"/>
      <c r="AC732" s="1123"/>
      <c r="AD732" s="1113">
        <v>0</v>
      </c>
      <c r="AE732" s="1114"/>
      <c r="AF732" s="1114"/>
      <c r="AG732" s="1114"/>
      <c r="AH732" s="1115"/>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4"/>
      <c r="H733" s="1125"/>
      <c r="I733" s="1125"/>
      <c r="J733" s="1126"/>
      <c r="K733" s="1182"/>
      <c r="L733" s="1182"/>
      <c r="M733" s="1182"/>
      <c r="N733" s="1182"/>
      <c r="O733" s="1182"/>
      <c r="P733" s="1123">
        <f t="shared" si="26"/>
        <v>0</v>
      </c>
      <c r="Q733" s="1123"/>
      <c r="R733" s="1123"/>
      <c r="S733" s="1123"/>
      <c r="T733" s="1123"/>
      <c r="U733" s="1183">
        <v>0</v>
      </c>
      <c r="V733" s="1184"/>
      <c r="W733" s="1184"/>
      <c r="X733" s="1185"/>
      <c r="Y733" s="1123">
        <f t="shared" si="28"/>
        <v>0</v>
      </c>
      <c r="Z733" s="1123"/>
      <c r="AA733" s="1123"/>
      <c r="AB733" s="1123"/>
      <c r="AC733" s="1123"/>
      <c r="AD733" s="1113">
        <v>0</v>
      </c>
      <c r="AE733" s="1114"/>
      <c r="AF733" s="1114"/>
      <c r="AG733" s="1114"/>
      <c r="AH733" s="1115"/>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30">
        <f>SUM(G709:J733)</f>
        <v>151</v>
      </c>
      <c r="H734" s="1231"/>
      <c r="I734" s="1231"/>
      <c r="J734" s="1232"/>
      <c r="K734" s="1165" t="s">
        <v>131</v>
      </c>
      <c r="L734" s="1166"/>
      <c r="M734" s="1166"/>
      <c r="N734" s="1166"/>
      <c r="O734" s="1167"/>
      <c r="P734" s="1154">
        <f>SUM(P709:T733)</f>
        <v>181668</v>
      </c>
      <c r="Q734" s="1116"/>
      <c r="R734" s="1116"/>
      <c r="S734" s="1116"/>
      <c r="T734" s="1155"/>
      <c r="Y734" s="1238" t="s">
        <v>998</v>
      </c>
      <c r="Z734" s="1239"/>
      <c r="AA734" s="1239"/>
      <c r="AB734" s="1239"/>
      <c r="AC734" s="1240"/>
      <c r="AD734" s="1567">
        <f>AV675</f>
        <v>0.57947019867549665</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9" t="s">
        <v>641</v>
      </c>
      <c r="AG736" s="1559"/>
      <c r="AH736" s="155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29" t="s">
        <v>302</v>
      </c>
      <c r="P750" s="1229"/>
      <c r="Q750" s="1229"/>
      <c r="R750" s="1229"/>
      <c r="S750" s="1229"/>
      <c r="T750" s="1229" t="s">
        <v>491</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t="s">
        <v>171</v>
      </c>
      <c r="K754" s="1169"/>
      <c r="L754" s="1169"/>
      <c r="M754" s="1169"/>
      <c r="N754" s="1170"/>
      <c r="O754" s="1171">
        <v>1</v>
      </c>
      <c r="P754" s="1171"/>
      <c r="Q754" s="1171"/>
      <c r="R754" s="1171"/>
      <c r="S754" s="1171"/>
      <c r="T754" s="1182"/>
      <c r="U754" s="1182"/>
      <c r="V754" s="1182"/>
      <c r="W754" s="1182"/>
      <c r="X754" s="1182"/>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17">
        <f>SUM(O754:S757)</f>
        <v>1</v>
      </c>
      <c r="P758" s="1418"/>
      <c r="Q758" s="1418"/>
      <c r="R758" s="1418"/>
      <c r="S758" s="1419"/>
      <c r="T758" s="1411" t="s">
        <v>131</v>
      </c>
      <c r="U758" s="1412"/>
      <c r="V758" s="1412"/>
      <c r="W758" s="1412"/>
      <c r="X758" s="1413"/>
      <c r="Y758" s="1154">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722</v>
      </c>
      <c r="K760" s="1416"/>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29" t="s">
        <v>302</v>
      </c>
      <c r="P764" s="1229"/>
      <c r="Q764" s="1229"/>
      <c r="R764" s="1229"/>
      <c r="S764" s="1229"/>
      <c r="T764" s="1229" t="s">
        <v>491</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71"/>
      <c r="P768" s="1171"/>
      <c r="Q768" s="1171"/>
      <c r="R768" s="1171"/>
      <c r="S768" s="1171"/>
      <c r="T768" s="1182"/>
      <c r="U768" s="1182"/>
      <c r="V768" s="1182"/>
      <c r="W768" s="1182"/>
      <c r="X768" s="1182"/>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71"/>
      <c r="P769" s="1171"/>
      <c r="Q769" s="1171"/>
      <c r="R769" s="1171"/>
      <c r="S769" s="1171"/>
      <c r="T769" s="1182"/>
      <c r="U769" s="1182"/>
      <c r="V769" s="1182"/>
      <c r="W769" s="1182"/>
      <c r="X769" s="1182"/>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71"/>
      <c r="P770" s="1171"/>
      <c r="Q770" s="1171"/>
      <c r="R770" s="1171"/>
      <c r="S770" s="1171"/>
      <c r="T770" s="1182"/>
      <c r="U770" s="1182"/>
      <c r="V770" s="1182"/>
      <c r="W770" s="1182"/>
      <c r="X770" s="1182"/>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71"/>
      <c r="P771" s="1171"/>
      <c r="Q771" s="1171"/>
      <c r="R771" s="1171"/>
      <c r="S771" s="1171"/>
      <c r="T771" s="1182"/>
      <c r="U771" s="1182"/>
      <c r="V771" s="1182"/>
      <c r="W771" s="1182"/>
      <c r="X771" s="1182"/>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c r="P772" s="1171"/>
      <c r="Q772" s="1171"/>
      <c r="R772" s="1171"/>
      <c r="S772" s="1171"/>
      <c r="T772" s="1182"/>
      <c r="U772" s="1182"/>
      <c r="V772" s="1182"/>
      <c r="W772" s="1182"/>
      <c r="X772" s="118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10">
        <f>SUM(O768:S777)</f>
        <v>0</v>
      </c>
      <c r="P778" s="1410"/>
      <c r="Q778" s="1410"/>
      <c r="R778" s="1410"/>
      <c r="S778" s="1410"/>
      <c r="T778" s="1411" t="s">
        <v>131</v>
      </c>
      <c r="U778" s="1412"/>
      <c r="V778" s="1412"/>
      <c r="W778" s="1412"/>
      <c r="X778" s="1413"/>
      <c r="Y778" s="1154">
        <f>SUM(Y768:AC777)</f>
        <v>0</v>
      </c>
      <c r="Z778" s="1116"/>
      <c r="AA778" s="1116"/>
      <c r="AB778" s="1116"/>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6" t="s">
        <v>515</v>
      </c>
      <c r="BB779" s="1237"/>
      <c r="BC779" s="58"/>
      <c r="BD779" s="58"/>
      <c r="BE779" s="58"/>
      <c r="BF779" s="51" t="s">
        <v>684</v>
      </c>
      <c r="BG779" s="51"/>
      <c r="BH779" s="51"/>
      <c r="BI779" s="51"/>
      <c r="BJ779" s="51"/>
      <c r="BK779" s="51"/>
      <c r="BL779" s="51"/>
      <c r="BM779" s="51"/>
      <c r="BN779" s="51"/>
      <c r="BO779" s="1233" t="str">
        <f>T191</f>
        <v>Los Angeles</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181668</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2180016</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0</v>
      </c>
      <c r="AA788" s="1269"/>
      <c r="AB788" s="1269"/>
      <c r="AC788" s="1269"/>
      <c r="AD788" s="1269"/>
      <c r="AE788" s="127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1786</v>
      </c>
      <c r="Q796" s="1152"/>
      <c r="R796" s="1152"/>
      <c r="S796" s="1152"/>
      <c r="T796" s="1152"/>
      <c r="U796" s="1152"/>
      <c r="V796" s="1152"/>
      <c r="W796" s="1152"/>
      <c r="X796" s="1152"/>
      <c r="Y796" s="1153"/>
      <c r="Z796" s="1140">
        <v>298080</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298080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8">
        <f>Z797+Y781+Z789</f>
        <v>2478096</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9"/>
      <c r="R804" s="1149"/>
      <c r="S804" s="1149"/>
      <c r="T804" s="1149"/>
      <c r="U804" s="1149"/>
      <c r="V804" s="1149"/>
      <c r="W804" s="1149"/>
      <c r="X804" s="1149"/>
      <c r="Y804" s="1149"/>
      <c r="Z804" s="1149"/>
      <c r="AA804" s="1149"/>
      <c r="AB804" s="1149"/>
      <c r="AC804" s="1149"/>
      <c r="AD804" s="1149"/>
      <c r="AE804" s="1149"/>
      <c r="AF804" s="1149"/>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59">
        <v>10</v>
      </c>
      <c r="N805" s="1159"/>
      <c r="O805" s="1159"/>
      <c r="P805" s="1159"/>
      <c r="Q805" s="1159">
        <v>13</v>
      </c>
      <c r="R805" s="1159"/>
      <c r="S805" s="1159"/>
      <c r="T805" s="1159"/>
      <c r="U805" s="1159">
        <v>17</v>
      </c>
      <c r="V805" s="1159"/>
      <c r="W805" s="1159"/>
      <c r="X805" s="1159"/>
      <c r="Y805" s="1159">
        <v>21</v>
      </c>
      <c r="Z805" s="1159"/>
      <c r="AA805" s="1159"/>
      <c r="AB805" s="1159"/>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c r="N806" s="1159"/>
      <c r="O806" s="1159"/>
      <c r="P806" s="1159"/>
      <c r="Q806" s="1159"/>
      <c r="R806" s="1159"/>
      <c r="S806" s="1159"/>
      <c r="T806" s="1159"/>
      <c r="U806" s="1159"/>
      <c r="V806" s="1159"/>
      <c r="W806" s="1159"/>
      <c r="X806" s="1159"/>
      <c r="Y806" s="1159"/>
      <c r="Z806" s="1159"/>
      <c r="AA806" s="1159"/>
      <c r="AB806" s="1159"/>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v>4</v>
      </c>
      <c r="N807" s="1159"/>
      <c r="O807" s="1159"/>
      <c r="P807" s="1159"/>
      <c r="Q807" s="1159">
        <v>5</v>
      </c>
      <c r="R807" s="1159"/>
      <c r="S807" s="1159"/>
      <c r="T807" s="1159"/>
      <c r="U807" s="1159">
        <v>6</v>
      </c>
      <c r="V807" s="1159"/>
      <c r="W807" s="1159"/>
      <c r="X807" s="1159"/>
      <c r="Y807" s="1159">
        <v>8</v>
      </c>
      <c r="Z807" s="1159"/>
      <c r="AA807" s="1159"/>
      <c r="AB807" s="1159"/>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61"/>
      <c r="E809" s="1161"/>
      <c r="F809" s="1161"/>
      <c r="G809" s="1161"/>
      <c r="H809" s="1161"/>
      <c r="I809" s="96"/>
      <c r="J809" s="96"/>
      <c r="K809" s="96"/>
      <c r="L809" s="97"/>
      <c r="M809" s="1159">
        <v>14</v>
      </c>
      <c r="N809" s="1159"/>
      <c r="O809" s="1159"/>
      <c r="P809" s="1159"/>
      <c r="Q809" s="1159">
        <v>19</v>
      </c>
      <c r="R809" s="1159"/>
      <c r="S809" s="1159"/>
      <c r="T809" s="1159"/>
      <c r="U809" s="1159">
        <v>24</v>
      </c>
      <c r="V809" s="1159"/>
      <c r="W809" s="1159"/>
      <c r="X809" s="1159"/>
      <c r="Y809" s="1159">
        <v>30</v>
      </c>
      <c r="Z809" s="1159"/>
      <c r="AA809" s="1159"/>
      <c r="AB809" s="1159"/>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864</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2" t="s">
        <v>1746</v>
      </c>
      <c r="G811" s="1163"/>
      <c r="H811" s="1163"/>
      <c r="I811" s="1163"/>
      <c r="J811" s="1163"/>
      <c r="K811" s="1163"/>
      <c r="L811" s="1164"/>
      <c r="M811" s="1159">
        <v>2</v>
      </c>
      <c r="N811" s="1159"/>
      <c r="O811" s="1159"/>
      <c r="P811" s="1159"/>
      <c r="Q811" s="1159">
        <v>2</v>
      </c>
      <c r="R811" s="1159"/>
      <c r="S811" s="1159"/>
      <c r="T811" s="1159"/>
      <c r="U811" s="1159">
        <v>3</v>
      </c>
      <c r="V811" s="1159"/>
      <c r="W811" s="1159"/>
      <c r="X811" s="1159"/>
      <c r="Y811" s="1159">
        <v>3</v>
      </c>
      <c r="Z811" s="1159"/>
      <c r="AA811" s="1159"/>
      <c r="AB811" s="1159"/>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3">
        <f>SUM(M805:P811)</f>
        <v>30</v>
      </c>
      <c r="N812" s="1193"/>
      <c r="O812" s="1193"/>
      <c r="P812" s="1193"/>
      <c r="Q812" s="1193">
        <f>SUM(Q805:T811)</f>
        <v>39</v>
      </c>
      <c r="R812" s="1193"/>
      <c r="S812" s="1193"/>
      <c r="T812" s="1193"/>
      <c r="U812" s="1193">
        <f>SUM(U805:X811)</f>
        <v>50</v>
      </c>
      <c r="V812" s="1193"/>
      <c r="W812" s="1193"/>
      <c r="X812" s="1193"/>
      <c r="Y812" s="1193">
        <f>SUM(Y805:AB811)</f>
        <v>62</v>
      </c>
      <c r="Z812" s="1193"/>
      <c r="AA812" s="1193"/>
      <c r="AB812" s="1193"/>
      <c r="AC812" s="1193">
        <f>SUM(AC805:AF811)</f>
        <v>0</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1747</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0">
        <v>12000</v>
      </c>
      <c r="X822" s="1141"/>
      <c r="Y822" s="1141"/>
      <c r="Z822" s="1141"/>
      <c r="AA822" s="1141"/>
      <c r="AB822" s="1141"/>
      <c r="AC822" s="1142"/>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0">
        <v>10500</v>
      </c>
      <c r="X823" s="1141"/>
      <c r="Y823" s="1141"/>
      <c r="Z823" s="1141"/>
      <c r="AA823" s="1141"/>
      <c r="AB823" s="1141"/>
      <c r="AC823" s="1142"/>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0">
        <v>25500</v>
      </c>
      <c r="X824" s="1141"/>
      <c r="Y824" s="1141"/>
      <c r="Z824" s="1141"/>
      <c r="AA824" s="1141"/>
      <c r="AB824" s="1141"/>
      <c r="AC824" s="1142"/>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0"/>
      <c r="X825" s="1141"/>
      <c r="Y825" s="1141"/>
      <c r="Z825" s="1141"/>
      <c r="AA825" s="1141"/>
      <c r="AB825" s="1141"/>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2" t="s">
        <v>1748</v>
      </c>
      <c r="N826" s="1163"/>
      <c r="O826" s="1163"/>
      <c r="P826" s="1163"/>
      <c r="Q826" s="1163"/>
      <c r="R826" s="1163"/>
      <c r="S826" s="1163"/>
      <c r="T826" s="1163"/>
      <c r="U826" s="1163"/>
      <c r="V826" s="1164"/>
      <c r="W826" s="1140">
        <v>36000</v>
      </c>
      <c r="X826" s="1141"/>
      <c r="Y826" s="1141"/>
      <c r="Z826" s="1141"/>
      <c r="AA826" s="1141"/>
      <c r="AB826" s="1141"/>
      <c r="AC826" s="114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84000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5" t="s">
        <v>369</v>
      </c>
      <c r="K829" s="1166"/>
      <c r="L829" s="1166"/>
      <c r="M829" s="1166"/>
      <c r="N829" s="1166"/>
      <c r="O829" s="1166"/>
      <c r="P829" s="1166"/>
      <c r="Q829" s="1166"/>
      <c r="R829" s="1166"/>
      <c r="S829" s="1166"/>
      <c r="T829" s="1166"/>
      <c r="U829" s="1166"/>
      <c r="V829" s="1167"/>
      <c r="W829" s="1140">
        <v>183323</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07"/>
      <c r="X831" s="1407"/>
      <c r="Y831" s="1407"/>
      <c r="Z831" s="1407"/>
      <c r="AA831" s="1407"/>
      <c r="AB831" s="1407"/>
      <c r="AC831" s="1407"/>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25000</v>
      </c>
      <c r="X832" s="1383"/>
      <c r="Y832" s="1383"/>
      <c r="Z832" s="1383"/>
      <c r="AA832" s="1383"/>
      <c r="AB832" s="1383"/>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2">
        <v>65000</v>
      </c>
      <c r="X833" s="1383"/>
      <c r="Y833" s="1383"/>
      <c r="Z833" s="1383"/>
      <c r="AA833" s="1383"/>
      <c r="AB833" s="1383"/>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2">
        <v>47000</v>
      </c>
      <c r="X834" s="1383"/>
      <c r="Y834" s="1383"/>
      <c r="Z834" s="1383"/>
      <c r="AA834" s="1383"/>
      <c r="AB834" s="1383"/>
      <c r="AC834" s="1384"/>
      <c r="AD834" s="12"/>
      <c r="AE834" s="12"/>
      <c r="AF834" s="12"/>
      <c r="AG834" s="12"/>
      <c r="AH834" s="12"/>
      <c r="AI834" s="12"/>
      <c r="AJ834" s="12"/>
      <c r="AK834" s="12"/>
      <c r="AL834" s="12"/>
      <c r="AM834" s="1409">
        <f>SUM(AM801:AM829)</f>
        <v>0</v>
      </c>
      <c r="AN834" s="140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137000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2">
        <v>180000</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2">
        <v>90000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6" t="s">
        <v>357</v>
      </c>
      <c r="N839" s="1163"/>
      <c r="O839" s="1163"/>
      <c r="P839" s="1163"/>
      <c r="Q839" s="1163"/>
      <c r="R839" s="1163"/>
      <c r="S839" s="1163"/>
      <c r="T839" s="1163"/>
      <c r="U839" s="1163"/>
      <c r="V839" s="1164"/>
      <c r="W839" s="1382"/>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270000</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2">
        <v>40000</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8"/>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0">
        <v>20700</v>
      </c>
      <c r="X844" s="1141"/>
      <c r="Y844" s="1141"/>
      <c r="Z844" s="1141"/>
      <c r="AA844" s="1141"/>
      <c r="AB844" s="1141"/>
      <c r="AC844" s="11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0">
        <v>16400</v>
      </c>
      <c r="X845" s="1141"/>
      <c r="Y845" s="1141"/>
      <c r="Z845" s="1141"/>
      <c r="AA845" s="1141"/>
      <c r="AB845" s="1141"/>
      <c r="AC845" s="11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0">
        <v>5000</v>
      </c>
      <c r="X846" s="1141"/>
      <c r="Y846" s="1141"/>
      <c r="Z846" s="1141"/>
      <c r="AA846" s="1141"/>
      <c r="AB846" s="1141"/>
      <c r="AC846" s="114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0">
        <v>41000</v>
      </c>
      <c r="X847" s="1141"/>
      <c r="Y847" s="1141"/>
      <c r="Z847" s="1141"/>
      <c r="AA847" s="1141"/>
      <c r="AB847" s="1141"/>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0">
        <v>8600</v>
      </c>
      <c r="X848" s="1141"/>
      <c r="Y848" s="1141"/>
      <c r="Z848" s="1141"/>
      <c r="AA848" s="1141"/>
      <c r="AB848" s="1141"/>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6" t="s">
        <v>357</v>
      </c>
      <c r="N849" s="1163"/>
      <c r="O849" s="1163"/>
      <c r="P849" s="1163"/>
      <c r="Q849" s="1163"/>
      <c r="R849" s="1163"/>
      <c r="S849" s="1163"/>
      <c r="T849" s="1163"/>
      <c r="U849" s="1163"/>
      <c r="V849" s="1164"/>
      <c r="W849" s="1140">
        <v>30500</v>
      </c>
      <c r="X849" s="1141"/>
      <c r="Y849" s="1141"/>
      <c r="Z849" s="1141"/>
      <c r="AA849" s="1141"/>
      <c r="AB849" s="1141"/>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122200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2" t="s">
        <v>1749</v>
      </c>
      <c r="N852" s="1163"/>
      <c r="O852" s="1163"/>
      <c r="P852" s="1163"/>
      <c r="Q852" s="1163"/>
      <c r="R852" s="1163"/>
      <c r="S852" s="1163"/>
      <c r="T852" s="1163"/>
      <c r="U852" s="1163"/>
      <c r="V852" s="1164"/>
      <c r="W852" s="1140">
        <v>30373</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62"/>
      <c r="N853" s="1163"/>
      <c r="O853" s="1163"/>
      <c r="P853" s="1163"/>
      <c r="Q853" s="1163"/>
      <c r="R853" s="1163"/>
      <c r="S853" s="1163"/>
      <c r="T853" s="1163"/>
      <c r="U853" s="1163"/>
      <c r="V853" s="1164"/>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6" t="s">
        <v>357</v>
      </c>
      <c r="N854" s="1163"/>
      <c r="O854" s="1163"/>
      <c r="P854" s="1163"/>
      <c r="Q854" s="1163"/>
      <c r="R854" s="1163"/>
      <c r="S854" s="1163"/>
      <c r="T854" s="1163"/>
      <c r="U854" s="1163"/>
      <c r="V854" s="1164"/>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26" t="s">
        <v>357</v>
      </c>
      <c r="N855" s="1163"/>
      <c r="O855" s="1163"/>
      <c r="P855" s="1163"/>
      <c r="Q855" s="1163"/>
      <c r="R855" s="1163"/>
      <c r="S855" s="1163"/>
      <c r="T855" s="1163"/>
      <c r="U855" s="1163"/>
      <c r="V855" s="1164"/>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26" t="s">
        <v>357</v>
      </c>
      <c r="N856" s="1163"/>
      <c r="O856" s="1163"/>
      <c r="P856" s="1163"/>
      <c r="Q856" s="1163"/>
      <c r="R856" s="1163"/>
      <c r="S856" s="1163"/>
      <c r="T856" s="1163"/>
      <c r="U856" s="1163"/>
      <c r="V856" s="1164"/>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30373</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866896</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4">
        <f>O778+O758+G734</f>
        <v>152</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7">
        <f>IF(ISERROR((ROUNDDOWN(AC861/AC862,0))),0,(ROUNDDOWN(AC861/AC862,0)))</f>
        <v>5703</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8">
        <v>543058</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2"/>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35000</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45600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30000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1785</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8">
        <v>10000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140"/>
      <c r="AD870" s="1141"/>
      <c r="AE870" s="1141"/>
      <c r="AF870" s="1141"/>
      <c r="AG870" s="1141"/>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8">
        <f>IF(AD955&gt;0,0.2,0)</f>
        <v>0.2</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7.0000000000000007E-2</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8">
        <f>SUM(AQ877:AQ885)</f>
        <v>0.27</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0.27</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873</v>
      </c>
      <c r="G890" s="1394"/>
      <c r="H890" s="1394"/>
      <c r="I890" s="1394"/>
      <c r="J890" s="1394"/>
      <c r="K890" s="1394"/>
      <c r="L890" s="1394"/>
      <c r="M890" s="1394"/>
      <c r="N890" s="1394"/>
      <c r="O890" s="1394"/>
      <c r="P890" s="1394"/>
      <c r="Q890" s="1394"/>
      <c r="R890" s="1394"/>
      <c r="S890" s="1394"/>
      <c r="T890" s="1395"/>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902</v>
      </c>
      <c r="G891" s="1335"/>
      <c r="H891" s="1335"/>
      <c r="I891" s="1335"/>
      <c r="J891" s="1335"/>
      <c r="K891" s="1335"/>
      <c r="L891" s="1335"/>
      <c r="M891" s="1335"/>
      <c r="N891" s="1335"/>
      <c r="O891" s="1335"/>
      <c r="P891" s="1335"/>
      <c r="Q891" s="1335"/>
      <c r="R891" s="1335"/>
      <c r="S891" s="1335"/>
      <c r="T891" s="1552"/>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53"/>
      <c r="U892" s="1336"/>
      <c r="V892" s="1337"/>
      <c r="W892" s="1337"/>
      <c r="X892" s="1337"/>
      <c r="Y892" s="1337"/>
      <c r="Z892" s="1337"/>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3" t="s">
        <v>591</v>
      </c>
      <c r="V893" s="1224"/>
      <c r="W893" s="1224"/>
      <c r="X893" s="1224"/>
      <c r="Y893" s="1224"/>
      <c r="Z893" s="1225"/>
      <c r="AA893" s="1186">
        <v>44000000</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3" t="s">
        <v>641</v>
      </c>
      <c r="V894" s="1224"/>
      <c r="W894" s="1224"/>
      <c r="X894" s="1224"/>
      <c r="Y894" s="1224"/>
      <c r="Z894" s="1225"/>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3" t="s">
        <v>641</v>
      </c>
      <c r="V895" s="1224"/>
      <c r="W895" s="1224"/>
      <c r="X895" s="1224"/>
      <c r="Y895" s="1224"/>
      <c r="Z895" s="1225"/>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3" t="s">
        <v>641</v>
      </c>
      <c r="V896" s="1224"/>
      <c r="W896" s="1224"/>
      <c r="X896" s="1224"/>
      <c r="Y896" s="1224"/>
      <c r="Z896" s="1225"/>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3" t="s">
        <v>641</v>
      </c>
      <c r="V897" s="1224"/>
      <c r="W897" s="1224"/>
      <c r="X897" s="1224"/>
      <c r="Y897" s="1224"/>
      <c r="Z897" s="1225"/>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3" t="s">
        <v>641</v>
      </c>
      <c r="V898" s="1224"/>
      <c r="W898" s="1224"/>
      <c r="X898" s="1224"/>
      <c r="Y898" s="1224"/>
      <c r="Z898" s="1225"/>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3" t="s">
        <v>641</v>
      </c>
      <c r="V899" s="1224"/>
      <c r="W899" s="1224"/>
      <c r="X899" s="1224"/>
      <c r="Y899" s="1224"/>
      <c r="Z899" s="1225"/>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3" t="s">
        <v>641</v>
      </c>
      <c r="V900" s="1224"/>
      <c r="W900" s="1224"/>
      <c r="X900" s="1224"/>
      <c r="Y900" s="1224"/>
      <c r="Z900" s="1225"/>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3" t="s">
        <v>641</v>
      </c>
      <c r="V901" s="1224"/>
      <c r="W901" s="1224"/>
      <c r="X901" s="1224"/>
      <c r="Y901" s="1224"/>
      <c r="Z901" s="1225"/>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3" t="s">
        <v>641</v>
      </c>
      <c r="V902" s="1224"/>
      <c r="W902" s="1224"/>
      <c r="X902" s="1224"/>
      <c r="Y902" s="1224"/>
      <c r="Z902" s="1225"/>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3" t="s">
        <v>641</v>
      </c>
      <c r="V903" s="1224"/>
      <c r="W903" s="1224"/>
      <c r="X903" s="1224"/>
      <c r="Y903" s="1224"/>
      <c r="Z903" s="1225"/>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3" t="s">
        <v>641</v>
      </c>
      <c r="V904" s="1224"/>
      <c r="W904" s="1224"/>
      <c r="X904" s="1224"/>
      <c r="Y904" s="1224"/>
      <c r="Z904" s="1225"/>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3" t="s">
        <v>641</v>
      </c>
      <c r="V905" s="1224"/>
      <c r="W905" s="1224"/>
      <c r="X905" s="1224"/>
      <c r="Y905" s="1224"/>
      <c r="Z905" s="1225"/>
      <c r="AA905" s="1186"/>
      <c r="AB905" s="1187"/>
      <c r="AC905" s="1187"/>
      <c r="AD905" s="1187"/>
      <c r="AE905" s="1187"/>
      <c r="AF905" s="1188"/>
      <c r="AM905" s="1403">
        <f>G734+O778</f>
        <v>151</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3" t="s">
        <v>641</v>
      </c>
      <c r="V906" s="1224"/>
      <c r="W906" s="1224"/>
      <c r="X906" s="1224"/>
      <c r="Y906" s="1224"/>
      <c r="Z906" s="1225"/>
      <c r="AA906" s="1186"/>
      <c r="AB906" s="1187"/>
      <c r="AC906" s="1187"/>
      <c r="AD906" s="1187"/>
      <c r="AE906" s="1187"/>
      <c r="AF906" s="1188"/>
      <c r="AM906" s="52"/>
      <c r="AN906" s="21"/>
      <c r="AO906" s="1379">
        <f>ROUNDDOWN(X999/I999,2)</f>
        <v>0.34</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3" t="s">
        <v>641</v>
      </c>
      <c r="V907" s="1224"/>
      <c r="W907" s="1224"/>
      <c r="X907" s="1224"/>
      <c r="Y907" s="1224"/>
      <c r="Z907" s="1225"/>
      <c r="AA907" s="1186"/>
      <c r="AB907" s="1187"/>
      <c r="AC907" s="1187"/>
      <c r="AD907" s="1187"/>
      <c r="AE907" s="1187"/>
      <c r="AF907" s="1188"/>
      <c r="AM907" s="52"/>
      <c r="AN907" s="52"/>
      <c r="AO907" s="1358">
        <f>ROUNDDOWN(X1003/I1003,2)</f>
        <v>0.05</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3" t="s">
        <v>722</v>
      </c>
      <c r="Q908" s="1224"/>
      <c r="R908" s="1224"/>
      <c r="S908" s="1224"/>
      <c r="T908" s="1225"/>
      <c r="U908" s="1223" t="s">
        <v>641</v>
      </c>
      <c r="V908" s="1224"/>
      <c r="W908" s="1224"/>
      <c r="X908" s="1224"/>
      <c r="Y908" s="1224"/>
      <c r="Z908" s="1225"/>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1" t="s">
        <v>1750</v>
      </c>
      <c r="J909" s="1385"/>
      <c r="K909" s="1385"/>
      <c r="L909" s="1385"/>
      <c r="M909" s="1385"/>
      <c r="N909" s="1385"/>
      <c r="O909" s="1385"/>
      <c r="P909" s="1385"/>
      <c r="Q909" s="1385"/>
      <c r="R909" s="1385"/>
      <c r="S909" s="1385"/>
      <c r="T909" s="1386"/>
      <c r="U909" s="1223" t="s">
        <v>591</v>
      </c>
      <c r="V909" s="1224"/>
      <c r="W909" s="1224"/>
      <c r="X909" s="1224"/>
      <c r="Y909" s="1224"/>
      <c r="Z909" s="1225"/>
      <c r="AA909" s="1186">
        <v>9500000</v>
      </c>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1" t="s">
        <v>1751</v>
      </c>
      <c r="J910" s="1152"/>
      <c r="K910" s="1152"/>
      <c r="L910" s="1152"/>
      <c r="M910" s="1152"/>
      <c r="N910" s="1152"/>
      <c r="O910" s="1152"/>
      <c r="P910" s="1152"/>
      <c r="Q910" s="1152"/>
      <c r="R910" s="1152"/>
      <c r="S910" s="1152"/>
      <c r="T910" s="1153"/>
      <c r="U910" s="1223" t="s">
        <v>591</v>
      </c>
      <c r="V910" s="1224"/>
      <c r="W910" s="1224"/>
      <c r="X910" s="1224"/>
      <c r="Y910" s="1224"/>
      <c r="Z910" s="1225"/>
      <c r="AA910" s="1186">
        <v>5850460</v>
      </c>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7" t="s">
        <v>357</v>
      </c>
      <c r="J911" s="1152"/>
      <c r="K911" s="1152"/>
      <c r="L911" s="1152"/>
      <c r="M911" s="1152"/>
      <c r="N911" s="1152"/>
      <c r="O911" s="1152"/>
      <c r="P911" s="1152"/>
      <c r="Q911" s="1152"/>
      <c r="R911" s="1152"/>
      <c r="S911" s="1152"/>
      <c r="T911" s="1153"/>
      <c r="U911" s="1223" t="s">
        <v>641</v>
      </c>
      <c r="V911" s="1224"/>
      <c r="W911" s="1224"/>
      <c r="X911" s="1224"/>
      <c r="Y911" s="1224"/>
      <c r="Z911" s="1225"/>
      <c r="AA911" s="1186"/>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7" t="s">
        <v>357</v>
      </c>
      <c r="J912" s="1152"/>
      <c r="K912" s="1152"/>
      <c r="L912" s="1152"/>
      <c r="M912" s="1152"/>
      <c r="N912" s="1152"/>
      <c r="O912" s="1152"/>
      <c r="P912" s="1152"/>
      <c r="Q912" s="1152"/>
      <c r="R912" s="1152"/>
      <c r="S912" s="1152"/>
      <c r="T912" s="1153"/>
      <c r="U912" s="1223" t="s">
        <v>641</v>
      </c>
      <c r="V912" s="1224"/>
      <c r="W912" s="1224"/>
      <c r="X912" s="1224"/>
      <c r="Y912" s="1224"/>
      <c r="Z912" s="1225"/>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t="s">
        <v>641</v>
      </c>
      <c r="N917" s="1269"/>
      <c r="O917" s="1269"/>
      <c r="P917" s="1269"/>
      <c r="Q917" s="1269"/>
      <c r="R917" s="1269"/>
      <c r="S917" s="1270"/>
      <c r="U917" s="103" t="s">
        <v>11</v>
      </c>
      <c r="V917" s="77"/>
      <c r="W917" s="77"/>
      <c r="X917" s="77"/>
      <c r="Y917" s="77"/>
      <c r="Z917" s="77"/>
      <c r="AA917" s="77"/>
      <c r="AB917" s="77"/>
      <c r="AC917" s="77"/>
      <c r="AD917" s="78"/>
      <c r="AE917" s="1268"/>
      <c r="AF917" s="1269"/>
      <c r="AG917" s="1269"/>
      <c r="AH917" s="1269"/>
      <c r="AI917" s="1269"/>
      <c r="AJ917" s="1269"/>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2" t="s">
        <v>329</v>
      </c>
      <c r="K919" s="1373"/>
      <c r="L919" s="1373"/>
      <c r="M919" s="1373"/>
      <c r="N919" s="1373"/>
      <c r="O919" s="1373"/>
      <c r="P919" s="1373"/>
      <c r="Q919" s="1373"/>
      <c r="R919" s="1373"/>
      <c r="S919" s="1374"/>
      <c r="U919" s="103" t="s">
        <v>974</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4"/>
      <c r="N924" s="1345"/>
      <c r="O924" s="1345"/>
      <c r="P924" s="1345"/>
      <c r="Q924" s="1345"/>
      <c r="R924" s="1345"/>
      <c r="S924" s="1346"/>
      <c r="U924" s="103" t="s">
        <v>620</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4"/>
      <c r="N929" s="1205"/>
      <c r="O929" s="1205"/>
      <c r="P929" s="1205"/>
      <c r="Q929" s="1205"/>
      <c r="R929" s="1205"/>
      <c r="S929" s="1206"/>
      <c r="T929" s="103" t="s">
        <v>871</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4"/>
      <c r="N930" s="1205"/>
      <c r="O930" s="1205"/>
      <c r="P930" s="1205"/>
      <c r="Q930" s="1205"/>
      <c r="R930" s="1205"/>
      <c r="S930" s="1206"/>
      <c r="T930" s="103" t="s">
        <v>870</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6" t="s">
        <v>641</v>
      </c>
      <c r="N931" s="1367"/>
      <c r="O931" s="1367"/>
      <c r="P931" s="1367"/>
      <c r="Q931" s="1367"/>
      <c r="R931" s="1367"/>
      <c r="S931" s="1368"/>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4"/>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5" t="s">
        <v>329</v>
      </c>
      <c r="N934" s="1356"/>
      <c r="O934" s="1356"/>
      <c r="P934" s="1356"/>
      <c r="Q934" s="1356"/>
      <c r="R934" s="1356"/>
      <c r="S934" s="1357"/>
      <c r="T934" s="1327"/>
      <c r="U934" s="1328"/>
      <c r="V934" s="1328"/>
      <c r="W934" s="1328"/>
      <c r="X934" s="1328"/>
      <c r="Y934" s="1328"/>
      <c r="Z934" s="1329"/>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4"/>
      <c r="N935" s="1205"/>
      <c r="O935" s="1205"/>
      <c r="P935" s="1205"/>
      <c r="Q935" s="1205"/>
      <c r="R935" s="1205"/>
      <c r="S935" s="1206"/>
      <c r="T935" s="1327"/>
      <c r="U935" s="1328"/>
      <c r="V935" s="1328"/>
      <c r="W935" s="1328"/>
      <c r="X935" s="1328"/>
      <c r="Y935" s="1328"/>
      <c r="Z935" s="1329"/>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722</v>
      </c>
      <c r="P936" s="1298"/>
      <c r="Q936" s="142"/>
      <c r="R936" s="142"/>
      <c r="S936" s="143"/>
      <c r="T936" s="71" t="s">
        <v>177</v>
      </c>
      <c r="U936" s="72"/>
      <c r="V936" s="72"/>
      <c r="W936" s="1326" t="s">
        <v>357</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4"/>
      <c r="N937" s="1205"/>
      <c r="O937" s="1205"/>
      <c r="P937" s="1205"/>
      <c r="Q937" s="1205"/>
      <c r="R937" s="1205"/>
      <c r="S937" s="1206"/>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594</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688</v>
      </c>
      <c r="C946" s="1364"/>
      <c r="D946" s="1364"/>
      <c r="E946" s="1364"/>
      <c r="F946" s="1364"/>
      <c r="G946" s="1364"/>
      <c r="H946" s="1364"/>
      <c r="I946" s="1364"/>
      <c r="J946" s="1364"/>
      <c r="K946" s="1364"/>
      <c r="L946" s="1364" t="s">
        <v>689</v>
      </c>
      <c r="M946" s="1364"/>
      <c r="N946" s="1364"/>
      <c r="O946" s="1364"/>
      <c r="P946" s="1364"/>
      <c r="Q946" s="1364"/>
      <c r="R946" s="1364"/>
      <c r="S946" s="1364"/>
      <c r="T946" s="1364"/>
      <c r="U946" s="1364"/>
      <c r="V946" s="1364" t="s">
        <v>690</v>
      </c>
      <c r="W946" s="1364"/>
      <c r="X946" s="1364"/>
      <c r="Y946" s="1364"/>
      <c r="Z946" s="1364"/>
      <c r="AA946" s="1364"/>
      <c r="AB946" s="1364"/>
      <c r="AC946" s="1364"/>
      <c r="AD946" s="1375" t="s">
        <v>691</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683</v>
      </c>
      <c r="C947" s="1203"/>
      <c r="D947" s="1203"/>
      <c r="E947" s="1203"/>
      <c r="F947" s="1203"/>
      <c r="G947" s="1203"/>
      <c r="H947" s="1203"/>
      <c r="I947" s="1203"/>
      <c r="J947" s="1203"/>
      <c r="K947" s="1203"/>
      <c r="L947" s="1341">
        <f>IF(ISNA(IF($BA$779="4%",(INDEX($BC$789:$BG$846,MATCH($BO$779,$BB$789:$BB$846,0),MATCH(B947,$BC$788:$BG$788,0))),(INDEX($BJ$789:$BN$846,MATCH($BO$779,$BI$789:$BI$846,0),MATCH(B947,$BJ$788:$BN$788,0))))),0,IF($BA$779="4%",(INDEX($BC$789:$BG$846,MATCH($BO$779,$BB$789:$BB$846,0),MATCH(B947,$BC$788:$BG$788,0))),(INDEX($BJ$789:$BN$846,MATCH($BO$779,$BI$789:$BI$846,0),MATCH(B947,$BJ$788:$BN$788,0)))))</f>
        <v>293352</v>
      </c>
      <c r="M947" s="1342"/>
      <c r="N947" s="1342"/>
      <c r="O947" s="1342"/>
      <c r="P947" s="1342"/>
      <c r="Q947" s="1342"/>
      <c r="R947" s="1342"/>
      <c r="S947" s="1342"/>
      <c r="T947" s="1342"/>
      <c r="U947" s="1343"/>
      <c r="V947" s="1371">
        <f>BA635</f>
        <v>20</v>
      </c>
      <c r="W947" s="1371"/>
      <c r="X947" s="1371"/>
      <c r="Y947" s="1371"/>
      <c r="Z947" s="1371"/>
      <c r="AA947" s="1371"/>
      <c r="AB947" s="1371"/>
      <c r="AC947" s="1371"/>
      <c r="AD947" s="1285">
        <f>IF(ISERROR((L947*V947)),0,(L947*V947))</f>
        <v>5867040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41">
        <f>IF(ISNA(IF($BA$779="4%",(INDEX($BC$789:$BG$846,MATCH($BO$779,$BB$789:$BB$846,0),MATCH(B948,$BC$788:$BG$788,0))),(INDEX($BJ$789:$BN$846,MATCH($BO$779,$BI$789:$BI$846,0),MATCH(B948,$BJ$788:$BN$788,0))))),0,IF($BA$779="4%",(INDEX($BC$789:$BG$846,MATCH($BO$779,$BB$789:$BB$846,0),MATCH(B948,$BC$788:$BG$788,0))),(INDEX($BJ$789:$BN$846,MATCH($BO$779,$BI$789:$BI$846,0),MATCH(B948,$BJ$788:$BN$788,0)))))</f>
        <v>338232</v>
      </c>
      <c r="M948" s="1342"/>
      <c r="N948" s="1342"/>
      <c r="O948" s="1342"/>
      <c r="P948" s="1342"/>
      <c r="Q948" s="1342"/>
      <c r="R948" s="1342"/>
      <c r="S948" s="1342"/>
      <c r="T948" s="1342"/>
      <c r="U948" s="1343"/>
      <c r="V948" s="1371">
        <f>BF635</f>
        <v>70</v>
      </c>
      <c r="W948" s="1371"/>
      <c r="X948" s="1371"/>
      <c r="Y948" s="1371"/>
      <c r="Z948" s="1371"/>
      <c r="AA948" s="1371"/>
      <c r="AB948" s="1371"/>
      <c r="AC948" s="1371"/>
      <c r="AD948" s="1285">
        <f>IF(ISERROR((L948*V948)),0,(L948*V948))</f>
        <v>23676240</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1">
        <f>IF(ISNA(IF($BA$779="4%",(INDEX($BC$789:$BG$846,MATCH($BO$779,$BB$789:$BB$846,0),MATCH(B949,$BC$788:$BG$788,0))),(INDEX($BJ$789:$BN$846,MATCH($BO$779,$BI$789:$BI$846,0),MATCH(B949,$BJ$788:$BN$788,0))))),0,IF($BA$779="4%",(INDEX($BC$789:$BG$846,MATCH($BO$779,$BB$789:$BB$846,0),MATCH(B949,$BC$788:$BG$788,0))),(INDEX($BJ$789:$BN$846,MATCH($BO$779,$BI$789:$BI$846,0),MATCH(B949,$BJ$788:$BN$788,0)))))</f>
        <v>408000</v>
      </c>
      <c r="M949" s="1342"/>
      <c r="N949" s="1342"/>
      <c r="O949" s="1342"/>
      <c r="P949" s="1342"/>
      <c r="Q949" s="1342"/>
      <c r="R949" s="1342"/>
      <c r="S949" s="1342"/>
      <c r="T949" s="1342"/>
      <c r="U949" s="1343"/>
      <c r="V949" s="1371">
        <f>BK635</f>
        <v>39</v>
      </c>
      <c r="W949" s="1371"/>
      <c r="X949" s="1371"/>
      <c r="Y949" s="1371"/>
      <c r="Z949" s="1371"/>
      <c r="AA949" s="1371"/>
      <c r="AB949" s="1371"/>
      <c r="AC949" s="1371"/>
      <c r="AD949" s="1285">
        <f>IF(ISERROR((L949*V949)),0,(L949*V949))</f>
        <v>15912000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1">
        <f>IF(ISNA(IF($BA$779="4%",(INDEX($BC$789:$BG$846,MATCH($BO$779,$BB$789:$BB$846,0),MATCH(B950,$BC$788:$BG$788,0))),(INDEX($BJ$789:$BN$846,MATCH($BO$779,$BI$789:$BI$846,0),MATCH(B950,$BJ$788:$BN$788,0))))),0,IF($BA$779="4%",(INDEX($BC$789:$BG$846,MATCH($BO$779,$BB$789:$BB$846,0),MATCH(B950,$BC$788:$BG$788,0))),(INDEX($BJ$789:$BN$846,MATCH($BO$779,$BI$789:$BI$846,0),MATCH(B950,$BJ$788:$BN$788,0)))))</f>
        <v>522240</v>
      </c>
      <c r="M950" s="1342"/>
      <c r="N950" s="1342"/>
      <c r="O950" s="1342"/>
      <c r="P950" s="1342"/>
      <c r="Q950" s="1342"/>
      <c r="R950" s="1342"/>
      <c r="S950" s="1342"/>
      <c r="T950" s="1342"/>
      <c r="U950" s="1343"/>
      <c r="V950" s="1371">
        <f>BP635</f>
        <v>23</v>
      </c>
      <c r="W950" s="1371"/>
      <c r="X950" s="1371"/>
      <c r="Y950" s="1371"/>
      <c r="Z950" s="1371"/>
      <c r="AA950" s="1371"/>
      <c r="AB950" s="1371"/>
      <c r="AC950" s="1371"/>
      <c r="AD950" s="1285">
        <f>IF(ISERROR((L950*V950)),0,(L950*V950))</f>
        <v>12011520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506</v>
      </c>
      <c r="C951" s="1202"/>
      <c r="D951" s="1202"/>
      <c r="E951" s="1202"/>
      <c r="F951" s="1202"/>
      <c r="G951" s="1202"/>
      <c r="H951" s="1202"/>
      <c r="I951" s="1202"/>
      <c r="J951" s="1202"/>
      <c r="K951" s="1202"/>
      <c r="L951" s="1341">
        <f>IF(ISNA(IF($BA$779="4%",(INDEX($BC$789:$BG$846,MATCH($BO$779,$BB$789:$BB$846,0),MATCH(B951,$BC$788:$BG$788,0))),(INDEX($BJ$789:$BN$846,MATCH($BO$779,$BI$789:$BI$846,0),MATCH(B951,$BJ$788:$BN$788,0))))),0,IF($BA$779="4%",(INDEX($BC$789:$BG$846,MATCH($BO$779,$BB$789:$BB$846,0),MATCH(B951,$BC$788:$BG$788,0))),(INDEX($BJ$789:$BN$846,MATCH($BO$779,$BI$789:$BI$846,0),MATCH(B951,$BJ$788:$BN$788,0)))))</f>
        <v>581808</v>
      </c>
      <c r="M951" s="1342"/>
      <c r="N951" s="1342"/>
      <c r="O951" s="1342"/>
      <c r="P951" s="1342"/>
      <c r="Q951" s="1342"/>
      <c r="R951" s="1342"/>
      <c r="S951" s="1342"/>
      <c r="T951" s="1342"/>
      <c r="U951" s="1343"/>
      <c r="V951" s="1371">
        <f>BZ635+BU635</f>
        <v>0</v>
      </c>
      <c r="W951" s="1371"/>
      <c r="X951" s="1371"/>
      <c r="Y951" s="1371"/>
      <c r="Z951" s="1371"/>
      <c r="AA951" s="1371"/>
      <c r="AB951" s="1371"/>
      <c r="AC951" s="1371"/>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6">
        <f>SUM(V947:AC951)</f>
        <v>152</v>
      </c>
      <c r="W952" s="1397"/>
      <c r="X952" s="1397"/>
      <c r="Y952" s="1397"/>
      <c r="Z952" s="1397"/>
      <c r="AA952" s="1397"/>
      <c r="AB952" s="1397"/>
      <c r="AC952" s="1398"/>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558</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4">
        <f>SUM(AD947:AK951)</f>
        <v>57466800</v>
      </c>
      <c r="AE953" s="1265"/>
      <c r="AF953" s="1265"/>
      <c r="AG953" s="1265"/>
      <c r="AH953" s="1265"/>
      <c r="AI953" s="1265"/>
      <c r="AJ953" s="1265"/>
      <c r="AK953" s="126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7" t="s">
        <v>719</v>
      </c>
      <c r="AA954" s="1548"/>
      <c r="AB954" s="1548"/>
      <c r="AC954" s="15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9" t="s">
        <v>1482</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9" t="s">
        <v>591</v>
      </c>
      <c r="AB955" s="1370"/>
      <c r="AC955" s="128"/>
      <c r="AD955" s="1177">
        <f>ROUND(IF(AND(AA955="yes",D957&gt;0),AD953*0.2,0),0)</f>
        <v>11493360</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0" t="s">
        <v>1483</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80"/>
      <c r="AE956" s="1180"/>
      <c r="AF956" s="1180"/>
      <c r="AG956" s="1180"/>
      <c r="AH956" s="1180"/>
      <c r="AI956" s="1180"/>
      <c r="AJ956" s="1180"/>
      <c r="AK956" s="118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t="s">
        <v>969</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1609</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4" t="s">
        <v>722</v>
      </c>
      <c r="AB958" s="1175"/>
      <c r="AC958" s="128"/>
      <c r="AD958" s="1176">
        <f>ROUND(IF(AA958="yes",AD953*0.05,0),0)</f>
        <v>0</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1606</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9" t="s">
        <v>1608</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4" t="s">
        <v>591</v>
      </c>
      <c r="AB965" s="1175"/>
      <c r="AC965" s="128"/>
      <c r="AD965" s="1177">
        <f>ROUND(IF(AA965="yes",AD953*0.07,0),0)</f>
        <v>4022676</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1607</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1610</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722</v>
      </c>
      <c r="AB969" s="1242"/>
      <c r="AC969" s="51"/>
      <c r="AD969" s="1176">
        <f>ROUND(IF(AA969="yes",AD953*0.02,0),0)</f>
        <v>0</v>
      </c>
      <c r="AE969" s="1177"/>
      <c r="AF969" s="1177"/>
      <c r="AG969" s="1177"/>
      <c r="AH969" s="1177"/>
      <c r="AI969" s="1177"/>
      <c r="AJ969" s="1177"/>
      <c r="AK969" s="1178"/>
      <c r="AL969" s="105"/>
      <c r="AO969" s="32"/>
      <c r="AP969" s="32"/>
      <c r="AQ969" s="32"/>
      <c r="AR969" s="32"/>
      <c r="AS969" s="32"/>
    </row>
    <row r="970" spans="1:96" s="743" customFormat="1" ht="12.75" customHeight="1">
      <c r="A970" s="51"/>
      <c r="B970" s="113"/>
      <c r="C970" s="114"/>
      <c r="D970" s="1252" t="s">
        <v>1611</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79"/>
      <c r="AE970" s="1180"/>
      <c r="AF970" s="1180"/>
      <c r="AG970" s="1180"/>
      <c r="AH970" s="1180"/>
      <c r="AI970" s="1180"/>
      <c r="AJ970" s="1180"/>
      <c r="AK970" s="1181"/>
      <c r="AL970" s="105"/>
      <c r="AO970" s="945"/>
      <c r="AP970" s="945"/>
      <c r="AQ970" s="945"/>
      <c r="AR970" s="945"/>
      <c r="AS970" s="945"/>
    </row>
    <row r="971" spans="1:96" ht="12.75" customHeight="1">
      <c r="A971" s="51"/>
      <c r="B971" s="120"/>
      <c r="C971" s="121" t="s">
        <v>230</v>
      </c>
      <c r="D971" s="1249" t="s">
        <v>1612</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4" t="s">
        <v>722</v>
      </c>
      <c r="AB971" s="1175"/>
      <c r="AC971" s="120"/>
      <c r="AD971" s="1176">
        <f>ROUND(IF(AA971="yes",AD953*0.02,0),0)</f>
        <v>0</v>
      </c>
      <c r="AE971" s="1177"/>
      <c r="AF971" s="1177"/>
      <c r="AG971" s="1177"/>
      <c r="AH971" s="1177"/>
      <c r="AI971" s="1177"/>
      <c r="AJ971" s="1177"/>
      <c r="AK971" s="1178"/>
      <c r="AL971" s="105"/>
    </row>
    <row r="972" spans="1:96" s="743" customFormat="1" ht="12.75" customHeight="1">
      <c r="A972" s="51"/>
      <c r="B972" s="113"/>
      <c r="C972" s="114"/>
      <c r="D972" s="1246" t="s">
        <v>1613</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1614</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4" t="s">
        <v>722</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6" t="s">
        <v>1615</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79"/>
      <c r="AE975" s="1180"/>
      <c r="AF975" s="1180"/>
      <c r="AG975" s="1180"/>
      <c r="AH975" s="1180"/>
      <c r="AI975" s="1180"/>
      <c r="AJ975" s="1180"/>
      <c r="AK975" s="1181"/>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79"/>
      <c r="AE976" s="1180"/>
      <c r="AF976" s="1180"/>
      <c r="AG976" s="1180"/>
      <c r="AH976" s="1180"/>
      <c r="AI976" s="1180"/>
      <c r="AJ976" s="1180"/>
      <c r="AK976" s="1181"/>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1" t="s">
        <v>1616</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41" t="s">
        <v>722</v>
      </c>
      <c r="AB978" s="1242"/>
      <c r="AC978" s="51"/>
      <c r="AD978" s="1288"/>
      <c r="AE978" s="1289"/>
      <c r="AF978" s="1289"/>
      <c r="AG978" s="1289"/>
      <c r="AH978" s="1289"/>
      <c r="AI978" s="1289"/>
      <c r="AJ978" s="1289"/>
      <c r="AK978" s="1290"/>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6" t="s">
        <v>1617</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641</v>
      </c>
      <c r="K983" s="1308"/>
      <c r="L983" s="1308"/>
      <c r="M983" s="1308"/>
      <c r="N983" s="1308"/>
      <c r="O983" s="1308"/>
      <c r="P983" s="1308"/>
      <c r="Q983" s="1309"/>
      <c r="R983" s="7"/>
      <c r="S983" s="7"/>
      <c r="T983" s="164"/>
      <c r="U983" s="7"/>
      <c r="V983" s="1347" t="str">
        <f>IF(AA978="yes",(AD953*0.15),"")</f>
        <v/>
      </c>
      <c r="W983" s="1347"/>
      <c r="X983" s="1347"/>
      <c r="Y983" s="1348"/>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49" t="s">
        <v>1618</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722</v>
      </c>
      <c r="AB984" s="1242"/>
      <c r="AC984" s="51"/>
      <c r="AD984" s="1288"/>
      <c r="AE984" s="1289"/>
      <c r="AF984" s="1289"/>
      <c r="AG984" s="1289"/>
      <c r="AH984" s="1289"/>
      <c r="AI984" s="1289"/>
      <c r="AJ984" s="1289"/>
      <c r="AK984" s="1290"/>
      <c r="AL984" s="105"/>
    </row>
    <row r="985" spans="1:38" ht="12.75" customHeight="1">
      <c r="A985" s="51"/>
      <c r="B985" s="113"/>
      <c r="C985" s="114"/>
      <c r="D985" s="1246" t="s">
        <v>1619</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5">
        <f>IF(AA984="yes","Please Enter Amount:",0)</f>
        <v>0</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49" t="s">
        <v>1620</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4" t="s">
        <v>722</v>
      </c>
      <c r="AB988" s="1175"/>
      <c r="AC988" s="127"/>
      <c r="AD988" s="1176">
        <f>ROUND(IF(AA988="yes",(AD953*0.1),0),0)</f>
        <v>0</v>
      </c>
      <c r="AE988" s="1177"/>
      <c r="AF988" s="1177"/>
      <c r="AG988" s="1177"/>
      <c r="AH988" s="1177"/>
      <c r="AI988" s="1177"/>
      <c r="AJ988" s="1177"/>
      <c r="AK988" s="1178"/>
      <c r="AL988" s="105"/>
    </row>
    <row r="989" spans="1:38" s="743" customFormat="1" ht="12.75" customHeight="1">
      <c r="A989" s="51"/>
      <c r="B989" s="113"/>
      <c r="C989" s="114"/>
      <c r="D989" s="1246" t="s">
        <v>1621</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79"/>
      <c r="AE989" s="1180"/>
      <c r="AF989" s="1180"/>
      <c r="AG989" s="1180"/>
      <c r="AH989" s="1180"/>
      <c r="AI989" s="1180"/>
      <c r="AJ989" s="1180"/>
      <c r="AK989" s="1181"/>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79"/>
      <c r="AE990" s="1180"/>
      <c r="AF990" s="1180"/>
      <c r="AG990" s="1180"/>
      <c r="AH990" s="1180"/>
      <c r="AI990" s="1180"/>
      <c r="AJ990" s="1180"/>
      <c r="AK990" s="1181"/>
      <c r="AL990" s="105"/>
    </row>
    <row r="991" spans="1:38" ht="12.75" customHeight="1">
      <c r="A991" s="51"/>
      <c r="B991" s="120"/>
      <c r="C991" s="555" t="s">
        <v>741</v>
      </c>
      <c r="D991" s="1249" t="s">
        <v>1622</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4" t="s">
        <v>722</v>
      </c>
      <c r="AB991" s="1175"/>
      <c r="AC991" s="127"/>
      <c r="AD991" s="1176">
        <f>ROUND(IF(AA991="yes",(AD953*0.1),0),0)</f>
        <v>0</v>
      </c>
      <c r="AE991" s="1177"/>
      <c r="AF991" s="1177"/>
      <c r="AG991" s="1177"/>
      <c r="AH991" s="1177"/>
      <c r="AI991" s="1177"/>
      <c r="AJ991" s="1177"/>
      <c r="AK991" s="1178"/>
      <c r="AL991" s="105"/>
    </row>
    <row r="992" spans="1:38" s="706" customFormat="1" ht="12.75" customHeight="1">
      <c r="A992" s="51"/>
      <c r="B992" s="113"/>
      <c r="C992" s="114"/>
      <c r="D992" s="1246" t="s">
        <v>1623</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9" t="s">
        <v>1627</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80" t="str">
        <f>IF(X999&gt;0,"Yes","No")</f>
        <v>Yes</v>
      </c>
      <c r="AB996" s="1281"/>
      <c r="AC996" s="128"/>
      <c r="AD996" s="1271">
        <f>IF((X999=0),"",AO906*AD953)</f>
        <v>19538712</v>
      </c>
      <c r="AE996" s="1272"/>
      <c r="AF996" s="1272"/>
      <c r="AG996" s="1272"/>
      <c r="AH996" s="1272"/>
      <c r="AI996" s="1272"/>
      <c r="AJ996" s="1272"/>
      <c r="AK996" s="1273"/>
      <c r="AL996" s="105"/>
    </row>
    <row r="997" spans="1:38" s="743" customFormat="1" ht="12.75" customHeight="1">
      <c r="A997" s="51"/>
      <c r="B997" s="113"/>
      <c r="C997" s="726"/>
      <c r="D997" s="1246" t="s">
        <v>1626</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1080</v>
      </c>
      <c r="E999" s="208"/>
      <c r="F999" s="208"/>
      <c r="G999" s="208"/>
      <c r="H999" s="104"/>
      <c r="I999" s="1301">
        <f>AM905</f>
        <v>151</v>
      </c>
      <c r="J999" s="1302"/>
      <c r="K999" s="51"/>
      <c r="L999" s="104"/>
      <c r="M999" s="208"/>
      <c r="N999" s="208"/>
      <c r="O999" s="208"/>
      <c r="P999" s="208"/>
      <c r="Q999" s="208"/>
      <c r="R999" s="208"/>
      <c r="S999" s="208"/>
      <c r="T999" s="208"/>
      <c r="U999" s="208"/>
      <c r="V999" s="104"/>
      <c r="W999" s="209" t="s">
        <v>1081</v>
      </c>
      <c r="X999" s="1303">
        <f>AT614</f>
        <v>52</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1154</v>
      </c>
      <c r="D1000" s="1249" t="s">
        <v>1625</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80" t="str">
        <f>IF(X1003&gt;0,"Yes","No")</f>
        <v>Yes</v>
      </c>
      <c r="AB1000" s="1281"/>
      <c r="AC1000" s="124"/>
      <c r="AD1000" s="1271">
        <f>IF((X1003=0)," ",(2*AO907)*AD953)</f>
        <v>5746680</v>
      </c>
      <c r="AE1000" s="1272"/>
      <c r="AF1000" s="1272"/>
      <c r="AG1000" s="1272"/>
      <c r="AH1000" s="1272"/>
      <c r="AI1000" s="1272"/>
      <c r="AJ1000" s="1272"/>
      <c r="AK1000" s="1273"/>
      <c r="AL1000" s="105"/>
    </row>
    <row r="1001" spans="1:38" s="743" customFormat="1" ht="12.75" customHeight="1">
      <c r="A1001" s="51"/>
      <c r="B1001" s="113"/>
      <c r="C1001" s="726"/>
      <c r="D1001" s="1246" t="s">
        <v>1624</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1080</v>
      </c>
      <c r="E1003" s="208"/>
      <c r="F1003" s="208"/>
      <c r="G1003" s="208"/>
      <c r="H1003" s="208"/>
      <c r="I1003" s="1301">
        <f>AM905</f>
        <v>151</v>
      </c>
      <c r="J1003" s="1302"/>
      <c r="K1003" s="51"/>
      <c r="L1003" s="208"/>
      <c r="M1003" s="208"/>
      <c r="N1003" s="208"/>
      <c r="O1003" s="208"/>
      <c r="P1003" s="208"/>
      <c r="Q1003" s="208"/>
      <c r="R1003" s="208"/>
      <c r="S1003" s="208"/>
      <c r="T1003" s="208"/>
      <c r="U1003" s="208"/>
      <c r="V1003" s="208"/>
      <c r="W1003" s="209" t="s">
        <v>1082</v>
      </c>
      <c r="X1003" s="1303">
        <f>AX614</f>
        <v>9</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30" t="s">
        <v>559</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4">
        <f>SUM(AD953:AK1003)</f>
        <v>98268228</v>
      </c>
      <c r="AE1004" s="1265"/>
      <c r="AF1004" s="1265"/>
      <c r="AG1004" s="1265"/>
      <c r="AH1004" s="1265"/>
      <c r="AI1004" s="1265"/>
      <c r="AJ1004" s="1265"/>
      <c r="AK1004" s="126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3" t="s">
        <v>875</v>
      </c>
      <c r="B1015" s="1263"/>
      <c r="C1015" s="1263"/>
      <c r="D1015" s="1263"/>
      <c r="E1015" s="1263"/>
      <c r="F1015" s="1263"/>
      <c r="G1015" s="1263"/>
      <c r="H1015" s="1263"/>
      <c r="I1015" s="1263"/>
      <c r="J1015" s="1263"/>
      <c r="K1015" s="1263"/>
      <c r="L1015" s="1263"/>
      <c r="M1015" s="1263"/>
      <c r="N1015" s="1263"/>
      <c r="O1015" s="1263"/>
      <c r="P1015" s="1263"/>
      <c r="Q1015" s="1263"/>
      <c r="R1015" s="1263"/>
      <c r="S1015" s="1263"/>
      <c r="T1015" s="1263"/>
      <c r="U1015" s="1263"/>
      <c r="V1015" s="1263"/>
      <c r="W1015" s="1263"/>
      <c r="X1015" s="1263"/>
      <c r="Y1015" s="1263"/>
      <c r="Z1015" s="1263"/>
      <c r="AA1015" s="1263"/>
      <c r="AB1015" s="1263"/>
      <c r="AC1015" s="1263"/>
      <c r="AD1015" s="1263"/>
      <c r="AE1015" s="1263"/>
      <c r="AF1015" s="1263"/>
      <c r="AG1015" s="1263"/>
      <c r="AH1015" s="1263"/>
      <c r="AI1015" s="1263"/>
      <c r="AJ1015" s="1263"/>
      <c r="AK1015" s="1263"/>
      <c r="AL1015" s="12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641</v>
      </c>
      <c r="B1019" s="1098"/>
      <c r="C1019" s="13">
        <v>1</v>
      </c>
      <c r="D1019" s="997" t="s">
        <v>1262</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641</v>
      </c>
      <c r="B1025" s="1098"/>
      <c r="C1025" s="13">
        <v>2</v>
      </c>
      <c r="D1025" s="997" t="s">
        <v>1261</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641</v>
      </c>
      <c r="B1031" s="1098"/>
      <c r="C1031" s="13">
        <v>3</v>
      </c>
      <c r="D1031" s="997" t="s">
        <v>1605</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641</v>
      </c>
      <c r="B1038" s="1098"/>
      <c r="C1038" s="13">
        <v>4</v>
      </c>
      <c r="D1038" s="997" t="s">
        <v>1247</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641</v>
      </c>
      <c r="B1041" s="1098"/>
      <c r="C1041" s="13">
        <v>5</v>
      </c>
      <c r="D1041" s="997" t="s">
        <v>1465</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641</v>
      </c>
      <c r="B1046" s="1098"/>
      <c r="C1046" s="13">
        <v>6</v>
      </c>
      <c r="D1046" s="997" t="s">
        <v>1248</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641</v>
      </c>
      <c r="B1049" s="1098"/>
      <c r="C1049" s="328">
        <v>7</v>
      </c>
      <c r="D1049" s="997" t="s">
        <v>1250</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641</v>
      </c>
      <c r="B1053" s="1098"/>
      <c r="C1053" s="328">
        <v>8</v>
      </c>
      <c r="D1053" s="997" t="s">
        <v>1477</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641</v>
      </c>
      <c r="B1057" s="1098"/>
      <c r="C1057" s="328">
        <v>9</v>
      </c>
      <c r="D1057" s="997" t="s">
        <v>1249</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89" zoomScaleNormal="100" zoomScaleSheetLayoutView="89" workbookViewId="0">
      <selection activeCell="I4" sqref="I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7" t="s">
        <v>671</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1)CCRC- Perm Loan</v>
      </c>
      <c r="G2" s="217" t="str">
        <f>Application!B619&amp;Application!C619</f>
        <v>2)HCID - HOME</v>
      </c>
      <c r="H2" s="217" t="str">
        <f>Application!B620&amp;Application!C620</f>
        <v>3)HCD - AHSC</v>
      </c>
      <c r="I2" s="217" t="str">
        <f>Application!B621&amp;Application!C621</f>
        <v>4)HCID - Ground Lease</v>
      </c>
      <c r="J2" s="217" t="str">
        <f>Application!B622&amp;Application!C622</f>
        <v>5)Deferred Interest on Soft Loans</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c r="F4" s="225"/>
      <c r="G4" s="225"/>
      <c r="H4" s="225"/>
      <c r="I4" s="225">
        <v>1</v>
      </c>
      <c r="J4" s="225"/>
      <c r="K4" s="225"/>
      <c r="L4" s="225"/>
      <c r="M4" s="225"/>
      <c r="N4" s="225"/>
      <c r="O4" s="225"/>
      <c r="P4" s="225"/>
      <c r="Q4" s="225"/>
      <c r="R4" s="916">
        <f>SUM(E4:Q4)</f>
        <v>1</v>
      </c>
      <c r="S4" s="226"/>
      <c r="T4" s="226"/>
      <c r="U4" s="221"/>
    </row>
    <row r="5" spans="1:21" s="222" customFormat="1">
      <c r="A5" s="223" t="s">
        <v>31</v>
      </c>
      <c r="B5" s="224">
        <f>SUM(C5+D5)</f>
        <v>100000</v>
      </c>
      <c r="C5" s="225">
        <v>100000</v>
      </c>
      <c r="D5" s="225"/>
      <c r="E5" s="225"/>
      <c r="F5" s="225">
        <v>100000</v>
      </c>
      <c r="G5" s="225"/>
      <c r="H5" s="225"/>
      <c r="I5" s="225"/>
      <c r="J5" s="225"/>
      <c r="K5" s="225"/>
      <c r="L5" s="225"/>
      <c r="M5" s="225"/>
      <c r="N5" s="225"/>
      <c r="O5" s="225"/>
      <c r="P5" s="225"/>
      <c r="Q5" s="225"/>
      <c r="R5" s="916">
        <f>SUM(E5:Q5)</f>
        <v>100000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100001</v>
      </c>
      <c r="C8" s="224">
        <f t="shared" ref="C8:Q8" si="0">SUM(C4:C7)</f>
        <v>100001</v>
      </c>
      <c r="D8" s="224">
        <f t="shared" si="0"/>
        <v>0</v>
      </c>
      <c r="E8" s="224">
        <f t="shared" si="0"/>
        <v>0</v>
      </c>
      <c r="F8" s="224">
        <f t="shared" si="0"/>
        <v>100000</v>
      </c>
      <c r="G8" s="224">
        <f t="shared" si="0"/>
        <v>0</v>
      </c>
      <c r="H8" s="224">
        <f t="shared" si="0"/>
        <v>0</v>
      </c>
      <c r="I8" s="224">
        <f t="shared" si="0"/>
        <v>1</v>
      </c>
      <c r="J8" s="224">
        <f t="shared" si="0"/>
        <v>0</v>
      </c>
      <c r="K8" s="224">
        <f t="shared" si="0"/>
        <v>0</v>
      </c>
      <c r="L8" s="224">
        <f t="shared" si="0"/>
        <v>0</v>
      </c>
      <c r="M8" s="224">
        <f t="shared" si="0"/>
        <v>0</v>
      </c>
      <c r="N8" s="224">
        <f t="shared" si="0"/>
        <v>0</v>
      </c>
      <c r="O8" s="224">
        <f t="shared" si="0"/>
        <v>0</v>
      </c>
      <c r="P8" s="224"/>
      <c r="Q8" s="224">
        <f t="shared" si="0"/>
        <v>0</v>
      </c>
      <c r="R8" s="558">
        <f>SUM(R4:R7)</f>
        <v>100001</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200000</v>
      </c>
      <c r="C10" s="225">
        <v>200000</v>
      </c>
      <c r="D10" s="225"/>
      <c r="E10" s="225">
        <v>200000</v>
      </c>
      <c r="F10" s="225"/>
      <c r="G10" s="225"/>
      <c r="H10" s="225"/>
      <c r="I10" s="225"/>
      <c r="J10" s="225"/>
      <c r="K10" s="225"/>
      <c r="L10" s="225"/>
      <c r="M10" s="225"/>
      <c r="N10" s="225"/>
      <c r="O10" s="225"/>
      <c r="P10" s="225"/>
      <c r="Q10" s="225"/>
      <c r="R10" s="916">
        <f>SUM(E10:Q10)</f>
        <v>200000</v>
      </c>
      <c r="S10" s="225">
        <v>166000</v>
      </c>
      <c r="T10" s="225"/>
      <c r="U10" s="221"/>
    </row>
    <row r="11" spans="1:21" s="222" customFormat="1">
      <c r="A11" s="227" t="s">
        <v>646</v>
      </c>
      <c r="B11" s="224">
        <f>SUM(C11:D11)</f>
        <v>200000</v>
      </c>
      <c r="C11" s="224">
        <f t="shared" ref="C11:Q11" si="1">SUM(C9:C10)</f>
        <v>200000</v>
      </c>
      <c r="D11" s="224">
        <f t="shared" si="1"/>
        <v>0</v>
      </c>
      <c r="E11" s="224">
        <f t="shared" si="1"/>
        <v>200000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200000</v>
      </c>
      <c r="S11" s="226"/>
      <c r="T11" s="228">
        <f>SUM(T9:T10)</f>
        <v>0</v>
      </c>
      <c r="U11" s="221"/>
    </row>
    <row r="12" spans="1:21" s="222" customFormat="1">
      <c r="A12" s="227" t="s">
        <v>91</v>
      </c>
      <c r="B12" s="224">
        <f t="shared" ref="B12:Q12" si="2">SUM(B8+B11)</f>
        <v>300001</v>
      </c>
      <c r="C12" s="224">
        <f t="shared" si="2"/>
        <v>300001</v>
      </c>
      <c r="D12" s="224">
        <f t="shared" si="2"/>
        <v>0</v>
      </c>
      <c r="E12" s="224">
        <f t="shared" si="2"/>
        <v>200000</v>
      </c>
      <c r="F12" s="224">
        <f t="shared" si="2"/>
        <v>100000</v>
      </c>
      <c r="G12" s="224">
        <f t="shared" si="2"/>
        <v>0</v>
      </c>
      <c r="H12" s="224">
        <f t="shared" si="2"/>
        <v>0</v>
      </c>
      <c r="I12" s="224">
        <f t="shared" si="2"/>
        <v>1</v>
      </c>
      <c r="J12" s="224">
        <f t="shared" si="2"/>
        <v>0</v>
      </c>
      <c r="K12" s="224">
        <f t="shared" si="2"/>
        <v>0</v>
      </c>
      <c r="L12" s="224">
        <f t="shared" si="2"/>
        <v>0</v>
      </c>
      <c r="M12" s="224">
        <f t="shared" si="2"/>
        <v>0</v>
      </c>
      <c r="N12" s="224">
        <f t="shared" si="2"/>
        <v>0</v>
      </c>
      <c r="O12" s="224">
        <f t="shared" si="2"/>
        <v>0</v>
      </c>
      <c r="P12" s="224"/>
      <c r="Q12" s="224">
        <f t="shared" si="2"/>
        <v>0</v>
      </c>
      <c r="R12" s="558">
        <f>SUM(R8+R11)</f>
        <v>300001</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3762900</v>
      </c>
      <c r="C28" s="225">
        <v>3762900</v>
      </c>
      <c r="D28" s="225"/>
      <c r="E28" s="225">
        <v>3762900</v>
      </c>
      <c r="F28" s="225"/>
      <c r="G28" s="225"/>
      <c r="H28" s="225"/>
      <c r="I28" s="225"/>
      <c r="J28" s="225"/>
      <c r="K28" s="225"/>
      <c r="L28" s="225"/>
      <c r="M28" s="225"/>
      <c r="N28" s="225"/>
      <c r="O28" s="225"/>
      <c r="P28" s="225"/>
      <c r="Q28" s="225"/>
      <c r="R28" s="916">
        <f t="shared" ref="R28:R35" si="7">SUM(E28:Q28)</f>
        <v>3762900</v>
      </c>
      <c r="S28" s="225">
        <v>3165706.17</v>
      </c>
      <c r="T28" s="225"/>
      <c r="U28" s="221"/>
    </row>
    <row r="29" spans="1:21" s="222" customFormat="1">
      <c r="A29" s="223" t="s">
        <v>649</v>
      </c>
      <c r="B29" s="224">
        <f t="shared" si="6"/>
        <v>49578520</v>
      </c>
      <c r="C29" s="225">
        <f>50178828-600308</f>
        <v>49578520</v>
      </c>
      <c r="D29" s="225"/>
      <c r="E29" s="225">
        <f>34828368-600308</f>
        <v>34228060</v>
      </c>
      <c r="F29" s="225"/>
      <c r="G29" s="225">
        <v>5850460</v>
      </c>
      <c r="H29" s="225">
        <v>9500000</v>
      </c>
      <c r="I29" s="225"/>
      <c r="J29" s="225"/>
      <c r="K29" s="225"/>
      <c r="L29" s="225"/>
      <c r="M29" s="225"/>
      <c r="N29" s="225"/>
      <c r="O29" s="225"/>
      <c r="P29" s="225"/>
      <c r="Q29" s="225"/>
      <c r="R29" s="916">
        <f t="shared" si="7"/>
        <v>49578520</v>
      </c>
      <c r="S29" s="225">
        <f>41778825-600308+102052</f>
        <v>41280569</v>
      </c>
      <c r="T29" s="225"/>
      <c r="U29" s="221"/>
    </row>
    <row r="30" spans="1:21" s="222" customFormat="1">
      <c r="A30" s="223" t="s">
        <v>650</v>
      </c>
      <c r="B30" s="224">
        <f t="shared" si="6"/>
        <v>3239503</v>
      </c>
      <c r="C30" s="225">
        <v>3239503</v>
      </c>
      <c r="D30" s="225"/>
      <c r="E30" s="225"/>
      <c r="F30" s="225">
        <v>3239503</v>
      </c>
      <c r="G30" s="225"/>
      <c r="H30" s="225"/>
      <c r="I30" s="225"/>
      <c r="J30" s="225"/>
      <c r="K30" s="225"/>
      <c r="L30" s="225"/>
      <c r="M30" s="225"/>
      <c r="N30" s="225"/>
      <c r="O30" s="225"/>
      <c r="P30" s="225"/>
      <c r="Q30" s="225"/>
      <c r="R30" s="916">
        <f t="shared" si="7"/>
        <v>3239503</v>
      </c>
      <c r="S30" s="225">
        <v>2735503.44</v>
      </c>
      <c r="T30" s="225"/>
      <c r="U30" s="221"/>
    </row>
    <row r="31" spans="1:21" s="222" customFormat="1">
      <c r="A31" s="223" t="s">
        <v>144</v>
      </c>
      <c r="B31" s="224">
        <f t="shared" si="6"/>
        <v>2159669</v>
      </c>
      <c r="C31" s="225">
        <v>2159669</v>
      </c>
      <c r="D31" s="225"/>
      <c r="E31" s="225"/>
      <c r="F31" s="225">
        <v>2159669</v>
      </c>
      <c r="G31" s="225"/>
      <c r="H31" s="225"/>
      <c r="I31" s="225"/>
      <c r="J31" s="225"/>
      <c r="K31" s="225"/>
      <c r="L31" s="225"/>
      <c r="M31" s="225"/>
      <c r="N31" s="225"/>
      <c r="O31" s="225"/>
      <c r="P31" s="225"/>
      <c r="Q31" s="225"/>
      <c r="R31" s="916">
        <f t="shared" si="7"/>
        <v>2159669</v>
      </c>
      <c r="S31" s="225">
        <v>1823669</v>
      </c>
      <c r="T31" s="225"/>
      <c r="U31" s="221"/>
    </row>
    <row r="32" spans="1:21" s="222" customFormat="1">
      <c r="A32" s="223" t="s">
        <v>145</v>
      </c>
      <c r="B32" s="224">
        <f t="shared" si="6"/>
        <v>0</v>
      </c>
      <c r="C32" s="225">
        <v>0</v>
      </c>
      <c r="D32" s="225"/>
      <c r="E32" s="225"/>
      <c r="F32" s="225">
        <v>0</v>
      </c>
      <c r="G32" s="225"/>
      <c r="H32" s="225"/>
      <c r="I32" s="225"/>
      <c r="J32" s="225"/>
      <c r="K32" s="225"/>
      <c r="L32" s="225"/>
      <c r="M32" s="225"/>
      <c r="N32" s="225"/>
      <c r="O32" s="225"/>
      <c r="P32" s="225"/>
      <c r="Q32" s="225"/>
      <c r="R32" s="916">
        <f t="shared" si="7"/>
        <v>0</v>
      </c>
      <c r="S32" s="225">
        <v>0</v>
      </c>
      <c r="T32" s="225"/>
      <c r="U32" s="221"/>
    </row>
    <row r="33" spans="1:21" s="222" customFormat="1">
      <c r="A33" s="223" t="s">
        <v>146</v>
      </c>
      <c r="B33" s="224">
        <f t="shared" si="6"/>
        <v>600308</v>
      </c>
      <c r="C33" s="225">
        <v>600308</v>
      </c>
      <c r="D33" s="225"/>
      <c r="E33" s="225">
        <v>600308</v>
      </c>
      <c r="F33" s="225">
        <v>0</v>
      </c>
      <c r="G33" s="225"/>
      <c r="H33" s="225"/>
      <c r="I33" s="225"/>
      <c r="J33" s="225"/>
      <c r="K33" s="225"/>
      <c r="L33" s="225"/>
      <c r="M33" s="225"/>
      <c r="N33" s="225"/>
      <c r="O33" s="225"/>
      <c r="P33" s="225"/>
      <c r="Q33" s="225"/>
      <c r="R33" s="916">
        <f t="shared" si="7"/>
        <v>600308</v>
      </c>
      <c r="S33" s="225">
        <v>498256</v>
      </c>
      <c r="T33" s="225"/>
      <c r="U33" s="221"/>
    </row>
    <row r="34" spans="1:21" s="222" customFormat="1">
      <c r="A34" s="223" t="s">
        <v>147</v>
      </c>
      <c r="B34" s="224">
        <f t="shared" si="6"/>
        <v>539917</v>
      </c>
      <c r="C34" s="225">
        <v>539917</v>
      </c>
      <c r="D34" s="225"/>
      <c r="E34" s="225"/>
      <c r="F34" s="225">
        <v>539917</v>
      </c>
      <c r="G34" s="225"/>
      <c r="H34" s="225"/>
      <c r="I34" s="225"/>
      <c r="J34" s="225"/>
      <c r="K34" s="225"/>
      <c r="L34" s="225"/>
      <c r="M34" s="225"/>
      <c r="N34" s="225"/>
      <c r="O34" s="225"/>
      <c r="P34" s="225"/>
      <c r="Q34" s="225"/>
      <c r="R34" s="916">
        <f t="shared" si="7"/>
        <v>539917</v>
      </c>
      <c r="S34" s="225">
        <v>455917.24</v>
      </c>
      <c r="T34" s="225"/>
      <c r="U34" s="221"/>
    </row>
    <row r="35" spans="1:21" s="222" customFormat="1" ht="24">
      <c r="A35" s="955" t="s">
        <v>1752</v>
      </c>
      <c r="B35" s="224">
        <f t="shared" si="6"/>
        <v>150000</v>
      </c>
      <c r="C35" s="225">
        <v>150000</v>
      </c>
      <c r="D35" s="225">
        <v>0</v>
      </c>
      <c r="E35" s="225"/>
      <c r="F35" s="225">
        <v>150000</v>
      </c>
      <c r="G35" s="225"/>
      <c r="H35" s="225"/>
      <c r="I35" s="225"/>
      <c r="J35" s="225"/>
      <c r="K35" s="225"/>
      <c r="L35" s="225"/>
      <c r="M35" s="225"/>
      <c r="N35" s="225"/>
      <c r="O35" s="225"/>
      <c r="P35" s="225"/>
      <c r="Q35" s="225"/>
      <c r="R35" s="916">
        <f t="shared" si="7"/>
        <v>150000</v>
      </c>
      <c r="S35" s="225">
        <v>150000</v>
      </c>
      <c r="T35" s="225"/>
      <c r="U35" s="221"/>
    </row>
    <row r="36" spans="1:21" s="222" customFormat="1">
      <c r="A36" s="227" t="s">
        <v>150</v>
      </c>
      <c r="B36" s="224">
        <f t="shared" si="6"/>
        <v>60030817</v>
      </c>
      <c r="C36" s="224">
        <f>SUM(C28:C35)</f>
        <v>60030817</v>
      </c>
      <c r="D36" s="224">
        <f t="shared" ref="D36:Q36" si="8">SUM(D28:D35)</f>
        <v>0</v>
      </c>
      <c r="E36" s="224">
        <f t="shared" si="8"/>
        <v>38591268</v>
      </c>
      <c r="F36" s="224">
        <f t="shared" si="8"/>
        <v>6089089</v>
      </c>
      <c r="G36" s="224">
        <f t="shared" si="8"/>
        <v>5850460</v>
      </c>
      <c r="H36" s="224">
        <f t="shared" si="8"/>
        <v>9500000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60030817</v>
      </c>
      <c r="S36" s="228">
        <f>SUM(S28:S35)</f>
        <v>50109620.850000001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1450000</v>
      </c>
      <c r="C38" s="225">
        <v>1450000</v>
      </c>
      <c r="D38" s="225"/>
      <c r="E38" s="225"/>
      <c r="F38" s="225">
        <v>1450000</v>
      </c>
      <c r="G38" s="225"/>
      <c r="H38" s="225"/>
      <c r="I38" s="225"/>
      <c r="J38" s="225"/>
      <c r="K38" s="225"/>
      <c r="L38" s="225"/>
      <c r="M38" s="225"/>
      <c r="N38" s="225"/>
      <c r="O38" s="225"/>
      <c r="P38" s="225"/>
      <c r="Q38" s="225"/>
      <c r="R38" s="916">
        <f>SUM(E38:Q38)</f>
        <v>1450000</v>
      </c>
      <c r="S38" s="225">
        <v>1203500</v>
      </c>
      <c r="T38" s="225"/>
      <c r="U38" s="221"/>
    </row>
    <row r="39" spans="1:21" s="222" customFormat="1">
      <c r="A39" s="223" t="s">
        <v>153</v>
      </c>
      <c r="B39" s="224">
        <f>SUM(C39+D39)</f>
        <v>100000</v>
      </c>
      <c r="C39" s="225">
        <v>100000</v>
      </c>
      <c r="D39" s="225"/>
      <c r="E39" s="225"/>
      <c r="F39" s="225">
        <v>100000</v>
      </c>
      <c r="G39" s="225"/>
      <c r="H39" s="225"/>
      <c r="I39" s="225"/>
      <c r="J39" s="225"/>
      <c r="K39" s="225"/>
      <c r="L39" s="225"/>
      <c r="M39" s="225"/>
      <c r="N39" s="225"/>
      <c r="O39" s="225"/>
      <c r="P39" s="225"/>
      <c r="Q39" s="225"/>
      <c r="R39" s="916">
        <f>SUM(E39:Q39)</f>
        <v>100000</v>
      </c>
      <c r="S39" s="225">
        <v>83000</v>
      </c>
      <c r="T39" s="225"/>
      <c r="U39" s="221"/>
    </row>
    <row r="40" spans="1:21" s="222" customFormat="1">
      <c r="A40" s="227" t="s">
        <v>154</v>
      </c>
      <c r="B40" s="224">
        <f>SUM(C40:D40)</f>
        <v>1550000</v>
      </c>
      <c r="C40" s="224">
        <f>SUM(C37:C39)</f>
        <v>1550000</v>
      </c>
      <c r="D40" s="224">
        <f>SUM(D37:D39)</f>
        <v>0</v>
      </c>
      <c r="E40" s="224">
        <f t="shared" ref="E40:T40" si="9">SUM(E38:E39)</f>
        <v>0</v>
      </c>
      <c r="F40" s="224">
        <f t="shared" si="9"/>
        <v>1550000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1550000</v>
      </c>
      <c r="S40" s="228">
        <f t="shared" si="9"/>
        <v>1286500</v>
      </c>
      <c r="T40" s="228">
        <f t="shared" si="9"/>
        <v>0</v>
      </c>
      <c r="U40" s="221"/>
    </row>
    <row r="41" spans="1:21" s="222" customFormat="1">
      <c r="A41" s="227" t="s">
        <v>155</v>
      </c>
      <c r="B41" s="224">
        <f>SUM(C41:D41)</f>
        <v>1168800</v>
      </c>
      <c r="C41" s="225">
        <v>1168800</v>
      </c>
      <c r="D41" s="225"/>
      <c r="E41" s="225"/>
      <c r="F41" s="225">
        <v>1168800</v>
      </c>
      <c r="G41" s="225"/>
      <c r="H41" s="225"/>
      <c r="I41" s="225"/>
      <c r="J41" s="225"/>
      <c r="K41" s="225"/>
      <c r="L41" s="225"/>
      <c r="M41" s="225"/>
      <c r="N41" s="225"/>
      <c r="O41" s="225"/>
      <c r="P41" s="225"/>
      <c r="Q41" s="225"/>
      <c r="R41" s="916">
        <f>SUM(E41:Q41)</f>
        <v>1168800</v>
      </c>
      <c r="S41" s="225">
        <v>982854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3717444</v>
      </c>
      <c r="C43" s="225">
        <v>3717444</v>
      </c>
      <c r="D43" s="225">
        <v>0</v>
      </c>
      <c r="E43" s="225">
        <v>3717444</v>
      </c>
      <c r="F43" s="225"/>
      <c r="G43" s="225"/>
      <c r="H43" s="225"/>
      <c r="I43" s="225"/>
      <c r="J43" s="225"/>
      <c r="K43" s="225"/>
      <c r="L43" s="225"/>
      <c r="M43" s="225"/>
      <c r="N43" s="225"/>
      <c r="O43" s="225"/>
      <c r="P43" s="225"/>
      <c r="Q43" s="225"/>
      <c r="R43" s="916">
        <f t="shared" ref="R43:R52" si="11">SUM(E43:Q43)</f>
        <v>3717444</v>
      </c>
      <c r="S43" s="225">
        <f>2817444+95000</f>
        <v>2912444</v>
      </c>
      <c r="T43" s="225"/>
      <c r="U43" s="221"/>
    </row>
    <row r="44" spans="1:21" s="222" customFormat="1">
      <c r="A44" s="223" t="s">
        <v>158</v>
      </c>
      <c r="B44" s="224">
        <f t="shared" si="10"/>
        <v>358750</v>
      </c>
      <c r="C44" s="225">
        <v>358750</v>
      </c>
      <c r="D44" s="225"/>
      <c r="E44" s="225"/>
      <c r="F44" s="225">
        <v>358750</v>
      </c>
      <c r="G44" s="225"/>
      <c r="H44" s="225"/>
      <c r="I44" s="225"/>
      <c r="J44" s="225"/>
      <c r="K44" s="225"/>
      <c r="L44" s="225"/>
      <c r="M44" s="225"/>
      <c r="N44" s="225"/>
      <c r="O44" s="225"/>
      <c r="P44" s="225"/>
      <c r="Q44" s="225"/>
      <c r="R44" s="916">
        <f t="shared" si="11"/>
        <v>358750</v>
      </c>
      <c r="S44" s="225">
        <v>358750</v>
      </c>
      <c r="T44" s="225"/>
      <c r="U44" s="221"/>
    </row>
    <row r="45" spans="1:21" s="222" customFormat="1">
      <c r="A45" s="307" t="s">
        <v>159</v>
      </c>
      <c r="B45" s="224">
        <f t="shared" si="10"/>
        <v>0</v>
      </c>
      <c r="C45" s="225">
        <v>0</v>
      </c>
      <c r="D45" s="225"/>
      <c r="E45" s="225"/>
      <c r="F45" s="225">
        <v>0</v>
      </c>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539917</v>
      </c>
      <c r="C46" s="225">
        <v>539917</v>
      </c>
      <c r="D46" s="225"/>
      <c r="E46" s="225"/>
      <c r="F46" s="225">
        <v>539917</v>
      </c>
      <c r="G46" s="225"/>
      <c r="H46" s="225"/>
      <c r="I46" s="225"/>
      <c r="J46" s="225"/>
      <c r="K46" s="225"/>
      <c r="L46" s="225"/>
      <c r="M46" s="225"/>
      <c r="N46" s="225"/>
      <c r="O46" s="225"/>
      <c r="P46" s="225"/>
      <c r="Q46" s="225"/>
      <c r="R46" s="916">
        <f t="shared" si="11"/>
        <v>539917</v>
      </c>
      <c r="S46" s="225">
        <v>455917.24</v>
      </c>
      <c r="T46" s="225"/>
      <c r="U46" s="221"/>
    </row>
    <row r="47" spans="1:21" s="222" customFormat="1">
      <c r="A47" s="223" t="s">
        <v>62</v>
      </c>
      <c r="B47" s="224">
        <f t="shared" si="10"/>
        <v>298249</v>
      </c>
      <c r="C47" s="225">
        <v>298249</v>
      </c>
      <c r="D47" s="225"/>
      <c r="E47" s="225"/>
      <c r="F47" s="225">
        <v>298249</v>
      </c>
      <c r="G47" s="225"/>
      <c r="H47" s="225"/>
      <c r="I47" s="225"/>
      <c r="J47" s="225"/>
      <c r="K47" s="225"/>
      <c r="L47" s="225"/>
      <c r="M47" s="225"/>
      <c r="N47" s="225"/>
      <c r="O47" s="225"/>
      <c r="P47" s="225"/>
      <c r="Q47" s="225"/>
      <c r="R47" s="916">
        <f t="shared" si="11"/>
        <v>298249</v>
      </c>
      <c r="S47" s="225">
        <v>1510.5</v>
      </c>
      <c r="T47" s="225"/>
      <c r="U47" s="221"/>
    </row>
    <row r="48" spans="1:21" s="222" customFormat="1">
      <c r="A48" s="223" t="s">
        <v>163</v>
      </c>
      <c r="B48" s="224">
        <f t="shared" si="10"/>
        <v>150000</v>
      </c>
      <c r="C48" s="225">
        <v>150000</v>
      </c>
      <c r="D48" s="225"/>
      <c r="E48" s="225"/>
      <c r="F48" s="225">
        <v>150000</v>
      </c>
      <c r="G48" s="225"/>
      <c r="H48" s="225"/>
      <c r="I48" s="225"/>
      <c r="J48" s="225"/>
      <c r="K48" s="225"/>
      <c r="L48" s="225"/>
      <c r="M48" s="225"/>
      <c r="N48" s="225"/>
      <c r="O48" s="225"/>
      <c r="P48" s="225"/>
      <c r="Q48" s="225"/>
      <c r="R48" s="916">
        <f t="shared" si="11"/>
        <v>150000</v>
      </c>
      <c r="S48" s="225">
        <v>150000</v>
      </c>
      <c r="T48" s="225"/>
      <c r="U48" s="221"/>
    </row>
    <row r="49" spans="1:21" s="222" customFormat="1">
      <c r="A49" s="457" t="s">
        <v>161</v>
      </c>
      <c r="B49" s="224">
        <f t="shared" si="10"/>
        <v>15000</v>
      </c>
      <c r="C49" s="225">
        <v>15000</v>
      </c>
      <c r="D49" s="225"/>
      <c r="E49" s="225"/>
      <c r="F49" s="225">
        <v>15000</v>
      </c>
      <c r="G49" s="225"/>
      <c r="H49" s="225"/>
      <c r="I49" s="225"/>
      <c r="J49" s="225"/>
      <c r="K49" s="225"/>
      <c r="L49" s="225"/>
      <c r="M49" s="225"/>
      <c r="N49" s="225"/>
      <c r="O49" s="225"/>
      <c r="P49" s="225"/>
      <c r="Q49" s="225"/>
      <c r="R49" s="916">
        <f t="shared" si="11"/>
        <v>15000</v>
      </c>
      <c r="S49" s="225">
        <v>15000</v>
      </c>
      <c r="T49" s="225"/>
      <c r="U49" s="221"/>
    </row>
    <row r="50" spans="1:21" s="222" customFormat="1">
      <c r="A50" s="223" t="s">
        <v>162</v>
      </c>
      <c r="B50" s="224">
        <f t="shared" si="10"/>
        <v>400000</v>
      </c>
      <c r="C50" s="225">
        <v>400000</v>
      </c>
      <c r="D50" s="225"/>
      <c r="E50" s="225"/>
      <c r="F50" s="225">
        <v>400000</v>
      </c>
      <c r="G50" s="225"/>
      <c r="H50" s="225"/>
      <c r="I50" s="225"/>
      <c r="J50" s="225"/>
      <c r="K50" s="225"/>
      <c r="L50" s="225"/>
      <c r="M50" s="225"/>
      <c r="N50" s="225"/>
      <c r="O50" s="225"/>
      <c r="P50" s="225"/>
      <c r="Q50" s="225"/>
      <c r="R50" s="916">
        <f t="shared" si="11"/>
        <v>400000</v>
      </c>
      <c r="S50" s="225">
        <v>400000</v>
      </c>
      <c r="T50" s="225"/>
      <c r="U50" s="221"/>
    </row>
    <row r="51" spans="1:21" s="222" customFormat="1">
      <c r="A51" s="955" t="s">
        <v>1753</v>
      </c>
      <c r="B51" s="224">
        <f t="shared" si="10"/>
        <v>351028</v>
      </c>
      <c r="C51" s="225">
        <v>351028</v>
      </c>
      <c r="D51" s="225"/>
      <c r="E51" s="225"/>
      <c r="F51" s="225"/>
      <c r="G51" s="225"/>
      <c r="H51" s="225"/>
      <c r="I51" s="225"/>
      <c r="J51" s="225">
        <v>351028</v>
      </c>
      <c r="K51" s="225"/>
      <c r="L51" s="225"/>
      <c r="M51" s="225"/>
      <c r="N51" s="225"/>
      <c r="O51" s="225"/>
      <c r="P51" s="225"/>
      <c r="Q51" s="225"/>
      <c r="R51" s="916">
        <f t="shared" si="11"/>
        <v>351028</v>
      </c>
      <c r="S51" s="956">
        <v>351028</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5830388</v>
      </c>
      <c r="C53" s="228">
        <f t="shared" ref="C53:T53" si="12">SUM(C43:C52)</f>
        <v>5830388</v>
      </c>
      <c r="D53" s="228">
        <f t="shared" si="12"/>
        <v>0</v>
      </c>
      <c r="E53" s="228">
        <f t="shared" si="12"/>
        <v>3717444</v>
      </c>
      <c r="F53" s="228">
        <f t="shared" si="12"/>
        <v>1761916</v>
      </c>
      <c r="G53" s="228">
        <f t="shared" si="12"/>
        <v>0</v>
      </c>
      <c r="H53" s="228">
        <f t="shared" si="12"/>
        <v>0</v>
      </c>
      <c r="I53" s="228">
        <f t="shared" si="12"/>
        <v>0</v>
      </c>
      <c r="J53" s="228">
        <f t="shared" si="12"/>
        <v>351028</v>
      </c>
      <c r="K53" s="228">
        <f t="shared" si="12"/>
        <v>0</v>
      </c>
      <c r="L53" s="228">
        <f t="shared" si="12"/>
        <v>0</v>
      </c>
      <c r="M53" s="228">
        <f t="shared" si="12"/>
        <v>0</v>
      </c>
      <c r="N53" s="228">
        <f t="shared" si="12"/>
        <v>0</v>
      </c>
      <c r="O53" s="228">
        <f t="shared" si="12"/>
        <v>0</v>
      </c>
      <c r="P53" s="228">
        <f t="shared" si="12"/>
        <v>0</v>
      </c>
      <c r="Q53" s="228">
        <f t="shared" si="12"/>
        <v>0</v>
      </c>
      <c r="R53" s="558">
        <f>SUM(R43:R52)</f>
        <v>5830388</v>
      </c>
      <c r="S53" s="228">
        <f t="shared" si="12"/>
        <v>4644649.74</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207500</v>
      </c>
      <c r="C55" s="225">
        <v>207500</v>
      </c>
      <c r="D55" s="225"/>
      <c r="E55" s="225"/>
      <c r="F55" s="225">
        <v>207500</v>
      </c>
      <c r="G55" s="225"/>
      <c r="H55" s="225"/>
      <c r="I55" s="225"/>
      <c r="J55" s="225"/>
      <c r="K55" s="225"/>
      <c r="L55" s="225"/>
      <c r="M55" s="225"/>
      <c r="N55" s="225"/>
      <c r="O55" s="225"/>
      <c r="P55" s="225"/>
      <c r="Q55" s="225"/>
      <c r="R55" s="916">
        <f t="shared" ref="R55:R61" si="14">SUM(E55:Q55)</f>
        <v>207500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10000</v>
      </c>
      <c r="C57" s="225">
        <v>10000</v>
      </c>
      <c r="D57" s="225"/>
      <c r="E57" s="225"/>
      <c r="F57" s="225">
        <v>10000</v>
      </c>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1754</v>
      </c>
      <c r="B60" s="224">
        <f t="shared" si="13"/>
        <v>95000</v>
      </c>
      <c r="C60" s="225">
        <v>95000</v>
      </c>
      <c r="D60" s="225"/>
      <c r="E60" s="225"/>
      <c r="F60" s="225">
        <v>95000</v>
      </c>
      <c r="G60" s="225"/>
      <c r="H60" s="225"/>
      <c r="I60" s="225"/>
      <c r="J60" s="225"/>
      <c r="K60" s="225"/>
      <c r="L60" s="225"/>
      <c r="M60" s="225"/>
      <c r="N60" s="225"/>
      <c r="O60" s="225"/>
      <c r="P60" s="225"/>
      <c r="Q60" s="225"/>
      <c r="R60" s="916">
        <f t="shared" si="14"/>
        <v>95000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312500</v>
      </c>
      <c r="C62" s="224">
        <f t="shared" ref="C62:Q62" si="15">SUM(C55:C61)</f>
        <v>312500</v>
      </c>
      <c r="D62" s="224">
        <f t="shared" si="15"/>
        <v>0</v>
      </c>
      <c r="E62" s="224">
        <f t="shared" si="15"/>
        <v>0</v>
      </c>
      <c r="F62" s="224">
        <f t="shared" si="15"/>
        <v>312500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312500</v>
      </c>
      <c r="S62" s="226"/>
      <c r="T62" s="226"/>
      <c r="U62" s="221"/>
    </row>
    <row r="63" spans="1:21" s="222" customFormat="1">
      <c r="A63" s="233" t="s">
        <v>321</v>
      </c>
      <c r="B63" s="224">
        <f>SUM(B8+B11+B13+B14+B15+B25+B26+B36+B40+B41+B53+B62)</f>
        <v>69192506</v>
      </c>
      <c r="C63" s="224">
        <f t="shared" ref="C63:Q63" si="16">SUM(C8+C11+C13+C14+C15+C25+C26+C36+C40+C41+C53+C62)</f>
        <v>69192506</v>
      </c>
      <c r="D63" s="224">
        <f t="shared" si="16"/>
        <v>0</v>
      </c>
      <c r="E63" s="224">
        <f t="shared" si="16"/>
        <v>42508712</v>
      </c>
      <c r="F63" s="224">
        <f t="shared" si="16"/>
        <v>10982305</v>
      </c>
      <c r="G63" s="224">
        <f t="shared" si="16"/>
        <v>5850460</v>
      </c>
      <c r="H63" s="224">
        <f t="shared" si="16"/>
        <v>9500000</v>
      </c>
      <c r="I63" s="224">
        <f t="shared" si="16"/>
        <v>1</v>
      </c>
      <c r="J63" s="224">
        <f t="shared" si="16"/>
        <v>351028</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69192506</v>
      </c>
      <c r="S63" s="224">
        <f>SUM(S10+S13+S14+S15+S25+S26+S36+S40+S41+S53)</f>
        <v>57189624.590000004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115000</v>
      </c>
      <c r="C65" s="225">
        <v>115000</v>
      </c>
      <c r="D65" s="225"/>
      <c r="E65" s="225"/>
      <c r="F65" s="225">
        <v>115000</v>
      </c>
      <c r="G65" s="225"/>
      <c r="H65" s="225"/>
      <c r="I65" s="225"/>
      <c r="J65" s="225"/>
      <c r="K65" s="225"/>
      <c r="L65" s="225"/>
      <c r="M65" s="225"/>
      <c r="N65" s="225"/>
      <c r="O65" s="225"/>
      <c r="P65" s="225"/>
      <c r="Q65" s="225"/>
      <c r="R65" s="916">
        <f>SUM(E65:Q65)</f>
        <v>115000</v>
      </c>
      <c r="S65" s="225">
        <v>115000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115000</v>
      </c>
      <c r="C67" s="224">
        <f>SUM(C64:C66)</f>
        <v>115000</v>
      </c>
      <c r="D67" s="224">
        <f>SUM(D64:D66)</f>
        <v>0</v>
      </c>
      <c r="E67" s="224">
        <f t="shared" ref="E67:T67" si="17">SUM(E65:E66)</f>
        <v>0</v>
      </c>
      <c r="F67" s="224">
        <f t="shared" si="17"/>
        <v>115000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115000</v>
      </c>
      <c r="S67" s="228">
        <f>SUM(S65:S66)</f>
        <v>115000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543058</v>
      </c>
      <c r="C72" s="225">
        <v>543058</v>
      </c>
      <c r="D72" s="225"/>
      <c r="E72" s="225"/>
      <c r="F72" s="225">
        <v>543058</v>
      </c>
      <c r="G72" s="225"/>
      <c r="H72" s="225"/>
      <c r="I72" s="225"/>
      <c r="J72" s="225"/>
      <c r="K72" s="225"/>
      <c r="L72" s="225"/>
      <c r="M72" s="225"/>
      <c r="N72" s="225"/>
      <c r="O72" s="225"/>
      <c r="P72" s="225"/>
      <c r="Q72" s="225"/>
      <c r="R72" s="916">
        <f>SUM(E72:Q72)</f>
        <v>543058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543058</v>
      </c>
      <c r="C74" s="224">
        <f>SUM(C69:C73)</f>
        <v>543058</v>
      </c>
      <c r="D74" s="224">
        <f>SUM(D69:D73)</f>
        <v>0</v>
      </c>
      <c r="E74" s="224">
        <f t="shared" ref="E74:Q74" si="18">SUM(E69:E73)</f>
        <v>0</v>
      </c>
      <c r="F74" s="224">
        <f t="shared" si="18"/>
        <v>543058</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543058</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4837658</v>
      </c>
      <c r="C76" s="225">
        <v>4837658</v>
      </c>
      <c r="D76" s="225"/>
      <c r="E76" s="225">
        <v>1082500</v>
      </c>
      <c r="F76" s="225">
        <v>3755158</v>
      </c>
      <c r="G76" s="225"/>
      <c r="H76" s="225"/>
      <c r="I76" s="225"/>
      <c r="J76" s="225"/>
      <c r="K76" s="225"/>
      <c r="L76" s="225"/>
      <c r="M76" s="225"/>
      <c r="N76" s="225"/>
      <c r="O76" s="225"/>
      <c r="P76" s="225"/>
      <c r="Q76" s="225"/>
      <c r="R76" s="916">
        <f>SUM(E76:Q76)</f>
        <v>4837658</v>
      </c>
      <c r="S76" s="225">
        <v>4165658.47</v>
      </c>
      <c r="T76" s="225"/>
      <c r="U76" s="221"/>
    </row>
    <row r="77" spans="1:21" s="222" customFormat="1">
      <c r="A77" s="457" t="s">
        <v>63</v>
      </c>
      <c r="B77" s="224">
        <f>SUM(C77:D77)</f>
        <v>807371</v>
      </c>
      <c r="C77" s="225">
        <v>807371</v>
      </c>
      <c r="D77" s="225"/>
      <c r="E77" s="225"/>
      <c r="F77" s="225">
        <v>807371</v>
      </c>
      <c r="G77" s="225"/>
      <c r="H77" s="225"/>
      <c r="I77" s="225"/>
      <c r="J77" s="225"/>
      <c r="K77" s="225"/>
      <c r="L77" s="225"/>
      <c r="M77" s="225"/>
      <c r="N77" s="225"/>
      <c r="O77" s="225"/>
      <c r="P77" s="225"/>
      <c r="Q77" s="225"/>
      <c r="R77" s="916">
        <f>SUM(E77:Q77)</f>
        <v>807371</v>
      </c>
      <c r="S77" s="225">
        <v>807371</v>
      </c>
      <c r="T77" s="225"/>
      <c r="U77" s="221"/>
    </row>
    <row r="78" spans="1:21" s="222" customFormat="1">
      <c r="A78" s="227" t="s">
        <v>1467</v>
      </c>
      <c r="B78" s="224">
        <f>SUM(C78:D78)</f>
        <v>5645029</v>
      </c>
      <c r="C78" s="890">
        <f>SUM(C76:C77)</f>
        <v>5645029</v>
      </c>
      <c r="D78" s="890">
        <f t="shared" ref="D78:T78" si="19">SUM(D76:D77)</f>
        <v>0</v>
      </c>
      <c r="E78" s="890">
        <f t="shared" si="19"/>
        <v>1082500</v>
      </c>
      <c r="F78" s="890">
        <f t="shared" si="19"/>
        <v>4562529</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5645029</v>
      </c>
      <c r="S78" s="890">
        <f t="shared" si="19"/>
        <v>4973029.4700000007</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95222</v>
      </c>
      <c r="C80" s="225">
        <v>95222</v>
      </c>
      <c r="D80" s="225">
        <v>0</v>
      </c>
      <c r="E80" s="225"/>
      <c r="F80" s="225">
        <v>95222</v>
      </c>
      <c r="G80" s="225"/>
      <c r="H80" s="225"/>
      <c r="I80" s="225"/>
      <c r="J80" s="225"/>
      <c r="K80" s="225"/>
      <c r="L80" s="225"/>
      <c r="M80" s="225"/>
      <c r="N80" s="225"/>
      <c r="O80" s="225"/>
      <c r="P80" s="225"/>
      <c r="Q80" s="225"/>
      <c r="R80" s="916">
        <f t="shared" ref="R80:R94" si="21">SUM(E80:Q80)</f>
        <v>95222</v>
      </c>
      <c r="S80" s="226"/>
      <c r="T80" s="226"/>
      <c r="U80" s="221"/>
    </row>
    <row r="81" spans="1:21" s="222" customFormat="1">
      <c r="A81" s="223" t="s">
        <v>845</v>
      </c>
      <c r="B81" s="224">
        <f t="shared" si="20"/>
        <v>40000</v>
      </c>
      <c r="C81" s="225">
        <v>40000</v>
      </c>
      <c r="D81" s="225">
        <v>0</v>
      </c>
      <c r="E81" s="225"/>
      <c r="F81" s="225">
        <v>40000</v>
      </c>
      <c r="G81" s="225"/>
      <c r="H81" s="225"/>
      <c r="I81" s="225"/>
      <c r="J81" s="225"/>
      <c r="K81" s="225"/>
      <c r="L81" s="225"/>
      <c r="M81" s="225"/>
      <c r="N81" s="225"/>
      <c r="O81" s="225"/>
      <c r="P81" s="225"/>
      <c r="Q81" s="225"/>
      <c r="R81" s="916">
        <f t="shared" si="21"/>
        <v>40000</v>
      </c>
      <c r="S81" s="225">
        <v>40000</v>
      </c>
      <c r="T81" s="225"/>
      <c r="U81" s="221"/>
    </row>
    <row r="82" spans="1:21" s="222" customFormat="1">
      <c r="A82" s="223" t="s">
        <v>846</v>
      </c>
      <c r="B82" s="224">
        <f t="shared" si="20"/>
        <v>770650</v>
      </c>
      <c r="C82" s="225">
        <v>770650</v>
      </c>
      <c r="D82" s="225"/>
      <c r="E82" s="225"/>
      <c r="F82" s="225">
        <v>770650</v>
      </c>
      <c r="G82" s="225"/>
      <c r="H82" s="225"/>
      <c r="I82" s="225"/>
      <c r="J82" s="225"/>
      <c r="K82" s="225"/>
      <c r="L82" s="225"/>
      <c r="M82" s="225"/>
      <c r="N82" s="225"/>
      <c r="O82" s="225"/>
      <c r="P82" s="225"/>
      <c r="Q82" s="225"/>
      <c r="R82" s="916">
        <f t="shared" si="21"/>
        <v>770650</v>
      </c>
      <c r="S82" s="225">
        <v>639640</v>
      </c>
      <c r="T82" s="225"/>
      <c r="U82" s="221"/>
    </row>
    <row r="83" spans="1:21" s="222" customFormat="1">
      <c r="A83" s="223" t="s">
        <v>847</v>
      </c>
      <c r="B83" s="224">
        <f t="shared" si="20"/>
        <v>1397736</v>
      </c>
      <c r="C83" s="225">
        <v>1397736</v>
      </c>
      <c r="D83" s="225"/>
      <c r="E83" s="225"/>
      <c r="F83" s="225">
        <v>1397736</v>
      </c>
      <c r="G83" s="225"/>
      <c r="H83" s="225"/>
      <c r="I83" s="225"/>
      <c r="J83" s="225"/>
      <c r="K83" s="225"/>
      <c r="L83" s="225"/>
      <c r="M83" s="225"/>
      <c r="N83" s="225"/>
      <c r="O83" s="225"/>
      <c r="P83" s="225"/>
      <c r="Q83" s="225"/>
      <c r="R83" s="916">
        <f t="shared" si="21"/>
        <v>1397736</v>
      </c>
      <c r="S83" s="225">
        <v>1160122</v>
      </c>
      <c r="T83" s="225"/>
      <c r="U83" s="221"/>
    </row>
    <row r="84" spans="1:21" s="222" customFormat="1">
      <c r="A84" s="223" t="s">
        <v>848</v>
      </c>
      <c r="B84" s="224">
        <f t="shared" si="20"/>
        <v>0</v>
      </c>
      <c r="C84" s="225">
        <v>0</v>
      </c>
      <c r="D84" s="225"/>
      <c r="E84" s="225"/>
      <c r="F84" s="225">
        <v>0</v>
      </c>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150000</v>
      </c>
      <c r="C85" s="225">
        <v>150000</v>
      </c>
      <c r="D85" s="225"/>
      <c r="E85" s="225"/>
      <c r="F85" s="225">
        <v>150000</v>
      </c>
      <c r="G85" s="225"/>
      <c r="H85" s="225"/>
      <c r="I85" s="225"/>
      <c r="J85" s="225"/>
      <c r="K85" s="225"/>
      <c r="L85" s="225"/>
      <c r="M85" s="225"/>
      <c r="N85" s="225"/>
      <c r="O85" s="225"/>
      <c r="P85" s="225"/>
      <c r="Q85" s="225"/>
      <c r="R85" s="916">
        <f t="shared" si="21"/>
        <v>150000</v>
      </c>
      <c r="S85" s="226"/>
      <c r="T85" s="226"/>
      <c r="U85" s="221"/>
    </row>
    <row r="86" spans="1:21" s="222" customFormat="1">
      <c r="A86" s="223" t="s">
        <v>850</v>
      </c>
      <c r="B86" s="224">
        <f t="shared" si="20"/>
        <v>200000</v>
      </c>
      <c r="C86" s="225">
        <v>200000</v>
      </c>
      <c r="D86" s="225"/>
      <c r="E86" s="225"/>
      <c r="F86" s="225">
        <v>200000</v>
      </c>
      <c r="G86" s="225"/>
      <c r="H86" s="225"/>
      <c r="I86" s="225"/>
      <c r="J86" s="225"/>
      <c r="K86" s="225"/>
      <c r="L86" s="225"/>
      <c r="M86" s="225"/>
      <c r="N86" s="225"/>
      <c r="O86" s="225"/>
      <c r="P86" s="225"/>
      <c r="Q86" s="225"/>
      <c r="R86" s="916">
        <f t="shared" si="21"/>
        <v>200000</v>
      </c>
      <c r="S86" s="225">
        <v>200000</v>
      </c>
      <c r="T86" s="225"/>
      <c r="U86" s="221"/>
    </row>
    <row r="87" spans="1:21" s="222" customFormat="1">
      <c r="A87" s="223" t="s">
        <v>851</v>
      </c>
      <c r="B87" s="224">
        <f t="shared" si="20"/>
        <v>7500</v>
      </c>
      <c r="C87" s="225">
        <v>7500</v>
      </c>
      <c r="D87" s="225"/>
      <c r="E87" s="225"/>
      <c r="F87" s="225">
        <v>7500</v>
      </c>
      <c r="G87" s="225"/>
      <c r="H87" s="225"/>
      <c r="I87" s="225"/>
      <c r="J87" s="225"/>
      <c r="K87" s="225"/>
      <c r="L87" s="225"/>
      <c r="M87" s="225"/>
      <c r="N87" s="225"/>
      <c r="O87" s="225"/>
      <c r="P87" s="225"/>
      <c r="Q87" s="225"/>
      <c r="R87" s="916">
        <f t="shared" si="21"/>
        <v>7500</v>
      </c>
      <c r="S87" s="225">
        <v>7500</v>
      </c>
      <c r="T87" s="225"/>
      <c r="U87" s="221"/>
    </row>
    <row r="88" spans="1:21" s="222" customFormat="1">
      <c r="A88" s="234" t="s">
        <v>404</v>
      </c>
      <c r="B88" s="224">
        <f t="shared" si="20"/>
        <v>130000</v>
      </c>
      <c r="C88" s="225">
        <v>130000</v>
      </c>
      <c r="D88" s="225"/>
      <c r="E88" s="225"/>
      <c r="F88" s="225">
        <v>130000</v>
      </c>
      <c r="G88" s="225"/>
      <c r="H88" s="225"/>
      <c r="I88" s="225"/>
      <c r="J88" s="225"/>
      <c r="K88" s="225"/>
      <c r="L88" s="225"/>
      <c r="M88" s="225"/>
      <c r="N88" s="225"/>
      <c r="O88" s="225"/>
      <c r="P88" s="225"/>
      <c r="Q88" s="225"/>
      <c r="R88" s="916">
        <f t="shared" si="21"/>
        <v>130000</v>
      </c>
      <c r="S88" s="225">
        <v>130000</v>
      </c>
      <c r="T88" s="225"/>
      <c r="U88" s="221"/>
    </row>
    <row r="89" spans="1:21" s="222" customFormat="1">
      <c r="A89" s="889" t="s">
        <v>1469</v>
      </c>
      <c r="B89" s="224">
        <f t="shared" si="20"/>
        <v>6000</v>
      </c>
      <c r="C89" s="225">
        <v>6000</v>
      </c>
      <c r="D89" s="225"/>
      <c r="E89" s="225"/>
      <c r="F89" s="225">
        <v>6000</v>
      </c>
      <c r="G89" s="225"/>
      <c r="H89" s="225"/>
      <c r="I89" s="225"/>
      <c r="J89" s="225"/>
      <c r="K89" s="225"/>
      <c r="L89" s="225"/>
      <c r="M89" s="225"/>
      <c r="N89" s="225"/>
      <c r="O89" s="225"/>
      <c r="P89" s="225"/>
      <c r="Q89" s="225"/>
      <c r="R89" s="916">
        <f t="shared" si="21"/>
        <v>6000</v>
      </c>
      <c r="S89" s="225">
        <v>6000</v>
      </c>
      <c r="T89" s="225"/>
      <c r="U89" s="221"/>
    </row>
    <row r="90" spans="1:21" s="222" customFormat="1">
      <c r="A90" s="955" t="s">
        <v>1755</v>
      </c>
      <c r="B90" s="224">
        <f t="shared" si="20"/>
        <v>85000</v>
      </c>
      <c r="C90" s="225">
        <v>85000</v>
      </c>
      <c r="D90" s="225"/>
      <c r="E90" s="225"/>
      <c r="F90" s="225">
        <v>85000</v>
      </c>
      <c r="G90" s="225"/>
      <c r="H90" s="225"/>
      <c r="I90" s="225"/>
      <c r="J90" s="225"/>
      <c r="K90" s="225"/>
      <c r="L90" s="225"/>
      <c r="M90" s="225"/>
      <c r="N90" s="225"/>
      <c r="O90" s="225"/>
      <c r="P90" s="225"/>
      <c r="Q90" s="225"/>
      <c r="R90" s="916">
        <f t="shared" si="21"/>
        <v>85000</v>
      </c>
      <c r="S90" s="225">
        <v>85000</v>
      </c>
      <c r="T90" s="225"/>
      <c r="U90" s="221"/>
    </row>
    <row r="91" spans="1:21" s="222" customFormat="1">
      <c r="A91" s="955" t="s">
        <v>1756</v>
      </c>
      <c r="B91" s="224">
        <f t="shared" si="20"/>
        <v>115000</v>
      </c>
      <c r="C91" s="225">
        <v>115000</v>
      </c>
      <c r="D91" s="225"/>
      <c r="E91" s="225"/>
      <c r="F91" s="225">
        <v>115000</v>
      </c>
      <c r="G91" s="225"/>
      <c r="H91" s="225"/>
      <c r="I91" s="225"/>
      <c r="J91" s="225"/>
      <c r="K91" s="225"/>
      <c r="L91" s="225"/>
      <c r="M91" s="225"/>
      <c r="N91" s="225"/>
      <c r="O91" s="225"/>
      <c r="P91" s="225"/>
      <c r="Q91" s="225"/>
      <c r="R91" s="916">
        <f t="shared" si="21"/>
        <v>115000</v>
      </c>
      <c r="S91" s="225">
        <v>115000</v>
      </c>
      <c r="T91" s="225"/>
      <c r="U91" s="221"/>
    </row>
    <row r="92" spans="1:21" s="222" customFormat="1">
      <c r="A92" s="955" t="s">
        <v>1757</v>
      </c>
      <c r="B92" s="224">
        <f t="shared" si="20"/>
        <v>300000</v>
      </c>
      <c r="C92" s="225">
        <v>300000</v>
      </c>
      <c r="D92" s="225"/>
      <c r="E92" s="225"/>
      <c r="F92" s="225">
        <v>300000</v>
      </c>
      <c r="G92" s="225"/>
      <c r="H92" s="225"/>
      <c r="I92" s="225"/>
      <c r="J92" s="225"/>
      <c r="K92" s="225"/>
      <c r="L92" s="225"/>
      <c r="M92" s="225"/>
      <c r="N92" s="225"/>
      <c r="O92" s="225"/>
      <c r="P92" s="225"/>
      <c r="Q92" s="225"/>
      <c r="R92" s="916">
        <f t="shared" si="21"/>
        <v>300000</v>
      </c>
      <c r="S92" s="225">
        <v>300000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3297108</v>
      </c>
      <c r="C95" s="224">
        <f t="shared" ref="C95:Q95" si="22">SUM(C80:C94)</f>
        <v>3297108</v>
      </c>
      <c r="D95" s="224">
        <f t="shared" si="22"/>
        <v>0</v>
      </c>
      <c r="E95" s="224">
        <f t="shared" si="22"/>
        <v>0</v>
      </c>
      <c r="F95" s="224">
        <f t="shared" si="22"/>
        <v>3297108</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3297108</v>
      </c>
      <c r="S95" s="228">
        <f>SUM(S81:S84,S86:S94)</f>
        <v>2683262</v>
      </c>
      <c r="T95" s="224">
        <f>SUM(T81:T84,T86:T94)</f>
        <v>0</v>
      </c>
      <c r="U95" s="221"/>
    </row>
    <row r="96" spans="1:21" s="222" customFormat="1">
      <c r="A96" s="227" t="s">
        <v>853</v>
      </c>
      <c r="B96" s="224">
        <f>SUM(C96:D96)</f>
        <v>78792701</v>
      </c>
      <c r="C96" s="224">
        <f>SUM(C63+C67+C74+C78+C95)</f>
        <v>78792701</v>
      </c>
      <c r="D96" s="224">
        <f t="shared" ref="D96:R96" si="23">SUM(D63+D67+D74+D78+D95)</f>
        <v>0</v>
      </c>
      <c r="E96" s="224">
        <f t="shared" si="23"/>
        <v>43591212</v>
      </c>
      <c r="F96" s="224">
        <f t="shared" si="23"/>
        <v>19500000</v>
      </c>
      <c r="G96" s="224">
        <f t="shared" si="23"/>
        <v>5850460</v>
      </c>
      <c r="H96" s="224">
        <f t="shared" si="23"/>
        <v>9500000</v>
      </c>
      <c r="I96" s="224">
        <f t="shared" si="23"/>
        <v>1</v>
      </c>
      <c r="J96" s="224">
        <f t="shared" si="23"/>
        <v>351028</v>
      </c>
      <c r="K96" s="224">
        <f t="shared" si="23"/>
        <v>0</v>
      </c>
      <c r="L96" s="224">
        <f t="shared" si="23"/>
        <v>0</v>
      </c>
      <c r="M96" s="224">
        <f t="shared" si="23"/>
        <v>0</v>
      </c>
      <c r="N96" s="224">
        <f t="shared" si="23"/>
        <v>0</v>
      </c>
      <c r="O96" s="224">
        <f t="shared" si="23"/>
        <v>0</v>
      </c>
      <c r="P96" s="224">
        <f t="shared" si="23"/>
        <v>0</v>
      </c>
      <c r="Q96" s="224">
        <f t="shared" si="23"/>
        <v>0</v>
      </c>
      <c r="R96" s="224">
        <f t="shared" si="23"/>
        <v>78792701</v>
      </c>
      <c r="S96" s="224">
        <f>SUM(S63+S67+S78+S95)</f>
        <v>64960916.060000002</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3010000</v>
      </c>
      <c r="C98" s="225">
        <v>3010000</v>
      </c>
      <c r="D98" s="225"/>
      <c r="E98" s="225">
        <v>2358352</v>
      </c>
      <c r="F98" s="225"/>
      <c r="G98" s="225"/>
      <c r="H98" s="225"/>
      <c r="I98" s="225"/>
      <c r="J98" s="225"/>
      <c r="K98" s="225">
        <v>651648</v>
      </c>
      <c r="L98" s="225"/>
      <c r="M98" s="225"/>
      <c r="N98" s="225"/>
      <c r="O98" s="225"/>
      <c r="P98" s="225"/>
      <c r="Q98" s="225"/>
      <c r="R98" s="916">
        <f t="shared" ref="R98:R103" si="25">SUM(E98:Q98)</f>
        <v>3010000</v>
      </c>
      <c r="S98" s="225">
        <v>3010000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3010000</v>
      </c>
      <c r="C104" s="224">
        <f t="shared" ref="C104:T104" si="26">SUM(C98:C103)</f>
        <v>3010000</v>
      </c>
      <c r="D104" s="224">
        <f t="shared" si="26"/>
        <v>0</v>
      </c>
      <c r="E104" s="224">
        <f t="shared" si="26"/>
        <v>2358352</v>
      </c>
      <c r="F104" s="224">
        <f t="shared" si="26"/>
        <v>0</v>
      </c>
      <c r="G104" s="224">
        <f t="shared" si="26"/>
        <v>0</v>
      </c>
      <c r="H104" s="224">
        <f t="shared" si="26"/>
        <v>0</v>
      </c>
      <c r="I104" s="224">
        <f t="shared" si="26"/>
        <v>0</v>
      </c>
      <c r="J104" s="224">
        <f t="shared" si="26"/>
        <v>0</v>
      </c>
      <c r="K104" s="224">
        <f t="shared" si="26"/>
        <v>651648</v>
      </c>
      <c r="L104" s="224">
        <f t="shared" si="26"/>
        <v>0</v>
      </c>
      <c r="M104" s="224">
        <f t="shared" si="26"/>
        <v>0</v>
      </c>
      <c r="N104" s="224">
        <f t="shared" si="26"/>
        <v>0</v>
      </c>
      <c r="O104" s="224">
        <f t="shared" si="26"/>
        <v>0</v>
      </c>
      <c r="P104" s="224">
        <f t="shared" si="26"/>
        <v>0</v>
      </c>
      <c r="Q104" s="224">
        <f t="shared" si="26"/>
        <v>0</v>
      </c>
      <c r="R104" s="558">
        <f>SUM(R98:R103)</f>
        <v>3010000</v>
      </c>
      <c r="S104" s="228">
        <f t="shared" si="26"/>
        <v>3010000</v>
      </c>
      <c r="T104" s="228">
        <f t="shared" si="26"/>
        <v>0</v>
      </c>
      <c r="U104" s="221"/>
    </row>
    <row r="105" spans="1:21" s="222" customFormat="1">
      <c r="A105" s="227" t="s">
        <v>861</v>
      </c>
      <c r="B105" s="228">
        <f>SUM(C105:D105)</f>
        <v>81802701</v>
      </c>
      <c r="C105" s="228">
        <f t="shared" ref="C105:R105" si="27">SUM(C96+C104)</f>
        <v>81802701</v>
      </c>
      <c r="D105" s="228">
        <f t="shared" si="27"/>
        <v>0</v>
      </c>
      <c r="E105" s="228">
        <f t="shared" si="27"/>
        <v>45949564</v>
      </c>
      <c r="F105" s="228">
        <f t="shared" si="27"/>
        <v>19500000</v>
      </c>
      <c r="G105" s="228">
        <f t="shared" si="27"/>
        <v>5850460</v>
      </c>
      <c r="H105" s="228">
        <f t="shared" si="27"/>
        <v>9500000</v>
      </c>
      <c r="I105" s="228">
        <f t="shared" si="27"/>
        <v>1</v>
      </c>
      <c r="J105" s="228">
        <f t="shared" si="27"/>
        <v>351028</v>
      </c>
      <c r="K105" s="228">
        <f t="shared" si="27"/>
        <v>651648</v>
      </c>
      <c r="L105" s="228">
        <f t="shared" si="27"/>
        <v>0</v>
      </c>
      <c r="M105" s="228">
        <f t="shared" si="27"/>
        <v>0</v>
      </c>
      <c r="N105" s="228">
        <f t="shared" si="27"/>
        <v>0</v>
      </c>
      <c r="O105" s="228">
        <f t="shared" si="27"/>
        <v>0</v>
      </c>
      <c r="P105" s="228">
        <f t="shared" si="27"/>
        <v>0</v>
      </c>
      <c r="Q105" s="228">
        <f t="shared" si="27"/>
        <v>0</v>
      </c>
      <c r="R105" s="558">
        <f t="shared" si="27"/>
        <v>81802701</v>
      </c>
      <c r="S105" s="228">
        <f>S96+S104</f>
        <v>67970916.060000002</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67970916.060000002</v>
      </c>
      <c r="T107" s="242">
        <f>T105+T106</f>
        <v>0</v>
      </c>
    </row>
    <row r="108" spans="1:21" s="310" customFormat="1">
      <c r="A108" s="241" t="s">
        <v>973</v>
      </c>
      <c r="B108" s="236"/>
      <c r="C108" s="236"/>
      <c r="D108" s="236"/>
      <c r="E108" s="481">
        <f>Application!AG631</f>
        <v>45949564</v>
      </c>
      <c r="F108" s="481">
        <f>Application!AG618</f>
        <v>19500000</v>
      </c>
      <c r="G108" s="481">
        <f>Application!AG619</f>
        <v>5850460</v>
      </c>
      <c r="H108" s="481">
        <f>Application!AG620</f>
        <v>9500000</v>
      </c>
      <c r="I108" s="481">
        <f>Application!AG621</f>
        <v>1</v>
      </c>
      <c r="J108" s="481">
        <f>Application!AG622</f>
        <v>351028</v>
      </c>
      <c r="K108" s="481">
        <f>Application!AG623</f>
        <v>651648</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3" t="s">
        <v>1133</v>
      </c>
      <c r="E122" s="1603"/>
      <c r="F122" s="160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6" t="s">
        <v>1491</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1135</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1136</v>
      </c>
      <c r="B125" s="544"/>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319</v>
      </c>
      <c r="B129" s="544"/>
      <c r="C129" s="534"/>
      <c r="D129" s="1602" t="s">
        <v>1140</v>
      </c>
      <c r="E129" s="1602"/>
      <c r="F129" s="1602"/>
      <c r="G129" s="1602"/>
      <c r="H129" s="1602"/>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08" t="s">
        <v>1143</v>
      </c>
      <c r="E132" s="1608"/>
      <c r="F132" s="1608"/>
      <c r="G132" s="1608"/>
      <c r="H132" s="1608"/>
      <c r="I132" s="534"/>
      <c r="J132" s="1608" t="s">
        <v>1144</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1"/>
      <c r="F138" s="1601"/>
      <c r="G138" s="534"/>
      <c r="H138" s="534"/>
      <c r="I138" s="534"/>
      <c r="J138" s="534"/>
      <c r="K138" s="534"/>
      <c r="L138" s="534"/>
      <c r="M138" s="534"/>
      <c r="N138" s="534"/>
      <c r="O138" s="534"/>
      <c r="P138" s="534"/>
      <c r="Q138" s="534"/>
      <c r="R138" s="534"/>
      <c r="S138" s="534"/>
      <c r="T138" s="541"/>
      <c r="U138" s="542"/>
    </row>
    <row r="139" spans="1:21" ht="12.75">
      <c r="A139" s="1604" t="s">
        <v>1147</v>
      </c>
      <c r="B139" s="1605"/>
      <c r="C139" s="160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8" stopIfTrue="1">
      <formula>T9&gt;C9</formula>
    </cfRule>
  </conditionalFormatting>
  <conditionalFormatting sqref="S10">
    <cfRule type="expression" dxfId="144" priority="247" stopIfTrue="1">
      <formula>(S10+T10)&gt;C10</formula>
    </cfRule>
  </conditionalFormatting>
  <conditionalFormatting sqref="R8">
    <cfRule type="cellIs" dxfId="143" priority="236" stopIfTrue="1" operator="notEqual">
      <formula>$B8</formula>
    </cfRule>
    <cfRule type="cellIs" priority="239" stopIfTrue="1" operator="notEqual">
      <formula>$B8</formula>
    </cfRule>
  </conditionalFormatting>
  <conditionalFormatting sqref="R4:R7">
    <cfRule type="cellIs" dxfId="142" priority="238" stopIfTrue="1" operator="notEqual">
      <formula>$B4</formula>
    </cfRule>
  </conditionalFormatting>
  <conditionalFormatting sqref="R9:R10">
    <cfRule type="cellIs" dxfId="141" priority="237" stopIfTrue="1" operator="notEqual">
      <formula>$B9</formula>
    </cfRule>
  </conditionalFormatting>
  <conditionalFormatting sqref="R11:R12">
    <cfRule type="cellIs" dxfId="140" priority="234" stopIfTrue="1" operator="notEqual">
      <formula>$B11</formula>
    </cfRule>
    <cfRule type="cellIs" priority="235" stopIfTrue="1" operator="notEqual">
      <formula>$B11</formula>
    </cfRule>
  </conditionalFormatting>
  <conditionalFormatting sqref="R13:R15">
    <cfRule type="cellIs" dxfId="139" priority="233" stopIfTrue="1" operator="notEqual">
      <formula>$B13</formula>
    </cfRule>
  </conditionalFormatting>
  <conditionalFormatting sqref="R25">
    <cfRule type="cellIs" dxfId="138" priority="231" stopIfTrue="1" operator="notEqual">
      <formula>$B25</formula>
    </cfRule>
    <cfRule type="cellIs" priority="232" stopIfTrue="1" operator="notEqual">
      <formula>$B25</formula>
    </cfRule>
  </conditionalFormatting>
  <conditionalFormatting sqref="R17:R24">
    <cfRule type="cellIs" dxfId="137" priority="230" stopIfTrue="1" operator="notEqual">
      <formula>$B17</formula>
    </cfRule>
  </conditionalFormatting>
  <conditionalFormatting sqref="R26">
    <cfRule type="cellIs" dxfId="136" priority="229" stopIfTrue="1" operator="notEqual">
      <formula>$B26</formula>
    </cfRule>
  </conditionalFormatting>
  <conditionalFormatting sqref="R36">
    <cfRule type="cellIs" dxfId="135" priority="227" stopIfTrue="1" operator="notEqual">
      <formula>$B36</formula>
    </cfRule>
    <cfRule type="cellIs" priority="228" stopIfTrue="1" operator="notEqual">
      <formula>$B36</formula>
    </cfRule>
  </conditionalFormatting>
  <conditionalFormatting sqref="R28:R35">
    <cfRule type="cellIs" dxfId="134" priority="226" stopIfTrue="1" operator="notEqual">
      <formula>$B28</formula>
    </cfRule>
  </conditionalFormatting>
  <conditionalFormatting sqref="R40">
    <cfRule type="cellIs" dxfId="133" priority="224" stopIfTrue="1" operator="notEqual">
      <formula>$B40</formula>
    </cfRule>
    <cfRule type="cellIs" priority="225" stopIfTrue="1" operator="notEqual">
      <formula>$B40</formula>
    </cfRule>
  </conditionalFormatting>
  <conditionalFormatting sqref="R38:R39">
    <cfRule type="cellIs" dxfId="132" priority="223" stopIfTrue="1" operator="notEqual">
      <formula>$B38</formula>
    </cfRule>
  </conditionalFormatting>
  <conditionalFormatting sqref="R41">
    <cfRule type="cellIs" dxfId="131" priority="222" stopIfTrue="1" operator="notEqual">
      <formula>$B41</formula>
    </cfRule>
  </conditionalFormatting>
  <conditionalFormatting sqref="R53">
    <cfRule type="cellIs" dxfId="130" priority="220" stopIfTrue="1" operator="notEqual">
      <formula>$B53</formula>
    </cfRule>
    <cfRule type="cellIs" priority="221" stopIfTrue="1" operator="notEqual">
      <formula>$B53</formula>
    </cfRule>
  </conditionalFormatting>
  <conditionalFormatting sqref="R43:R52">
    <cfRule type="cellIs" dxfId="129" priority="219" stopIfTrue="1" operator="notEqual">
      <formula>$B43</formula>
    </cfRule>
  </conditionalFormatting>
  <conditionalFormatting sqref="R62:R63">
    <cfRule type="cellIs" dxfId="128" priority="217" stopIfTrue="1" operator="notEqual">
      <formula>$B62</formula>
    </cfRule>
    <cfRule type="cellIs" priority="218" stopIfTrue="1" operator="notEqual">
      <formula>$B62</formula>
    </cfRule>
  </conditionalFormatting>
  <conditionalFormatting sqref="R55:R61">
    <cfRule type="cellIs" dxfId="127" priority="216" stopIfTrue="1" operator="notEqual">
      <formula>$B55</formula>
    </cfRule>
  </conditionalFormatting>
  <conditionalFormatting sqref="R67">
    <cfRule type="cellIs" dxfId="126" priority="214" stopIfTrue="1" operator="notEqual">
      <formula>$B67</formula>
    </cfRule>
    <cfRule type="cellIs" priority="215" stopIfTrue="1" operator="notEqual">
      <formula>$B67</formula>
    </cfRule>
  </conditionalFormatting>
  <conditionalFormatting sqref="R65:R66">
    <cfRule type="cellIs" dxfId="125" priority="213" stopIfTrue="1" operator="notEqual">
      <formula>$B65</formula>
    </cfRule>
  </conditionalFormatting>
  <conditionalFormatting sqref="R74">
    <cfRule type="cellIs" dxfId="124" priority="211" stopIfTrue="1" operator="notEqual">
      <formula>$B74</formula>
    </cfRule>
    <cfRule type="cellIs" priority="212" stopIfTrue="1" operator="notEqual">
      <formula>$B74</formula>
    </cfRule>
  </conditionalFormatting>
  <conditionalFormatting sqref="R95">
    <cfRule type="cellIs" dxfId="123" priority="209" stopIfTrue="1" operator="notEqual">
      <formula>$B95</formula>
    </cfRule>
    <cfRule type="cellIs" priority="210" stopIfTrue="1" operator="notEqual">
      <formula>$B95</formula>
    </cfRule>
  </conditionalFormatting>
  <conditionalFormatting sqref="R69:R73">
    <cfRule type="cellIs" dxfId="122" priority="208" stopIfTrue="1" operator="notEqual">
      <formula>$B69</formula>
    </cfRule>
  </conditionalFormatting>
  <conditionalFormatting sqref="R76:R77">
    <cfRule type="cellIs" dxfId="121" priority="207" stopIfTrue="1" operator="notEqual">
      <formula>$B76</formula>
    </cfRule>
  </conditionalFormatting>
  <conditionalFormatting sqref="R80:R94">
    <cfRule type="cellIs" dxfId="120" priority="206" stopIfTrue="1" operator="notEqual">
      <formula>$B80</formula>
    </cfRule>
  </conditionalFormatting>
  <conditionalFormatting sqref="R104:R105">
    <cfRule type="cellIs" dxfId="119" priority="204" stopIfTrue="1" operator="notEqual">
      <formula>$B104</formula>
    </cfRule>
    <cfRule type="cellIs" priority="205" stopIfTrue="1" operator="notEqual">
      <formula>$B104</formula>
    </cfRule>
  </conditionalFormatting>
  <conditionalFormatting sqref="R98:R103">
    <cfRule type="cellIs" dxfId="118" priority="203" stopIfTrue="1" operator="notEqual">
      <formula>$B98</formula>
    </cfRule>
  </conditionalFormatting>
  <conditionalFormatting sqref="E105:Q105">
    <cfRule type="cellIs" dxfId="117" priority="202" stopIfTrue="1" operator="notEqual">
      <formula>E$108</formula>
    </cfRule>
  </conditionalFormatting>
  <conditionalFormatting sqref="S13">
    <cfRule type="expression" dxfId="116" priority="199" stopIfTrue="1">
      <formula>(S13+T13)&gt;C13</formula>
    </cfRule>
  </conditionalFormatting>
  <conditionalFormatting sqref="S14">
    <cfRule type="expression" dxfId="115" priority="196" stopIfTrue="1">
      <formula>(S14+T14)&gt;C14</formula>
    </cfRule>
  </conditionalFormatting>
  <conditionalFormatting sqref="S17">
    <cfRule type="expression" dxfId="114" priority="195" stopIfTrue="1">
      <formula>(S17+T17)&gt;C17</formula>
    </cfRule>
  </conditionalFormatting>
  <conditionalFormatting sqref="S18">
    <cfRule type="expression" dxfId="113" priority="187" stopIfTrue="1">
      <formula>(S18+T18)&gt;C18</formula>
    </cfRule>
  </conditionalFormatting>
  <conditionalFormatting sqref="S19">
    <cfRule type="expression" dxfId="112" priority="185" stopIfTrue="1">
      <formula>(S19+T19)&gt;C19</formula>
    </cfRule>
  </conditionalFormatting>
  <conditionalFormatting sqref="S20">
    <cfRule type="expression" dxfId="111" priority="184" stopIfTrue="1">
      <formula>(S20+T20)&gt;C20</formula>
    </cfRule>
  </conditionalFormatting>
  <conditionalFormatting sqref="S21">
    <cfRule type="expression" dxfId="110" priority="183" stopIfTrue="1">
      <formula>(S21+T21)&gt;C21</formula>
    </cfRule>
  </conditionalFormatting>
  <conditionalFormatting sqref="S22">
    <cfRule type="expression" dxfId="109" priority="182" stopIfTrue="1">
      <formula>(S22+T22)&gt;C22</formula>
    </cfRule>
  </conditionalFormatting>
  <conditionalFormatting sqref="S23">
    <cfRule type="expression" dxfId="108" priority="181" stopIfTrue="1">
      <formula>(S23+T23)&gt;C23</formula>
    </cfRule>
  </conditionalFormatting>
  <conditionalFormatting sqref="S24">
    <cfRule type="expression" dxfId="107" priority="180" stopIfTrue="1">
      <formula>(S24+T24)&gt;C24</formula>
    </cfRule>
  </conditionalFormatting>
  <conditionalFormatting sqref="S26">
    <cfRule type="expression" dxfId="106" priority="173" stopIfTrue="1">
      <formula>(S26+T26)&gt;C26</formula>
    </cfRule>
  </conditionalFormatting>
  <conditionalFormatting sqref="S28">
    <cfRule type="expression" dxfId="105" priority="171" stopIfTrue="1">
      <formula>(S28+T28)&gt;C28</formula>
    </cfRule>
  </conditionalFormatting>
  <conditionalFormatting sqref="S29">
    <cfRule type="expression" dxfId="104" priority="169" stopIfTrue="1">
      <formula>(S29+T29)&gt;C29</formula>
    </cfRule>
  </conditionalFormatting>
  <conditionalFormatting sqref="S30">
    <cfRule type="expression" dxfId="103" priority="168" stopIfTrue="1">
      <formula>(S30+T30)&gt;C30</formula>
    </cfRule>
  </conditionalFormatting>
  <conditionalFormatting sqref="S31">
    <cfRule type="expression" dxfId="102" priority="167" stopIfTrue="1">
      <formula>(S31+T31)&gt;C31</formula>
    </cfRule>
  </conditionalFormatting>
  <conditionalFormatting sqref="S32">
    <cfRule type="expression" dxfId="101" priority="166" stopIfTrue="1">
      <formula>(S32+T32)&gt;C32</formula>
    </cfRule>
  </conditionalFormatting>
  <conditionalFormatting sqref="S33">
    <cfRule type="expression" dxfId="100" priority="165" stopIfTrue="1">
      <formula>(S33+T33)&gt;C33</formula>
    </cfRule>
  </conditionalFormatting>
  <conditionalFormatting sqref="S34">
    <cfRule type="expression" dxfId="99" priority="164" stopIfTrue="1">
      <formula>(S34+T34)&gt;C34</formula>
    </cfRule>
  </conditionalFormatting>
  <conditionalFormatting sqref="S35">
    <cfRule type="expression" dxfId="98" priority="163" stopIfTrue="1">
      <formula>(S35+T35)&gt;C35</formula>
    </cfRule>
  </conditionalFormatting>
  <conditionalFormatting sqref="S38">
    <cfRule type="expression" dxfId="97" priority="155" stopIfTrue="1">
      <formula>(S38+T38)&gt;C38</formula>
    </cfRule>
  </conditionalFormatting>
  <conditionalFormatting sqref="S39">
    <cfRule type="expression" dxfId="96" priority="154" stopIfTrue="1">
      <formula>(S39+T39)&gt;C39</formula>
    </cfRule>
  </conditionalFormatting>
  <conditionalFormatting sqref="S41">
    <cfRule type="expression" dxfId="95" priority="151" stopIfTrue="1">
      <formula>(S41+T41)&gt;C41</formula>
    </cfRule>
  </conditionalFormatting>
  <conditionalFormatting sqref="S43">
    <cfRule type="expression" dxfId="94" priority="149" stopIfTrue="1">
      <formula>(S43+T43)&gt;C43</formula>
    </cfRule>
  </conditionalFormatting>
  <conditionalFormatting sqref="S44">
    <cfRule type="expression" dxfId="93" priority="144" stopIfTrue="1">
      <formula>(S44+T44)&gt;C44</formula>
    </cfRule>
  </conditionalFormatting>
  <conditionalFormatting sqref="S45">
    <cfRule type="expression" dxfId="92" priority="143"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
    <cfRule type="expression" dxfId="88" priority="139" stopIfTrue="1">
      <formula>(S49+T49)&gt;C49</formula>
    </cfRule>
  </conditionalFormatting>
  <conditionalFormatting sqref="S50">
    <cfRule type="expression" dxfId="87" priority="138" stopIfTrue="1">
      <formula>(S50+T50)&gt;C50</formula>
    </cfRule>
  </conditionalFormatting>
  <conditionalFormatting sqref="S51">
    <cfRule type="expression" dxfId="86" priority="137" stopIfTrue="1">
      <formula>(S51+T51)&gt;C51</formula>
    </cfRule>
  </conditionalFormatting>
  <conditionalFormatting sqref="S52">
    <cfRule type="expression" dxfId="85" priority="136" stopIfTrue="1">
      <formula>(S52+T52)&gt;C52</formula>
    </cfRule>
  </conditionalFormatting>
  <conditionalFormatting sqref="S65">
    <cfRule type="expression" dxfId="84" priority="126" stopIfTrue="1">
      <formula>(S65+T65)&gt;C65</formula>
    </cfRule>
  </conditionalFormatting>
  <conditionalFormatting sqref="S66">
    <cfRule type="expression" dxfId="83" priority="125" stopIfTrue="1">
      <formula>(S66+T66)&gt;C66</formula>
    </cfRule>
  </conditionalFormatting>
  <conditionalFormatting sqref="S77">
    <cfRule type="expression" dxfId="82" priority="121" stopIfTrue="1">
      <formula>(S77+T77)&gt;C77</formula>
    </cfRule>
  </conditionalFormatting>
  <conditionalFormatting sqref="S81">
    <cfRule type="expression" dxfId="81" priority="118" stopIfTrue="1">
      <formula>(S81+T81)&gt;C81</formula>
    </cfRule>
  </conditionalFormatting>
  <conditionalFormatting sqref="S84">
    <cfRule type="expression" dxfId="80" priority="115" stopIfTrue="1">
      <formula>(S84+T84)&gt;C84</formula>
    </cfRule>
  </conditionalFormatting>
  <conditionalFormatting sqref="S86">
    <cfRule type="expression" dxfId="79" priority="110" stopIfTrue="1">
      <formula>(S86+T86)&gt;C86</formula>
    </cfRule>
  </conditionalFormatting>
  <conditionalFormatting sqref="S87">
    <cfRule type="expression" dxfId="78" priority="109" stopIfTrue="1">
      <formula>(S87+T87)&gt;C87</formula>
    </cfRule>
  </conditionalFormatting>
  <conditionalFormatting sqref="S88">
    <cfRule type="expression" dxfId="77" priority="108" stopIfTrue="1">
      <formula>(S88+T88)&gt;C88</formula>
    </cfRule>
  </conditionalFormatting>
  <conditionalFormatting sqref="S89">
    <cfRule type="expression" dxfId="76" priority="107" stopIfTrue="1">
      <formula>(S89+T89)&gt;C89</formula>
    </cfRule>
  </conditionalFormatting>
  <conditionalFormatting sqref="S90">
    <cfRule type="expression" dxfId="75" priority="106" stopIfTrue="1">
      <formula>(S90+T90)&gt;C90</formula>
    </cfRule>
  </conditionalFormatting>
  <conditionalFormatting sqref="S91">
    <cfRule type="expression" dxfId="74" priority="105" stopIfTrue="1">
      <formula>(S91+T91)&gt;C91</formula>
    </cfRule>
  </conditionalFormatting>
  <conditionalFormatting sqref="S92">
    <cfRule type="expression" dxfId="73" priority="104" stopIfTrue="1">
      <formula>(S92+T92)&gt;C92</formula>
    </cfRule>
  </conditionalFormatting>
  <conditionalFormatting sqref="S93">
    <cfRule type="expression" dxfId="72" priority="103" stopIfTrue="1">
      <formula>(S93+T93)&gt;C93</formula>
    </cfRule>
  </conditionalFormatting>
  <conditionalFormatting sqref="S94">
    <cfRule type="expression" dxfId="71" priority="102" stopIfTrue="1">
      <formula>(S94+T94)&gt;C94</formula>
    </cfRule>
  </conditionalFormatting>
  <conditionalFormatting sqref="S98">
    <cfRule type="expression" dxfId="70" priority="92" stopIfTrue="1">
      <formula>(S98+T98)&gt;C98</formula>
    </cfRule>
  </conditionalFormatting>
  <conditionalFormatting sqref="S99">
    <cfRule type="expression" dxfId="69" priority="91" stopIfTrue="1">
      <formula>(S99+T99)&gt;C99</formula>
    </cfRule>
  </conditionalFormatting>
  <conditionalFormatting sqref="S100">
    <cfRule type="expression" dxfId="68" priority="90" stopIfTrue="1">
      <formula>(S100+T100)&gt;C100</formula>
    </cfRule>
  </conditionalFormatting>
  <conditionalFormatting sqref="S101">
    <cfRule type="expression" dxfId="67" priority="89" stopIfTrue="1">
      <formula>(S101+T101)&gt;C101</formula>
    </cfRule>
  </conditionalFormatting>
  <conditionalFormatting sqref="S102">
    <cfRule type="expression" dxfId="66" priority="88" stopIfTrue="1">
      <formula>(S102+T102)&gt;C102</formula>
    </cfRule>
  </conditionalFormatting>
  <conditionalFormatting sqref="S103">
    <cfRule type="expression" dxfId="65" priority="87" stopIfTrue="1">
      <formula>(S103+T103)&gt;C103</formula>
    </cfRule>
  </conditionalFormatting>
  <conditionalFormatting sqref="C10">
    <cfRule type="expression" dxfId="64" priority="79">
      <formula>"(S10+T10)&gt;C10 "</formula>
    </cfRule>
  </conditionalFormatting>
  <conditionalFormatting sqref="T10">
    <cfRule type="expression" dxfId="63" priority="77" stopIfTrue="1">
      <formula>(S10+T10)&gt;C10</formula>
    </cfRule>
  </conditionalFormatting>
  <conditionalFormatting sqref="T13">
    <cfRule type="expression" dxfId="62" priority="75" stopIfTrue="1">
      <formula>(S13+T13)&gt;C13</formula>
    </cfRule>
  </conditionalFormatting>
  <conditionalFormatting sqref="T14">
    <cfRule type="expression" dxfId="61" priority="74" stopIfTrue="1">
      <formula>(S14+T14)&gt;C14</formula>
    </cfRule>
  </conditionalFormatting>
  <conditionalFormatting sqref="T17">
    <cfRule type="expression" dxfId="60" priority="73" stopIfTrue="1">
      <formula>(S17+T17)&gt;C17</formula>
    </cfRule>
  </conditionalFormatting>
  <conditionalFormatting sqref="T18">
    <cfRule type="expression" dxfId="59" priority="56" stopIfTrue="1">
      <formula>(S18+T18)&gt;C18</formula>
    </cfRule>
  </conditionalFormatting>
  <conditionalFormatting sqref="T19">
    <cfRule type="expression" dxfId="58" priority="55" stopIfTrue="1">
      <formula>(S19+T19)&gt;C19</formula>
    </cfRule>
  </conditionalFormatting>
  <conditionalFormatting sqref="T20">
    <cfRule type="expression" dxfId="57" priority="54" stopIfTrue="1">
      <formula>(S20+T20)&gt;C20</formula>
    </cfRule>
  </conditionalFormatting>
  <conditionalFormatting sqref="T21">
    <cfRule type="expression" dxfId="56" priority="53" stopIfTrue="1">
      <formula>(S21+T21)&gt;C21</formula>
    </cfRule>
  </conditionalFormatting>
  <conditionalFormatting sqref="T22">
    <cfRule type="expression" dxfId="55" priority="52" stopIfTrue="1">
      <formula>(S22+T22)&gt;C22</formula>
    </cfRule>
  </conditionalFormatting>
  <conditionalFormatting sqref="T23">
    <cfRule type="expression" dxfId="54" priority="51" stopIfTrue="1">
      <formula>(S23+T23)&gt;C23</formula>
    </cfRule>
  </conditionalFormatting>
  <conditionalFormatting sqref="T24">
    <cfRule type="expression" dxfId="53" priority="50" stopIfTrue="1">
      <formula>(S24+T24)&gt;C24</formula>
    </cfRule>
  </conditionalFormatting>
  <conditionalFormatting sqref="T26">
    <cfRule type="expression" dxfId="52" priority="48" stopIfTrue="1">
      <formula>(S26+T26)&gt;C26</formula>
    </cfRule>
  </conditionalFormatting>
  <conditionalFormatting sqref="T28">
    <cfRule type="expression" dxfId="51" priority="47" stopIfTrue="1">
      <formula>(S28+T28)&gt;C28</formula>
    </cfRule>
  </conditionalFormatting>
  <conditionalFormatting sqref="T29">
    <cfRule type="expression" dxfId="50" priority="45" stopIfTrue="1">
      <formula>(S29+T29)&gt;C29</formula>
    </cfRule>
  </conditionalFormatting>
  <conditionalFormatting sqref="T30">
    <cfRule type="expression" dxfId="49" priority="44" stopIfTrue="1">
      <formula>(S30+T30)&gt;C30</formula>
    </cfRule>
  </conditionalFormatting>
  <conditionalFormatting sqref="T31">
    <cfRule type="expression" dxfId="48" priority="43" stopIfTrue="1">
      <formula>(S31+T31)&gt;C31</formula>
    </cfRule>
  </conditionalFormatting>
  <conditionalFormatting sqref="T32">
    <cfRule type="expression" dxfId="47" priority="42" stopIfTrue="1">
      <formula>(S32+T32)&gt;C32</formula>
    </cfRule>
  </conditionalFormatting>
  <conditionalFormatting sqref="T33">
    <cfRule type="expression" dxfId="46" priority="41" stopIfTrue="1">
      <formula>(S33+T33)&gt;C33</formula>
    </cfRule>
  </conditionalFormatting>
  <conditionalFormatting sqref="T34">
    <cfRule type="expression" dxfId="45" priority="40" stopIfTrue="1">
      <formula>(S34+T34)&gt;C34</formula>
    </cfRule>
  </conditionalFormatting>
  <conditionalFormatting sqref="T35">
    <cfRule type="expression" dxfId="44" priority="39" stopIfTrue="1">
      <formula>(S35+T35)&gt;C35</formula>
    </cfRule>
  </conditionalFormatting>
  <conditionalFormatting sqref="T38">
    <cfRule type="expression" dxfId="43" priority="38" stopIfTrue="1">
      <formula>(S38+T38)&gt;C38</formula>
    </cfRule>
  </conditionalFormatting>
  <conditionalFormatting sqref="T39">
    <cfRule type="expression" dxfId="42" priority="37" stopIfTrue="1">
      <formula>(S39+T39)&gt;C39</formula>
    </cfRule>
  </conditionalFormatting>
  <conditionalFormatting sqref="T41">
    <cfRule type="expression" dxfId="41" priority="36" stopIfTrue="1">
      <formula>(S41+T41)&gt;C41</formula>
    </cfRule>
  </conditionalFormatting>
  <conditionalFormatting sqref="T43">
    <cfRule type="expression" dxfId="40" priority="35" stopIfTrue="1">
      <formula>(S43+T43)&gt;C43</formula>
    </cfRule>
  </conditionalFormatting>
  <conditionalFormatting sqref="T44">
    <cfRule type="expression" dxfId="39" priority="34" stopIfTrue="1">
      <formula>(S44+T44)&gt;C44</formula>
    </cfRule>
  </conditionalFormatting>
  <conditionalFormatting sqref="T45">
    <cfRule type="expression" dxfId="38" priority="33" stopIfTrue="1">
      <formula>(S45+T45)&gt;C45</formula>
    </cfRule>
  </conditionalFormatting>
  <conditionalFormatting sqref="T46">
    <cfRule type="expression" dxfId="37" priority="32" stopIfTrue="1">
      <formula>(S46+T46)&gt;C46</formula>
    </cfRule>
  </conditionalFormatting>
  <conditionalFormatting sqref="T47">
    <cfRule type="expression" dxfId="36" priority="31" stopIfTrue="1">
      <formula>(S47+T47)&gt;C47</formula>
    </cfRule>
  </conditionalFormatting>
  <conditionalFormatting sqref="T48">
    <cfRule type="expression" dxfId="35" priority="30" stopIfTrue="1">
      <formula>(S48+T48)&gt;C48</formula>
    </cfRule>
  </conditionalFormatting>
  <conditionalFormatting sqref="T49">
    <cfRule type="expression" dxfId="34" priority="29" stopIfTrue="1">
      <formula>(S49+T49)&gt;C49</formula>
    </cfRule>
  </conditionalFormatting>
  <conditionalFormatting sqref="T50">
    <cfRule type="expression" dxfId="33" priority="28" stopIfTrue="1">
      <formula>(S50+T50)&gt;C50</formula>
    </cfRule>
  </conditionalFormatting>
  <conditionalFormatting sqref="T51">
    <cfRule type="expression" dxfId="32" priority="27" stopIfTrue="1">
      <formula>(S51+T51)&gt;C51</formula>
    </cfRule>
  </conditionalFormatting>
  <conditionalFormatting sqref="T52">
    <cfRule type="expression" dxfId="31" priority="26" stopIfTrue="1">
      <formula>(S52+T52)&gt;C52</formula>
    </cfRule>
  </conditionalFormatting>
  <conditionalFormatting sqref="T65">
    <cfRule type="expression" dxfId="30" priority="25" stopIfTrue="1">
      <formula>(S65+T65)&gt;C65</formula>
    </cfRule>
  </conditionalFormatting>
  <conditionalFormatting sqref="T66">
    <cfRule type="expression" dxfId="29" priority="24" stopIfTrue="1">
      <formula>(S66+T66)&gt;C66</formula>
    </cfRule>
  </conditionalFormatting>
  <conditionalFormatting sqref="T76">
    <cfRule type="expression" dxfId="28" priority="23" stopIfTrue="1">
      <formula>(S76+T76)&gt;C76</formula>
    </cfRule>
  </conditionalFormatting>
  <conditionalFormatting sqref="T77">
    <cfRule type="expression" dxfId="27" priority="22" stopIfTrue="1">
      <formula>(S77+T77)&gt;C77</formula>
    </cfRule>
  </conditionalFormatting>
  <conditionalFormatting sqref="T81">
    <cfRule type="expression" dxfId="26" priority="21" stopIfTrue="1">
      <formula>(S81+T81)&gt;C81</formula>
    </cfRule>
  </conditionalFormatting>
  <conditionalFormatting sqref="T82">
    <cfRule type="expression" dxfId="25" priority="20" stopIfTrue="1">
      <formula>(S82+T82)&gt;C82</formula>
    </cfRule>
  </conditionalFormatting>
  <conditionalFormatting sqref="T83">
    <cfRule type="expression" dxfId="24" priority="19" stopIfTrue="1">
      <formula>(S83+T83)&gt;C83</formula>
    </cfRule>
  </conditionalFormatting>
  <conditionalFormatting sqref="T84">
    <cfRule type="expression" dxfId="23" priority="18" stopIfTrue="1">
      <formula>(S84+T84)&gt;C84</formula>
    </cfRule>
  </conditionalFormatting>
  <conditionalFormatting sqref="T86">
    <cfRule type="expression" dxfId="22" priority="17" stopIfTrue="1">
      <formula>(S86+T86)&gt;C86</formula>
    </cfRule>
  </conditionalFormatting>
  <conditionalFormatting sqref="T87">
    <cfRule type="expression" dxfId="21" priority="16" stopIfTrue="1">
      <formula>(S87+T87)&gt;C87</formula>
    </cfRule>
  </conditionalFormatting>
  <conditionalFormatting sqref="T88">
    <cfRule type="expression" dxfId="20" priority="15" stopIfTrue="1">
      <formula>(S88+T88)&gt;C88</formula>
    </cfRule>
  </conditionalFormatting>
  <conditionalFormatting sqref="T89">
    <cfRule type="expression" dxfId="19" priority="14" stopIfTrue="1">
      <formula>(S89+T89)&gt;C89</formula>
    </cfRule>
  </conditionalFormatting>
  <conditionalFormatting sqref="T90">
    <cfRule type="expression" dxfId="18" priority="13" stopIfTrue="1">
      <formula>(S90+T90)&gt;C90</formula>
    </cfRule>
  </conditionalFormatting>
  <conditionalFormatting sqref="T91">
    <cfRule type="expression" dxfId="17" priority="12" stopIfTrue="1">
      <formula>(S91+T91)&gt;C91</formula>
    </cfRule>
  </conditionalFormatting>
  <conditionalFormatting sqref="T92">
    <cfRule type="expression" dxfId="16" priority="11" stopIfTrue="1">
      <formula>(S92+T92)&gt;C92</formula>
    </cfRule>
  </conditionalFormatting>
  <conditionalFormatting sqref="T93">
    <cfRule type="expression" dxfId="15" priority="10" stopIfTrue="1">
      <formula>(S93+T93)&gt;C93</formula>
    </cfRule>
  </conditionalFormatting>
  <conditionalFormatting sqref="T94">
    <cfRule type="expression" dxfId="14" priority="9" stopIfTrue="1">
      <formula>(S94+T94)&gt;C94</formula>
    </cfRule>
  </conditionalFormatting>
  <conditionalFormatting sqref="T98">
    <cfRule type="expression" dxfId="13" priority="8" stopIfTrue="1">
      <formula>(S98+T98)&gt;C98</formula>
    </cfRule>
  </conditionalFormatting>
  <conditionalFormatting sqref="T99">
    <cfRule type="expression" dxfId="12" priority="7" stopIfTrue="1">
      <formula>(S99+T99)&gt;C99</formula>
    </cfRule>
  </conditionalFormatting>
  <conditionalFormatting sqref="T100">
    <cfRule type="expression" dxfId="11" priority="6" stopIfTrue="1">
      <formula>(S100+T100)&gt;C100</formula>
    </cfRule>
  </conditionalFormatting>
  <conditionalFormatting sqref="T101">
    <cfRule type="expression" dxfId="10" priority="5" stopIfTrue="1">
      <formula>(S101+T101)&gt;C101</formula>
    </cfRule>
  </conditionalFormatting>
  <conditionalFormatting sqref="T102">
    <cfRule type="expression" dxfId="9" priority="4" stopIfTrue="1">
      <formula>(S102+T102)&gt;C102</formula>
    </cfRule>
  </conditionalFormatting>
  <conditionalFormatting sqref="T103">
    <cfRule type="expression" dxfId="8" priority="3" stopIfTrue="1">
      <formula>(S103+T103)&gt;C103</formula>
    </cfRule>
  </conditionalFormatting>
  <conditionalFormatting sqref="S76">
    <cfRule type="expression" dxfId="7" priority="2" stopIfTrue="1">
      <formula>(S76+T76)&gt;C76</formula>
    </cfRule>
  </conditionalFormatting>
  <conditionalFormatting sqref="S82:S83">
    <cfRule type="expression" dxfId="6" priority="1" stopIfTrue="1">
      <formula>(S82+T82)&gt;C82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F50" sqref="F5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1494</v>
      </c>
      <c r="B1" s="1618"/>
      <c r="C1" s="1618"/>
      <c r="D1" s="1618"/>
      <c r="E1" s="1618"/>
      <c r="F1" s="1618"/>
      <c r="G1" s="1618"/>
      <c r="H1" s="1618"/>
      <c r="I1" s="1618"/>
      <c r="J1" s="1619"/>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c r="E4" s="591"/>
      <c r="F4" s="591"/>
      <c r="G4" s="591"/>
      <c r="H4" s="591"/>
      <c r="I4" s="591"/>
      <c r="J4" s="591"/>
      <c r="K4" s="587"/>
    </row>
    <row r="5" spans="1:11" s="588" customFormat="1">
      <c r="A5" s="592" t="s">
        <v>31</v>
      </c>
      <c r="B5" s="589">
        <f>'Sources and Uses Budget'!C5</f>
        <v>100000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100001</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200000</v>
      </c>
      <c r="C10" s="590"/>
      <c r="D10" s="590"/>
      <c r="E10" s="589">
        <f>'Sources and Uses Budget'!S10</f>
        <v>166000</v>
      </c>
      <c r="F10" s="590"/>
      <c r="G10" s="590"/>
      <c r="H10" s="589">
        <f>'Sources and Uses Budget'!T10</f>
        <v>0</v>
      </c>
      <c r="I10" s="590"/>
      <c r="J10" s="590"/>
      <c r="K10" s="587"/>
    </row>
    <row r="11" spans="1:11" s="588" customFormat="1">
      <c r="A11" s="593" t="s">
        <v>646</v>
      </c>
      <c r="B11" s="589">
        <f>'Sources and Uses Budget'!C11</f>
        <v>200000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300001</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3762900</v>
      </c>
      <c r="C28" s="590"/>
      <c r="D28" s="590"/>
      <c r="E28" s="589">
        <f>'Sources and Uses Budget'!S28</f>
        <v>3165706.17</v>
      </c>
      <c r="F28" s="590"/>
      <c r="G28" s="590"/>
      <c r="H28" s="589">
        <f>'Sources and Uses Budget'!T28</f>
        <v>0</v>
      </c>
      <c r="I28" s="590"/>
      <c r="J28" s="590"/>
      <c r="K28" s="587"/>
    </row>
    <row r="29" spans="1:11" s="588" customFormat="1">
      <c r="A29" s="223" t="s">
        <v>649</v>
      </c>
      <c r="B29" s="589">
        <f>'Sources and Uses Budget'!C29</f>
        <v>49578520</v>
      </c>
      <c r="C29" s="590"/>
      <c r="D29" s="590"/>
      <c r="E29" s="589">
        <f>'Sources and Uses Budget'!S29</f>
        <v>41280569</v>
      </c>
      <c r="F29" s="590"/>
      <c r="G29" s="590"/>
      <c r="H29" s="589">
        <f>'Sources and Uses Budget'!T29</f>
        <v>0</v>
      </c>
      <c r="I29" s="590"/>
      <c r="J29" s="590"/>
      <c r="K29" s="587"/>
    </row>
    <row r="30" spans="1:11" s="588" customFormat="1">
      <c r="A30" s="223" t="s">
        <v>650</v>
      </c>
      <c r="B30" s="589">
        <f>'Sources and Uses Budget'!C30</f>
        <v>3239503</v>
      </c>
      <c r="C30" s="590"/>
      <c r="D30" s="590"/>
      <c r="E30" s="589">
        <f>'Sources and Uses Budget'!S30</f>
        <v>2735503.44</v>
      </c>
      <c r="F30" s="590"/>
      <c r="G30" s="590"/>
      <c r="H30" s="589">
        <f>'Sources and Uses Budget'!T30</f>
        <v>0</v>
      </c>
      <c r="I30" s="590"/>
      <c r="J30" s="590"/>
      <c r="K30" s="587"/>
    </row>
    <row r="31" spans="1:11" s="588" customFormat="1">
      <c r="A31" s="223" t="s">
        <v>144</v>
      </c>
      <c r="B31" s="589">
        <f>'Sources and Uses Budget'!C31</f>
        <v>2159669</v>
      </c>
      <c r="C31" s="590"/>
      <c r="D31" s="590"/>
      <c r="E31" s="589">
        <f>'Sources and Uses Budget'!S31</f>
        <v>1823669</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600308</v>
      </c>
      <c r="C33" s="590"/>
      <c r="D33" s="590"/>
      <c r="E33" s="589">
        <f>'Sources and Uses Budget'!S33</f>
        <v>498256</v>
      </c>
      <c r="F33" s="590"/>
      <c r="G33" s="590"/>
      <c r="H33" s="589">
        <f>'Sources and Uses Budget'!T33</f>
        <v>0</v>
      </c>
      <c r="I33" s="590"/>
      <c r="J33" s="590"/>
      <c r="K33" s="587"/>
    </row>
    <row r="34" spans="1:11" s="588" customFormat="1">
      <c r="A34" s="223" t="s">
        <v>147</v>
      </c>
      <c r="B34" s="589">
        <f>'Sources and Uses Budget'!C34</f>
        <v>539917</v>
      </c>
      <c r="C34" s="590"/>
      <c r="D34" s="590"/>
      <c r="E34" s="589">
        <f>'Sources and Uses Budget'!S34</f>
        <v>455917.24</v>
      </c>
      <c r="F34" s="590"/>
      <c r="G34" s="590"/>
      <c r="H34" s="589">
        <f>'Sources and Uses Budget'!T34</f>
        <v>0</v>
      </c>
      <c r="I34" s="590"/>
      <c r="J34" s="590"/>
      <c r="K34" s="587"/>
    </row>
    <row r="35" spans="1:11" s="588" customFormat="1" ht="24">
      <c r="A35" s="595" t="str">
        <f>'Sources and Uses Budget'!$A35</f>
        <v>Other: Pre Construction Services, DAS Fire Antenna System</v>
      </c>
      <c r="B35" s="589">
        <f>'Sources and Uses Budget'!C35</f>
        <v>150000</v>
      </c>
      <c r="C35" s="590"/>
      <c r="D35" s="590"/>
      <c r="E35" s="589">
        <f>'Sources and Uses Budget'!S35</f>
        <v>150000</v>
      </c>
      <c r="F35" s="590"/>
      <c r="G35" s="590"/>
      <c r="H35" s="589">
        <f>'Sources and Uses Budget'!T35</f>
        <v>0</v>
      </c>
      <c r="I35" s="590"/>
      <c r="J35" s="590"/>
      <c r="K35" s="587"/>
    </row>
    <row r="36" spans="1:11" s="588" customFormat="1">
      <c r="A36" s="597" t="s">
        <v>150</v>
      </c>
      <c r="B36" s="589">
        <f>'Sources and Uses Budget'!C36</f>
        <v>60030817</v>
      </c>
      <c r="C36" s="589">
        <f>SUM(C28:C35)</f>
        <v>0</v>
      </c>
      <c r="D36" s="589">
        <f>SUM(D28:D35)</f>
        <v>0</v>
      </c>
      <c r="E36" s="589">
        <f>'Sources and Uses Budget'!S36</f>
        <v>50109620.850000001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1450000</v>
      </c>
      <c r="C38" s="590"/>
      <c r="D38" s="590"/>
      <c r="E38" s="589">
        <f>'Sources and Uses Budget'!S38</f>
        <v>1203500</v>
      </c>
      <c r="F38" s="590"/>
      <c r="G38" s="590"/>
      <c r="H38" s="589">
        <f>'Sources and Uses Budget'!T38</f>
        <v>0</v>
      </c>
      <c r="I38" s="590"/>
      <c r="J38" s="590"/>
      <c r="K38" s="587"/>
    </row>
    <row r="39" spans="1:11" s="588" customFormat="1">
      <c r="A39" s="592" t="s">
        <v>153</v>
      </c>
      <c r="B39" s="589">
        <f>'Sources and Uses Budget'!C39</f>
        <v>100000</v>
      </c>
      <c r="C39" s="590"/>
      <c r="D39" s="590"/>
      <c r="E39" s="589">
        <f>'Sources and Uses Budget'!S39</f>
        <v>83000</v>
      </c>
      <c r="F39" s="590"/>
      <c r="G39" s="590"/>
      <c r="H39" s="589">
        <f>'Sources and Uses Budget'!T39</f>
        <v>0</v>
      </c>
      <c r="I39" s="590"/>
      <c r="J39" s="590"/>
      <c r="K39" s="587"/>
    </row>
    <row r="40" spans="1:11" s="588" customFormat="1">
      <c r="A40" s="593" t="s">
        <v>154</v>
      </c>
      <c r="B40" s="589">
        <f>'Sources and Uses Budget'!C40</f>
        <v>1550000</v>
      </c>
      <c r="C40" s="589">
        <f>SUM(C37:C39)</f>
        <v>0</v>
      </c>
      <c r="D40" s="589">
        <f>SUM(D37:D39)</f>
        <v>0</v>
      </c>
      <c r="E40" s="589">
        <f>'Sources and Uses Budget'!S40</f>
        <v>1286500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1168800</v>
      </c>
      <c r="C41" s="590"/>
      <c r="D41" s="590"/>
      <c r="E41" s="589">
        <f>'Sources and Uses Budget'!S41</f>
        <v>982854</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3717444</v>
      </c>
      <c r="C43" s="590"/>
      <c r="D43" s="590"/>
      <c r="E43" s="589">
        <f>'Sources and Uses Budget'!S43</f>
        <v>2912444</v>
      </c>
      <c r="F43" s="590"/>
      <c r="G43" s="590"/>
      <c r="H43" s="589">
        <f>'Sources and Uses Budget'!T43</f>
        <v>0</v>
      </c>
      <c r="I43" s="590"/>
      <c r="J43" s="590"/>
      <c r="K43" s="587"/>
    </row>
    <row r="44" spans="1:11" s="588" customFormat="1">
      <c r="A44" s="592" t="s">
        <v>158</v>
      </c>
      <c r="B44" s="589">
        <f>'Sources and Uses Budget'!C44</f>
        <v>358750</v>
      </c>
      <c r="C44" s="590"/>
      <c r="D44" s="590"/>
      <c r="E44" s="589">
        <f>'Sources and Uses Budget'!S44</f>
        <v>358750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539917</v>
      </c>
      <c r="C46" s="590"/>
      <c r="D46" s="590"/>
      <c r="E46" s="589">
        <f>'Sources and Uses Budget'!S46</f>
        <v>455917.24</v>
      </c>
      <c r="F46" s="590"/>
      <c r="G46" s="590"/>
      <c r="H46" s="589">
        <f>'Sources and Uses Budget'!T46</f>
        <v>0</v>
      </c>
      <c r="I46" s="590"/>
      <c r="J46" s="590"/>
      <c r="K46" s="587"/>
    </row>
    <row r="47" spans="1:11" s="588" customFormat="1">
      <c r="A47" s="457" t="s">
        <v>62</v>
      </c>
      <c r="B47" s="589">
        <f>'Sources and Uses Budget'!C47</f>
        <v>298249</v>
      </c>
      <c r="C47" s="590"/>
      <c r="D47" s="590"/>
      <c r="E47" s="589">
        <f>'Sources and Uses Budget'!S47</f>
        <v>1510.5</v>
      </c>
      <c r="F47" s="590"/>
      <c r="G47" s="590"/>
      <c r="H47" s="589">
        <f>'Sources and Uses Budget'!T47</f>
        <v>0</v>
      </c>
      <c r="I47" s="590"/>
      <c r="J47" s="590"/>
      <c r="K47" s="587"/>
    </row>
    <row r="48" spans="1:11" s="588" customFormat="1">
      <c r="A48" s="592" t="s">
        <v>163</v>
      </c>
      <c r="B48" s="589">
        <f>'Sources and Uses Budget'!C48</f>
        <v>150000</v>
      </c>
      <c r="C48" s="590"/>
      <c r="D48" s="590"/>
      <c r="E48" s="589">
        <f>'Sources and Uses Budget'!S48</f>
        <v>150000</v>
      </c>
      <c r="F48" s="590"/>
      <c r="G48" s="590"/>
      <c r="H48" s="589">
        <f>'Sources and Uses Budget'!T48</f>
        <v>0</v>
      </c>
      <c r="I48" s="590"/>
      <c r="J48" s="590"/>
      <c r="K48" s="587"/>
    </row>
    <row r="49" spans="1:11" s="588" customFormat="1">
      <c r="A49" s="592" t="s">
        <v>161</v>
      </c>
      <c r="B49" s="589">
        <f>'Sources and Uses Budget'!C49</f>
        <v>15000</v>
      </c>
      <c r="C49" s="590"/>
      <c r="D49" s="590"/>
      <c r="E49" s="589">
        <f>'Sources and Uses Budget'!S49</f>
        <v>15000</v>
      </c>
      <c r="F49" s="590"/>
      <c r="G49" s="590"/>
      <c r="H49" s="589">
        <f>'Sources and Uses Budget'!T49</f>
        <v>0</v>
      </c>
      <c r="I49" s="590"/>
      <c r="J49" s="590"/>
      <c r="K49" s="587"/>
    </row>
    <row r="50" spans="1:11" s="588" customFormat="1">
      <c r="A50" s="592" t="s">
        <v>162</v>
      </c>
      <c r="B50" s="589">
        <f>'Sources and Uses Budget'!C50</f>
        <v>400000</v>
      </c>
      <c r="C50" s="590"/>
      <c r="D50" s="590"/>
      <c r="E50" s="589">
        <f>'Sources and Uses Budget'!S50</f>
        <v>400000</v>
      </c>
      <c r="F50" s="590"/>
      <c r="G50" s="590"/>
      <c r="H50" s="589">
        <f>'Sources and Uses Budget'!T50</f>
        <v>0</v>
      </c>
      <c r="I50" s="590"/>
      <c r="J50" s="590"/>
      <c r="K50" s="587"/>
    </row>
    <row r="51" spans="1:11" s="588" customFormat="1">
      <c r="A51" s="595" t="str">
        <f>'Sources and Uses Budget'!$A60</f>
        <v>Other: Transactional Legal Fees</v>
      </c>
      <c r="B51" s="589">
        <f>'Sources and Uses Budget'!C51</f>
        <v>351028</v>
      </c>
      <c r="C51" s="590"/>
      <c r="D51" s="590"/>
      <c r="E51" s="589">
        <f>'Sources and Uses Budget'!S51</f>
        <v>351028</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5830388</v>
      </c>
      <c r="C53" s="596">
        <f>SUM(C43:C52)</f>
        <v>0</v>
      </c>
      <c r="D53" s="596">
        <f>SUM(D43:D52)</f>
        <v>0</v>
      </c>
      <c r="E53" s="589">
        <f>'Sources and Uses Budget'!S53</f>
        <v>4644649.74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207500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Transactional Legal Fees</v>
      </c>
      <c r="B60" s="589">
        <f>'Sources and Uses Budget'!C60</f>
        <v>95000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312500</v>
      </c>
      <c r="C62" s="589">
        <f>SUM(C55:C61)</f>
        <v>0</v>
      </c>
      <c r="D62" s="589">
        <f>SUM(D55:D61)</f>
        <v>0</v>
      </c>
      <c r="E62" s="591"/>
      <c r="F62" s="591"/>
      <c r="G62" s="591"/>
      <c r="H62" s="591"/>
      <c r="I62" s="591"/>
      <c r="J62" s="591"/>
      <c r="K62" s="587"/>
    </row>
    <row r="63" spans="1:11" s="588" customFormat="1">
      <c r="A63" s="600" t="s">
        <v>321</v>
      </c>
      <c r="B63" s="589">
        <f>'Sources and Uses Budget'!C63</f>
        <v>69192506</v>
      </c>
      <c r="C63" s="589">
        <f>SUM(C8+C11+C13+C14+C15+C25+C26+C36+C40+C41+C53+C62)</f>
        <v>0</v>
      </c>
      <c r="D63" s="589">
        <f>SUM(D8+D11+D13+D14+D15+D25+D26+D36+D40+D41+D53+D62)</f>
        <v>0</v>
      </c>
      <c r="E63" s="589">
        <f>'Sources and Uses Budget'!S63</f>
        <v>57189624.590000004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115000</v>
      </c>
      <c r="C65" s="590"/>
      <c r="D65" s="590"/>
      <c r="E65" s="589">
        <f>'Sources and Uses Budget'!S65</f>
        <v>115000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115000</v>
      </c>
      <c r="C67" s="589">
        <f>SUM(C64:C66)</f>
        <v>0</v>
      </c>
      <c r="D67" s="589">
        <f>SUM(D64:D66)</f>
        <v>0</v>
      </c>
      <c r="E67" s="589">
        <f>'Sources and Uses Budget'!S67</f>
        <v>115000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543058</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543058</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4837658</v>
      </c>
      <c r="C76" s="590"/>
      <c r="D76" s="590"/>
      <c r="E76" s="589">
        <f>'Sources and Uses Budget'!S76</f>
        <v>4165658.47</v>
      </c>
      <c r="F76" s="590"/>
      <c r="G76" s="590"/>
      <c r="H76" s="589">
        <f>'Sources and Uses Budget'!T76</f>
        <v>0</v>
      </c>
      <c r="I76" s="590"/>
      <c r="J76" s="590"/>
      <c r="K76" s="587"/>
    </row>
    <row r="77" spans="1:11" s="588" customFormat="1">
      <c r="A77" s="592" t="s">
        <v>63</v>
      </c>
      <c r="B77" s="589">
        <f>'Sources and Uses Budget'!C77</f>
        <v>807371</v>
      </c>
      <c r="C77" s="590"/>
      <c r="D77" s="590"/>
      <c r="E77" s="589">
        <f>'Sources and Uses Budget'!S77</f>
        <v>807371</v>
      </c>
      <c r="F77" s="590"/>
      <c r="G77" s="590"/>
      <c r="H77" s="589">
        <f>'Sources and Uses Budget'!T77</f>
        <v>0</v>
      </c>
      <c r="I77" s="590"/>
      <c r="J77" s="590"/>
      <c r="K77" s="587"/>
    </row>
    <row r="78" spans="1:11" s="588" customFormat="1">
      <c r="A78" s="593" t="s">
        <v>1467</v>
      </c>
      <c r="B78" s="589">
        <f>'Sources and Uses Budget'!C78</f>
        <v>5645029</v>
      </c>
      <c r="C78" s="589">
        <f>SUM(C76:C77)</f>
        <v>0</v>
      </c>
      <c r="D78" s="589">
        <f>SUM(D76:D77)</f>
        <v>0</v>
      </c>
      <c r="E78" s="589">
        <f>'Sources and Uses Budget'!S78</f>
        <v>4973029.4700000007</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95222</v>
      </c>
      <c r="C80" s="590"/>
      <c r="D80" s="590"/>
      <c r="E80" s="591"/>
      <c r="F80" s="591"/>
      <c r="G80" s="591"/>
      <c r="H80" s="591"/>
      <c r="I80" s="591"/>
      <c r="J80" s="591"/>
      <c r="K80" s="587"/>
    </row>
    <row r="81" spans="1:11" s="588" customFormat="1">
      <c r="A81" s="223" t="s">
        <v>845</v>
      </c>
      <c r="B81" s="589">
        <f>'Sources and Uses Budget'!C81</f>
        <v>40000</v>
      </c>
      <c r="C81" s="590"/>
      <c r="D81" s="590"/>
      <c r="E81" s="589">
        <f>'Sources and Uses Budget'!S81</f>
        <v>40000</v>
      </c>
      <c r="F81" s="590"/>
      <c r="G81" s="590"/>
      <c r="H81" s="589">
        <f>'Sources and Uses Budget'!T81</f>
        <v>0</v>
      </c>
      <c r="I81" s="590"/>
      <c r="J81" s="590"/>
      <c r="K81" s="587"/>
    </row>
    <row r="82" spans="1:11" s="588" customFormat="1">
      <c r="A82" s="223" t="s">
        <v>846</v>
      </c>
      <c r="B82" s="589">
        <f>'Sources and Uses Budget'!C82</f>
        <v>770650</v>
      </c>
      <c r="C82" s="590"/>
      <c r="D82" s="590"/>
      <c r="E82" s="589">
        <f>'Sources and Uses Budget'!S82</f>
        <v>639640</v>
      </c>
      <c r="F82" s="590"/>
      <c r="G82" s="590"/>
      <c r="H82" s="589">
        <f>'Sources and Uses Budget'!T82</f>
        <v>0</v>
      </c>
      <c r="I82" s="590"/>
      <c r="J82" s="590"/>
      <c r="K82" s="587"/>
    </row>
    <row r="83" spans="1:11" s="588" customFormat="1">
      <c r="A83" s="223" t="s">
        <v>847</v>
      </c>
      <c r="B83" s="589">
        <f>'Sources and Uses Budget'!C83</f>
        <v>1397736</v>
      </c>
      <c r="C83" s="590"/>
      <c r="D83" s="590"/>
      <c r="E83" s="589">
        <f>'Sources and Uses Budget'!S83</f>
        <v>1160122</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150000</v>
      </c>
      <c r="C85" s="590"/>
      <c r="D85" s="590"/>
      <c r="E85" s="591"/>
      <c r="F85" s="591"/>
      <c r="G85" s="591"/>
      <c r="H85" s="591"/>
      <c r="I85" s="591"/>
      <c r="J85" s="591"/>
      <c r="K85" s="587"/>
    </row>
    <row r="86" spans="1:11" s="588" customFormat="1">
      <c r="A86" s="223" t="s">
        <v>850</v>
      </c>
      <c r="B86" s="589">
        <f>'Sources and Uses Budget'!C86</f>
        <v>200000</v>
      </c>
      <c r="C86" s="590"/>
      <c r="D86" s="590"/>
      <c r="E86" s="589">
        <f>'Sources and Uses Budget'!S86</f>
        <v>200000</v>
      </c>
      <c r="F86" s="590"/>
      <c r="G86" s="590"/>
      <c r="H86" s="589">
        <f>'Sources and Uses Budget'!T86</f>
        <v>0</v>
      </c>
      <c r="I86" s="590"/>
      <c r="J86" s="590"/>
      <c r="K86" s="587"/>
    </row>
    <row r="87" spans="1:11" s="588" customFormat="1">
      <c r="A87" s="223" t="s">
        <v>851</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130000</v>
      </c>
      <c r="C88" s="590"/>
      <c r="D88" s="590"/>
      <c r="E88" s="589">
        <f>'Sources and Uses Budget'!S88</f>
        <v>130000</v>
      </c>
      <c r="F88" s="590"/>
      <c r="G88" s="590"/>
      <c r="H88" s="589">
        <f>'Sources and Uses Budget'!T88</f>
        <v>0</v>
      </c>
      <c r="I88" s="590"/>
      <c r="J88" s="590"/>
      <c r="K88" s="587"/>
    </row>
    <row r="89" spans="1:11" s="588" customFormat="1">
      <c r="A89" s="889" t="s">
        <v>1469</v>
      </c>
      <c r="B89" s="589">
        <f>'Sources and Uses Budget'!C89</f>
        <v>6000</v>
      </c>
      <c r="C89" s="590"/>
      <c r="D89" s="590"/>
      <c r="E89" s="589">
        <f>'Sources and Uses Budget'!S89</f>
        <v>6000</v>
      </c>
      <c r="F89" s="590"/>
      <c r="G89" s="590"/>
      <c r="H89" s="589">
        <f>'Sources and Uses Budget'!T89</f>
        <v>0</v>
      </c>
      <c r="I89" s="590"/>
      <c r="J89" s="590"/>
      <c r="K89" s="587"/>
    </row>
    <row r="90" spans="1:11" s="588" customFormat="1">
      <c r="A90" s="595" t="str">
        <f>'Sources and Uses Budget'!$A90</f>
        <v>Other: Consulting</v>
      </c>
      <c r="B90" s="589">
        <f>'Sources and Uses Budget'!C90</f>
        <v>85000</v>
      </c>
      <c r="C90" s="590"/>
      <c r="D90" s="590"/>
      <c r="E90" s="589">
        <f>'Sources and Uses Budget'!S90</f>
        <v>85000</v>
      </c>
      <c r="F90" s="590"/>
      <c r="G90" s="590"/>
      <c r="H90" s="589">
        <f>'Sources and Uses Budget'!T90</f>
        <v>0</v>
      </c>
      <c r="I90" s="590"/>
      <c r="J90" s="590"/>
      <c r="K90" s="587"/>
    </row>
    <row r="91" spans="1:11" s="588" customFormat="1">
      <c r="A91" s="595" t="str">
        <f>'Sources and Uses Budget'!$A91</f>
        <v>Other: Soils &amp; ALTA Survey</v>
      </c>
      <c r="B91" s="589">
        <f>'Sources and Uses Budget'!C91</f>
        <v>115000</v>
      </c>
      <c r="C91" s="590"/>
      <c r="D91" s="590"/>
      <c r="E91" s="589">
        <f>'Sources and Uses Budget'!S91</f>
        <v>115000</v>
      </c>
      <c r="F91" s="590"/>
      <c r="G91" s="590"/>
      <c r="H91" s="589">
        <f>'Sources and Uses Budget'!T91</f>
        <v>0</v>
      </c>
      <c r="I91" s="590"/>
      <c r="J91" s="590"/>
      <c r="K91" s="587"/>
    </row>
    <row r="92" spans="1:11" s="588" customFormat="1">
      <c r="A92" s="595" t="str">
        <f>'Sources and Uses Budget'!$A92</f>
        <v>Other: Deputy Inspections</v>
      </c>
      <c r="B92" s="589">
        <f>'Sources and Uses Budget'!C92</f>
        <v>300000</v>
      </c>
      <c r="C92" s="590"/>
      <c r="D92" s="590"/>
      <c r="E92" s="589">
        <f>'Sources and Uses Budget'!S92</f>
        <v>300000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3297108</v>
      </c>
      <c r="C95" s="589">
        <f>SUM(C80:C94)</f>
        <v>0</v>
      </c>
      <c r="D95" s="589">
        <f>SUM(D80:D94)</f>
        <v>0</v>
      </c>
      <c r="E95" s="589">
        <f>'Sources and Uses Budget'!S95</f>
        <v>2683262</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78792701</v>
      </c>
      <c r="C96" s="589">
        <f>SUM(C63+C67+C74+C78+C95)</f>
        <v>0</v>
      </c>
      <c r="D96" s="589">
        <f>SUM(D63+D67+D74+D78+D95)</f>
        <v>0</v>
      </c>
      <c r="E96" s="589">
        <f>'Sources and Uses Budget'!S96</f>
        <v>64960916.060000002</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3010000</v>
      </c>
      <c r="C98" s="590"/>
      <c r="D98" s="590"/>
      <c r="E98" s="589">
        <f>'Sources and Uses Budget'!S98</f>
        <v>3010000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3010000</v>
      </c>
      <c r="C104" s="589">
        <f>SUM(C98:C103)</f>
        <v>0</v>
      </c>
      <c r="D104" s="589">
        <f>SUM(D98:D103)</f>
        <v>0</v>
      </c>
      <c r="E104" s="589">
        <f>'Sources and Uses Budget'!S104</f>
        <v>3010000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81802701</v>
      </c>
      <c r="C105" s="596">
        <f>SUM(C96+C104)</f>
        <v>0</v>
      </c>
      <c r="D105" s="596">
        <f>SUM(D96+D104)</f>
        <v>0</v>
      </c>
      <c r="E105" s="589">
        <f>'Sources and Uses Budget'!S105</f>
        <v>67970916.060000002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67970916.060000002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7" zoomScaleNormal="100" zoomScaleSheetLayoutView="100" workbookViewId="0">
      <selection activeCell="T23" sqref="T23:X23"/>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7" t="s">
        <v>1599</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407</v>
      </c>
      <c r="C11" s="1636"/>
      <c r="D11" s="1636"/>
      <c r="E11" s="1636"/>
      <c r="F11" s="1636"/>
      <c r="G11" s="1636"/>
      <c r="H11" s="1636"/>
      <c r="I11" s="1636"/>
      <c r="J11" s="1636"/>
      <c r="K11" s="1636"/>
      <c r="L11" s="1636"/>
      <c r="M11" s="1636"/>
      <c r="N11" s="1636"/>
      <c r="O11" s="1636"/>
      <c r="P11" s="1636"/>
      <c r="Q11" s="1636"/>
      <c r="R11" s="1636"/>
      <c r="S11" s="1637"/>
      <c r="T11" s="1679">
        <f>IF('Sources and Basis Breakdown'!F107=0,'Sources and Basis Breakdown'!E107,'Sources and Basis Breakdown'!F107)</f>
        <v>67970916.060000002</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3" t="s">
        <v>543</v>
      </c>
      <c r="C12" s="1684"/>
      <c r="D12" s="1684"/>
      <c r="E12" s="1684"/>
      <c r="F12" s="1684"/>
      <c r="G12" s="1684"/>
      <c r="H12" s="1684"/>
      <c r="I12" s="1684"/>
      <c r="J12" s="1684"/>
      <c r="K12" s="1684"/>
      <c r="L12" s="1684"/>
      <c r="M12" s="1684"/>
      <c r="N12" s="1684"/>
      <c r="O12" s="1684"/>
      <c r="P12" s="1684"/>
      <c r="Q12" s="1684"/>
      <c r="R12" s="1684"/>
      <c r="S12" s="1685"/>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6" t="s">
        <v>544</v>
      </c>
      <c r="D13" s="1686"/>
      <c r="E13" s="1686"/>
      <c r="F13" s="1686"/>
      <c r="G13" s="1686"/>
      <c r="H13" s="1686"/>
      <c r="I13" s="1686"/>
      <c r="J13" s="1686"/>
      <c r="K13" s="1686"/>
      <c r="L13" s="1686"/>
      <c r="M13" s="1686"/>
      <c r="N13" s="1686"/>
      <c r="O13" s="1686"/>
      <c r="P13" s="1686"/>
      <c r="Q13" s="1686"/>
      <c r="R13" s="1686"/>
      <c r="S13" s="1687"/>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6" t="s">
        <v>545</v>
      </c>
      <c r="D14" s="1686"/>
      <c r="E14" s="1686"/>
      <c r="F14" s="1686"/>
      <c r="G14" s="1686"/>
      <c r="H14" s="1686"/>
      <c r="I14" s="1686"/>
      <c r="J14" s="1686"/>
      <c r="K14" s="1686"/>
      <c r="L14" s="1686"/>
      <c r="M14" s="1686"/>
      <c r="N14" s="1686"/>
      <c r="O14" s="1686"/>
      <c r="P14" s="1686"/>
      <c r="Q14" s="1686"/>
      <c r="R14" s="1686"/>
      <c r="S14" s="1687"/>
      <c r="T14" s="1673"/>
      <c r="U14" s="1674"/>
      <c r="V14" s="1674"/>
      <c r="W14" s="1674"/>
      <c r="X14" s="1674"/>
      <c r="Y14" s="1673"/>
      <c r="Z14" s="1674"/>
      <c r="AA14" s="1674"/>
      <c r="AB14" s="1674"/>
      <c r="AC14" s="1674"/>
      <c r="AD14" s="1674"/>
      <c r="AE14" s="1674"/>
      <c r="AF14" s="1674"/>
      <c r="AG14" s="1674"/>
      <c r="AH14" s="1674"/>
      <c r="AI14" s="1674"/>
      <c r="AJ14" s="1674"/>
      <c r="AK14" s="1674"/>
      <c r="AL14" s="1674"/>
      <c r="AM14" s="167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6" t="s">
        <v>546</v>
      </c>
      <c r="D15" s="1686"/>
      <c r="E15" s="1686"/>
      <c r="F15" s="1686"/>
      <c r="G15" s="1686"/>
      <c r="H15" s="1686"/>
      <c r="I15" s="1686"/>
      <c r="J15" s="1686"/>
      <c r="K15" s="1686"/>
      <c r="L15" s="1686"/>
      <c r="M15" s="1686"/>
      <c r="N15" s="1686"/>
      <c r="O15" s="1686"/>
      <c r="P15" s="1686"/>
      <c r="Q15" s="1686"/>
      <c r="R15" s="1686"/>
      <c r="S15" s="1687"/>
      <c r="T15" s="1673"/>
      <c r="U15" s="1674"/>
      <c r="V15" s="1674"/>
      <c r="W15" s="1674"/>
      <c r="X15" s="1674"/>
      <c r="Y15" s="1673"/>
      <c r="Z15" s="1674"/>
      <c r="AA15" s="1674"/>
      <c r="AB15" s="1674"/>
      <c r="AC15" s="1674"/>
      <c r="AD15" s="1674"/>
      <c r="AE15" s="1674"/>
      <c r="AF15" s="1674"/>
      <c r="AG15" s="1674"/>
      <c r="AH15" s="1674"/>
      <c r="AI15" s="1674"/>
      <c r="AJ15" s="1674"/>
      <c r="AK15" s="1674"/>
      <c r="AL15" s="1674"/>
      <c r="AM15" s="167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6" t="s">
        <v>887</v>
      </c>
      <c r="D16" s="1686"/>
      <c r="E16" s="1686"/>
      <c r="F16" s="1686"/>
      <c r="G16" s="1686"/>
      <c r="H16" s="1686"/>
      <c r="I16" s="1686"/>
      <c r="J16" s="1686"/>
      <c r="K16" s="1686"/>
      <c r="L16" s="1686"/>
      <c r="M16" s="1686"/>
      <c r="N16" s="1686"/>
      <c r="O16" s="1686"/>
      <c r="P16" s="1686"/>
      <c r="Q16" s="1686"/>
      <c r="R16" s="1686"/>
      <c r="S16" s="1687"/>
      <c r="T16" s="1673"/>
      <c r="U16" s="1674"/>
      <c r="V16" s="1674"/>
      <c r="W16" s="1674"/>
      <c r="X16" s="1674"/>
      <c r="Y16" s="1673"/>
      <c r="Z16" s="1674"/>
      <c r="AA16" s="1674"/>
      <c r="AB16" s="1674"/>
      <c r="AC16" s="1674"/>
      <c r="AD16" s="1674"/>
      <c r="AE16" s="1674"/>
      <c r="AF16" s="1674"/>
      <c r="AG16" s="1674"/>
      <c r="AH16" s="1674"/>
      <c r="AI16" s="1674"/>
      <c r="AJ16" s="1674"/>
      <c r="AK16" s="1674"/>
      <c r="AL16" s="1674"/>
      <c r="AM16" s="167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6" t="s">
        <v>547</v>
      </c>
      <c r="D17" s="1686"/>
      <c r="E17" s="1686"/>
      <c r="F17" s="1686"/>
      <c r="G17" s="1686"/>
      <c r="H17" s="1686"/>
      <c r="I17" s="1686"/>
      <c r="J17" s="1686"/>
      <c r="K17" s="1686"/>
      <c r="L17" s="1686"/>
      <c r="M17" s="1686"/>
      <c r="N17" s="1686"/>
      <c r="O17" s="1686"/>
      <c r="P17" s="1686"/>
      <c r="Q17" s="1686"/>
      <c r="R17" s="1686"/>
      <c r="S17" s="1687"/>
      <c r="T17" s="1673"/>
      <c r="U17" s="1674"/>
      <c r="V17" s="1674"/>
      <c r="W17" s="1674"/>
      <c r="X17" s="1674"/>
      <c r="Y17" s="1673"/>
      <c r="Z17" s="1674"/>
      <c r="AA17" s="1674"/>
      <c r="AB17" s="1674"/>
      <c r="AC17" s="1674"/>
      <c r="AD17" s="1674"/>
      <c r="AE17" s="1674"/>
      <c r="AF17" s="1674"/>
      <c r="AG17" s="1674"/>
      <c r="AH17" s="1674"/>
      <c r="AI17" s="1674"/>
      <c r="AJ17" s="1674"/>
      <c r="AK17" s="1674"/>
      <c r="AL17" s="1674"/>
      <c r="AM17" s="167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1" t="s">
        <v>1068</v>
      </c>
      <c r="D18" s="1681"/>
      <c r="E18" s="1681"/>
      <c r="F18" s="1681"/>
      <c r="G18" s="1681"/>
      <c r="H18" s="1681"/>
      <c r="I18" s="1681"/>
      <c r="J18" s="1681"/>
      <c r="K18" s="1681"/>
      <c r="L18" s="1681"/>
      <c r="M18" s="1681"/>
      <c r="N18" s="1681"/>
      <c r="O18" s="1681"/>
      <c r="P18" s="1681"/>
      <c r="Q18" s="1681"/>
      <c r="R18" s="1681"/>
      <c r="S18" s="1682"/>
      <c r="T18" s="1673"/>
      <c r="U18" s="1674"/>
      <c r="V18" s="1674"/>
      <c r="W18" s="1674"/>
      <c r="X18" s="1674"/>
      <c r="Y18" s="1673"/>
      <c r="Z18" s="1674"/>
      <c r="AA18" s="1674"/>
      <c r="AB18" s="1674"/>
      <c r="AC18" s="1674"/>
      <c r="AD18" s="1674"/>
      <c r="AE18" s="1674"/>
      <c r="AF18" s="1674"/>
      <c r="AG18" s="1674"/>
      <c r="AH18" s="1674"/>
      <c r="AI18" s="1674"/>
      <c r="AJ18" s="1674"/>
      <c r="AK18" s="1674"/>
      <c r="AL18" s="1674"/>
      <c r="AM18" s="167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1" t="s">
        <v>1068</v>
      </c>
      <c r="D19" s="1681"/>
      <c r="E19" s="1681"/>
      <c r="F19" s="1681"/>
      <c r="G19" s="1681"/>
      <c r="H19" s="1681"/>
      <c r="I19" s="1681"/>
      <c r="J19" s="1681"/>
      <c r="K19" s="1681"/>
      <c r="L19" s="1681"/>
      <c r="M19" s="1681"/>
      <c r="N19" s="1681"/>
      <c r="O19" s="1681"/>
      <c r="P19" s="1681"/>
      <c r="Q19" s="1681"/>
      <c r="R19" s="1681"/>
      <c r="S19" s="1682"/>
      <c r="T19" s="1673"/>
      <c r="U19" s="1674"/>
      <c r="V19" s="1674"/>
      <c r="W19" s="1674"/>
      <c r="X19" s="1674"/>
      <c r="Y19" s="1673"/>
      <c r="Z19" s="1674"/>
      <c r="AA19" s="1674"/>
      <c r="AB19" s="1674"/>
      <c r="AC19" s="1674"/>
      <c r="AD19" s="1674"/>
      <c r="AE19" s="1674"/>
      <c r="AF19" s="1674"/>
      <c r="AG19" s="1674"/>
      <c r="AH19" s="1674"/>
      <c r="AI19" s="1674"/>
      <c r="AJ19" s="1674"/>
      <c r="AK19" s="1674"/>
      <c r="AL19" s="1674"/>
      <c r="AM19" s="167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548</v>
      </c>
      <c r="C20" s="1636"/>
      <c r="D20" s="1636"/>
      <c r="E20" s="1636"/>
      <c r="F20" s="1636"/>
      <c r="G20" s="1636"/>
      <c r="H20" s="1636"/>
      <c r="I20" s="1636"/>
      <c r="J20" s="1636"/>
      <c r="K20" s="1636"/>
      <c r="L20" s="1636"/>
      <c r="M20" s="1636"/>
      <c r="N20" s="1636"/>
      <c r="O20" s="1636"/>
      <c r="P20" s="1636"/>
      <c r="Q20" s="1636"/>
      <c r="R20" s="1636"/>
      <c r="S20" s="1637"/>
      <c r="T20" s="1653">
        <f>SUM(T13:X19)</f>
        <v>0</v>
      </c>
      <c r="U20" s="1656"/>
      <c r="V20" s="1656"/>
      <c r="W20" s="1656"/>
      <c r="X20" s="1656"/>
      <c r="Y20" s="1653">
        <f>SUM(Y13:AC19)</f>
        <v>0</v>
      </c>
      <c r="Z20" s="1656"/>
      <c r="AA20" s="1656"/>
      <c r="AB20" s="1656"/>
      <c r="AC20" s="1656"/>
      <c r="AD20" s="1651">
        <f>SUM(AD13:AH19)</f>
        <v>0</v>
      </c>
      <c r="AE20" s="1652"/>
      <c r="AF20" s="1652"/>
      <c r="AG20" s="1652"/>
      <c r="AH20" s="1653"/>
      <c r="AI20" s="1651">
        <f>SUM(AI13:AM19)</f>
        <v>0</v>
      </c>
      <c r="AJ20" s="1652"/>
      <c r="AK20" s="1652"/>
      <c r="AL20" s="1652"/>
      <c r="AM20" s="165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1551</v>
      </c>
      <c r="C21" s="1636"/>
      <c r="D21" s="1636"/>
      <c r="E21" s="1636"/>
      <c r="F21" s="1636"/>
      <c r="G21" s="1636"/>
      <c r="H21" s="1636"/>
      <c r="I21" s="1636"/>
      <c r="J21" s="1636"/>
      <c r="K21" s="1636"/>
      <c r="L21" s="1636"/>
      <c r="M21" s="1636"/>
      <c r="N21" s="1636"/>
      <c r="O21" s="1636"/>
      <c r="P21" s="1636"/>
      <c r="Q21" s="1636"/>
      <c r="R21" s="1636"/>
      <c r="S21" s="1637"/>
      <c r="T21" s="1673"/>
      <c r="U21" s="1674"/>
      <c r="V21" s="1674"/>
      <c r="W21" s="1674"/>
      <c r="X21" s="1674"/>
      <c r="Y21" s="1673"/>
      <c r="Z21" s="1674"/>
      <c r="AA21" s="1674"/>
      <c r="AB21" s="1674"/>
      <c r="AC21" s="1674"/>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549</v>
      </c>
      <c r="C22" s="1636"/>
      <c r="D22" s="1636"/>
      <c r="E22" s="1636"/>
      <c r="F22" s="1636"/>
      <c r="G22" s="1636"/>
      <c r="H22" s="1636"/>
      <c r="I22" s="1636"/>
      <c r="J22" s="1636"/>
      <c r="K22" s="1636"/>
      <c r="L22" s="1636"/>
      <c r="M22" s="1636"/>
      <c r="N22" s="1636"/>
      <c r="O22" s="1636"/>
      <c r="P22" s="1636"/>
      <c r="Q22" s="1636"/>
      <c r="R22" s="1636"/>
      <c r="S22" s="1637"/>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0" t="s">
        <v>550</v>
      </c>
      <c r="C23" s="1691"/>
      <c r="D23" s="1691"/>
      <c r="E23" s="1691"/>
      <c r="F23" s="1691"/>
      <c r="G23" s="1691"/>
      <c r="H23" s="1691"/>
      <c r="I23" s="1691"/>
      <c r="J23" s="1691"/>
      <c r="K23" s="1691"/>
      <c r="L23" s="1691"/>
      <c r="M23" s="1691"/>
      <c r="N23" s="1691"/>
      <c r="O23" s="1691"/>
      <c r="P23" s="1691"/>
      <c r="Q23" s="1691"/>
      <c r="R23" s="1691"/>
      <c r="S23" s="1692"/>
      <c r="T23" s="1653">
        <f>T11+T22</f>
        <v>67970916.060000002</v>
      </c>
      <c r="U23" s="1656"/>
      <c r="V23" s="1656"/>
      <c r="W23" s="1656"/>
      <c r="X23" s="1656"/>
      <c r="Y23" s="1653">
        <f>Y11+Y22</f>
        <v>0</v>
      </c>
      <c r="Z23" s="1656"/>
      <c r="AA23" s="1656"/>
      <c r="AB23" s="1656"/>
      <c r="AC23" s="1656"/>
      <c r="AD23" s="1653">
        <f>AD11+AD22</f>
        <v>0</v>
      </c>
      <c r="AE23" s="1656"/>
      <c r="AF23" s="1656"/>
      <c r="AG23" s="1656"/>
      <c r="AH23" s="1656"/>
      <c r="AI23" s="1653">
        <f>AI11+AI22</f>
        <v>0</v>
      </c>
      <c r="AJ23" s="1656"/>
      <c r="AK23" s="1656"/>
      <c r="AL23" s="1656"/>
      <c r="AM23" s="165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1069</v>
      </c>
      <c r="C24" s="1636"/>
      <c r="D24" s="1636"/>
      <c r="E24" s="1636"/>
      <c r="F24" s="1636"/>
      <c r="G24" s="1636"/>
      <c r="H24" s="1636"/>
      <c r="I24" s="1636"/>
      <c r="J24" s="1636"/>
      <c r="K24" s="1636"/>
      <c r="L24" s="1636"/>
      <c r="M24" s="1636"/>
      <c r="N24" s="1636"/>
      <c r="O24" s="1636"/>
      <c r="P24" s="1636"/>
      <c r="Q24" s="1636"/>
      <c r="R24" s="1636"/>
      <c r="S24" s="1637"/>
      <c r="T24" s="1651">
        <f>Application!AD1004</f>
        <v>98268228</v>
      </c>
      <c r="U24" s="1652"/>
      <c r="V24" s="1652"/>
      <c r="W24" s="1652"/>
      <c r="X24" s="1652"/>
      <c r="Y24" s="1652"/>
      <c r="Z24" s="1652"/>
      <c r="AA24" s="1652"/>
      <c r="AB24" s="1652"/>
      <c r="AC24" s="1652"/>
      <c r="AD24" s="1652"/>
      <c r="AE24" s="1652"/>
      <c r="AF24" s="1652"/>
      <c r="AG24" s="1652"/>
      <c r="AH24" s="1652"/>
      <c r="AI24" s="1652"/>
      <c r="AJ24" s="1652"/>
      <c r="AK24" s="1652"/>
      <c r="AL24" s="1652"/>
      <c r="AM24" s="165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4" t="s">
        <v>1552</v>
      </c>
      <c r="C25" s="1695"/>
      <c r="D25" s="1695"/>
      <c r="E25" s="1695"/>
      <c r="F25" s="1695"/>
      <c r="G25" s="1695"/>
      <c r="H25" s="1695"/>
      <c r="I25" s="1695"/>
      <c r="J25" s="1695"/>
      <c r="K25" s="1695"/>
      <c r="L25" s="1695"/>
      <c r="M25" s="1695"/>
      <c r="N25" s="1695"/>
      <c r="O25" s="1695"/>
      <c r="P25" s="1695"/>
      <c r="Q25" s="1695"/>
      <c r="R25" s="1695"/>
      <c r="S25" s="1696"/>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551</v>
      </c>
      <c r="C26" s="1636"/>
      <c r="D26" s="1636"/>
      <c r="E26" s="1636"/>
      <c r="F26" s="1636"/>
      <c r="G26" s="1636"/>
      <c r="H26" s="1636"/>
      <c r="I26" s="1636"/>
      <c r="J26" s="1636"/>
      <c r="K26" s="1636"/>
      <c r="L26" s="1636"/>
      <c r="M26" s="1636"/>
      <c r="N26" s="1636"/>
      <c r="O26" s="1636"/>
      <c r="P26" s="1636"/>
      <c r="Q26" s="1636"/>
      <c r="R26" s="1636"/>
      <c r="S26" s="1637"/>
      <c r="T26" s="1667">
        <f>T23*T25</f>
        <v>88362190.878000006</v>
      </c>
      <c r="U26" s="1668"/>
      <c r="V26" s="1668"/>
      <c r="W26" s="1668"/>
      <c r="X26" s="1668"/>
      <c r="Y26" s="1667">
        <f>Y23*Y25</f>
        <v>0</v>
      </c>
      <c r="Z26" s="1668"/>
      <c r="AA26" s="1668"/>
      <c r="AB26" s="1668"/>
      <c r="AC26" s="1668"/>
      <c r="AD26" s="1667">
        <f>AD23*AD25</f>
        <v>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7" t="s">
        <v>461</v>
      </c>
      <c r="C27" s="1698"/>
      <c r="D27" s="1698"/>
      <c r="E27" s="1698"/>
      <c r="F27" s="1698"/>
      <c r="G27" s="1698"/>
      <c r="H27" s="1698"/>
      <c r="I27" s="1698"/>
      <c r="J27" s="1698"/>
      <c r="K27" s="1698"/>
      <c r="L27" s="1698"/>
      <c r="M27" s="1698"/>
      <c r="N27" s="1698"/>
      <c r="O27" s="1698"/>
      <c r="P27" s="1698"/>
      <c r="Q27" s="1698"/>
      <c r="R27" s="1698"/>
      <c r="S27" s="1699"/>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552</v>
      </c>
      <c r="C28" s="1636"/>
      <c r="D28" s="1636"/>
      <c r="E28" s="1636"/>
      <c r="F28" s="1636"/>
      <c r="G28" s="1636"/>
      <c r="H28" s="1636"/>
      <c r="I28" s="1636"/>
      <c r="J28" s="1636"/>
      <c r="K28" s="1636"/>
      <c r="L28" s="1636"/>
      <c r="M28" s="1636"/>
      <c r="N28" s="1636"/>
      <c r="O28" s="1636"/>
      <c r="P28" s="1636"/>
      <c r="Q28" s="1636"/>
      <c r="R28" s="1636"/>
      <c r="S28" s="1637"/>
      <c r="T28" s="1633">
        <f>IF(ISERROR((T26*T27)),0,(T26*T27))</f>
        <v>88362190.878000006</v>
      </c>
      <c r="U28" s="1634"/>
      <c r="V28" s="1634"/>
      <c r="W28" s="1634"/>
      <c r="X28" s="1634"/>
      <c r="Y28" s="1633">
        <f>IF(ISERROR((Y26*Y27)),0,(Y26*Y27))</f>
        <v>0</v>
      </c>
      <c r="Z28" s="1634"/>
      <c r="AA28" s="1634"/>
      <c r="AB28" s="1634"/>
      <c r="AC28" s="1634"/>
      <c r="AD28" s="1633">
        <f>IF(ISERROR((AD26*AD27)),0,(AD26*AD27))</f>
        <v>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569</v>
      </c>
      <c r="C29" s="1636"/>
      <c r="D29" s="1636"/>
      <c r="E29" s="1636"/>
      <c r="F29" s="1636"/>
      <c r="G29" s="1636"/>
      <c r="H29" s="1636"/>
      <c r="I29" s="1636"/>
      <c r="J29" s="1636"/>
      <c r="K29" s="1636"/>
      <c r="L29" s="1636"/>
      <c r="M29" s="1636"/>
      <c r="N29" s="1636"/>
      <c r="O29" s="1636"/>
      <c r="P29" s="1636"/>
      <c r="Q29" s="1636"/>
      <c r="R29" s="1636"/>
      <c r="S29" s="1637"/>
      <c r="T29" s="1651">
        <f>T28+Y28+AD28+AI28</f>
        <v>88362190.878000006</v>
      </c>
      <c r="U29" s="1652"/>
      <c r="V29" s="1652"/>
      <c r="W29" s="1652"/>
      <c r="X29" s="1652"/>
      <c r="Y29" s="1652"/>
      <c r="Z29" s="1652"/>
      <c r="AA29" s="1652"/>
      <c r="AB29" s="1652"/>
      <c r="AC29" s="1652"/>
      <c r="AD29" s="1652"/>
      <c r="AE29" s="1652"/>
      <c r="AF29" s="1652"/>
      <c r="AG29" s="1652"/>
      <c r="AH29" s="1652"/>
      <c r="AI29" s="1652"/>
      <c r="AJ29" s="1652"/>
      <c r="AK29" s="1652"/>
      <c r="AL29" s="1652"/>
      <c r="AM29" s="165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1556</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1553</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1385</v>
      </c>
      <c r="Z35" s="1654"/>
      <c r="AA35" s="1654"/>
      <c r="AB35" s="1654"/>
      <c r="AC35" s="1654"/>
      <c r="AD35" s="1655" t="s">
        <v>394</v>
      </c>
      <c r="AE35" s="1655"/>
      <c r="AF35" s="1655"/>
      <c r="AG35" s="1655"/>
      <c r="AH35" s="165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55"/>
      <c r="AE36" s="1655"/>
      <c r="AF36" s="1655"/>
      <c r="AG36" s="1655"/>
      <c r="AH36" s="165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55"/>
      <c r="AE37" s="1655"/>
      <c r="AF37" s="1655"/>
      <c r="AG37" s="1655"/>
      <c r="AH37" s="165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552</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56">
        <f>IF(T24&gt;=(T23+Y23+AD23+AI23),T28+Y28,0)</f>
        <v>88362190.878000006</v>
      </c>
      <c r="Z38" s="1656"/>
      <c r="AA38" s="1656"/>
      <c r="AB38" s="1656"/>
      <c r="AC38" s="1656"/>
      <c r="AD38" s="1656">
        <f>IF(T24&gt;=(T23+Y23+AD23+AI23),AD28+AI28,0)</f>
        <v>0</v>
      </c>
      <c r="AE38" s="1656"/>
      <c r="AF38" s="1656"/>
      <c r="AG38" s="1656"/>
      <c r="AH38" s="165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1554</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57">
        <v>3.2399999999999998E-2</v>
      </c>
      <c r="Z39" s="1657"/>
      <c r="AA39" s="1657"/>
      <c r="AB39" s="1657"/>
      <c r="AC39" s="1657"/>
      <c r="AD39" s="1657">
        <v>3.2399999999999998E-2</v>
      </c>
      <c r="AE39" s="1657"/>
      <c r="AF39" s="1657"/>
      <c r="AG39" s="1657"/>
      <c r="AH39" s="165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692</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56">
        <f>ROUND(Y38*Y39,0)</f>
        <v>2862935</v>
      </c>
      <c r="Z40" s="1656"/>
      <c r="AA40" s="1656"/>
      <c r="AB40" s="1656"/>
      <c r="AC40" s="1656"/>
      <c r="AD40" s="1653">
        <f>ROUND(AD38*AD39,0)</f>
        <v>0</v>
      </c>
      <c r="AE40" s="1656"/>
      <c r="AF40" s="1656"/>
      <c r="AG40" s="1656"/>
      <c r="AH40" s="165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693</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700">
        <f>Y40+AD40</f>
        <v>2862935</v>
      </c>
      <c r="Z41" s="1701"/>
      <c r="AA41" s="1701"/>
      <c r="AB41" s="1701"/>
      <c r="AC41" s="1701"/>
      <c r="AD41" s="1701"/>
      <c r="AE41" s="1701"/>
      <c r="AF41" s="1701"/>
      <c r="AG41" s="1701"/>
      <c r="AH41" s="170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3" t="s">
        <v>1555</v>
      </c>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93"/>
      <c r="AD42" s="1693"/>
      <c r="AE42" s="1693"/>
      <c r="AF42" s="1693"/>
      <c r="AG42" s="1693"/>
      <c r="AH42" s="169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1586</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81802701</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35853137</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45949564</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9">
        <v>0.99999000000000005</v>
      </c>
      <c r="AC50" s="1630"/>
      <c r="AD50" s="1630"/>
      <c r="AE50" s="1630"/>
      <c r="AF50" s="163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3" t="s">
        <v>1181</v>
      </c>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45950024</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4595002.4000000004</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7">
        <f>(IF((Y41&lt;AB55),Y41,AB55))</f>
        <v>2862935</v>
      </c>
      <c r="AC56" s="1648"/>
      <c r="AD56" s="1648"/>
      <c r="AE56" s="1648"/>
      <c r="AF56" s="164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28629064</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5">
        <f>AB49-AB57</f>
        <v>17320500</v>
      </c>
      <c r="AC59" s="1625"/>
      <c r="AD59" s="1625"/>
      <c r="AE59" s="1625"/>
      <c r="AF59" s="162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8" t="s">
        <v>1100</v>
      </c>
      <c r="Z63" s="1638"/>
      <c r="AA63" s="1638"/>
      <c r="AB63" s="1638"/>
      <c r="AC63" s="1638"/>
      <c r="AD63" s="1638" t="s">
        <v>394</v>
      </c>
      <c r="AE63" s="1638"/>
      <c r="AF63" s="1638"/>
      <c r="AG63" s="1638"/>
      <c r="AH63" s="163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9">
        <f>IF(OR(Application!M350="yes",Application!AF204="yes"),(T23*T27)+Y28,0)</f>
        <v>67970916.060000002</v>
      </c>
      <c r="Z64" s="1640"/>
      <c r="AA64" s="1640"/>
      <c r="AB64" s="1640"/>
      <c r="AC64" s="1641"/>
      <c r="AD64" s="1639">
        <f>IF(AND(Application!AF204="yes",Application!M353="yes"),AD28+AI28,0)</f>
        <v>0</v>
      </c>
      <c r="AE64" s="1640"/>
      <c r="AF64" s="1640"/>
      <c r="AG64" s="1640"/>
      <c r="AH64" s="164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2" t="s">
        <v>1536</v>
      </c>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6">
        <f>IF(Application!AF204="yes",0.75,0.3)</f>
        <v>0.3</v>
      </c>
      <c r="Z67" s="1626"/>
      <c r="AA67" s="1626"/>
      <c r="AB67" s="1626"/>
      <c r="AC67" s="1626"/>
      <c r="AD67" s="1626">
        <f>IF(Application!AF204="yes",0.75,0.3)</f>
        <v>0.3</v>
      </c>
      <c r="AE67" s="1626"/>
      <c r="AF67" s="1626"/>
      <c r="AG67" s="1626"/>
      <c r="AH67" s="162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7">
        <f>ROUND(Y64*Y67,0)</f>
        <v>20391275</v>
      </c>
      <c r="Z68" s="1628"/>
      <c r="AA68" s="1628"/>
      <c r="AB68" s="1628"/>
      <c r="AC68" s="1628"/>
      <c r="AD68" s="1627" t="str">
        <f>IF(Application!D210="At-Risk",AD64*AD67,"$0")</f>
        <v>$0</v>
      </c>
      <c r="AE68" s="1628"/>
      <c r="AF68" s="1628"/>
      <c r="AG68" s="1628"/>
      <c r="AH68" s="162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9">
        <v>0.85</v>
      </c>
      <c r="AC71" s="1630"/>
      <c r="AD71" s="1630"/>
      <c r="AE71" s="1630"/>
      <c r="AF71" s="163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2" t="s">
        <v>1539</v>
      </c>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163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163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0">
        <f>ROUND(IF(ISERROR((AB59/AB71)),0,(AB59/AB71)),0)</f>
        <v>20377059</v>
      </c>
      <c r="AC76" s="1620"/>
      <c r="AD76" s="1620"/>
      <c r="AE76" s="1620"/>
      <c r="AF76" s="162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1">
        <f>IF((Y68+AD68&lt;AB76),Y68+AD68,AB76)</f>
        <v>20377059</v>
      </c>
      <c r="AC77" s="1622"/>
      <c r="AD77" s="1622"/>
      <c r="AE77" s="1622"/>
      <c r="AF77" s="162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4">
        <f>AB77*AB71</f>
        <v>17320500.149999999</v>
      </c>
      <c r="AC78" s="1624"/>
      <c r="AD78" s="1624"/>
      <c r="AE78" s="1624"/>
      <c r="AF78" s="162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5">
        <f>AB49-(AB57+AB78)</f>
        <v>-0.14999999850988388</v>
      </c>
      <c r="AC80" s="1625"/>
      <c r="AD80" s="1625"/>
      <c r="AE80" s="1625"/>
      <c r="AF80" s="162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1587</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642</v>
      </c>
      <c r="C85" s="344" t="s">
        <v>1585</v>
      </c>
    </row>
    <row r="86" spans="1:98" ht="12.75">
      <c r="D86" s="344" t="s">
        <v>1641</v>
      </c>
      <c r="AB86" s="1689">
        <f>IF(A61="$500M State Credit",AB77/(Application!AG424-Application!AG425),"N/A")</f>
        <v>134059.59868421053</v>
      </c>
      <c r="AC86" s="1689"/>
      <c r="AD86" s="1689"/>
      <c r="AE86" s="1689"/>
      <c r="AF86" s="1689"/>
    </row>
    <row r="87" spans="1:98" ht="13.5" thickBot="1">
      <c r="D87" s="344" t="s">
        <v>1642</v>
      </c>
      <c r="AB87" s="1688">
        <f>IF(A61="$500M State Credit",(Application!AG424-Application!AG425)/AB77,"N/A")</f>
        <v>7.4593688912614918E-6</v>
      </c>
      <c r="AC87" s="1688"/>
      <c r="AD87" s="1688"/>
      <c r="AE87" s="1688"/>
      <c r="AF87" s="168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W24" sqref="W2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2180016</v>
      </c>
      <c r="G4" s="366">
        <f>E4*$C$4</f>
        <v>2234516.4</v>
      </c>
      <c r="I4" s="366">
        <f>G4*$C$4</f>
        <v>2290379.3099999996</v>
      </c>
      <c r="K4" s="366">
        <f>I4*$C$4</f>
        <v>2347638.7927499996</v>
      </c>
      <c r="M4" s="366">
        <f>K4*$C$4</f>
        <v>2406329.7625687495</v>
      </c>
      <c r="O4" s="366">
        <f>M4*$C$4</f>
        <v>2466488.0066329679</v>
      </c>
      <c r="Q4" s="366">
        <f>O4*$C$4</f>
        <v>2528150.2067987919</v>
      </c>
      <c r="S4" s="366">
        <f>Q4*$C$4</f>
        <v>2591353.9619687614</v>
      </c>
      <c r="U4" s="366">
        <f>S4*$C$4</f>
        <v>2656137.8110179803</v>
      </c>
      <c r="W4" s="366">
        <f>U4*$C$4</f>
        <v>2722541.2562934295</v>
      </c>
      <c r="Y4" s="366">
        <f>W4*$C$4</f>
        <v>2790604.7877007648</v>
      </c>
      <c r="AA4" s="366">
        <f>Y4*$C$4</f>
        <v>2860369.9073932837</v>
      </c>
      <c r="AC4" s="366">
        <f>AA4*$C$4</f>
        <v>2931879.1550781154</v>
      </c>
      <c r="AE4" s="366">
        <f>AC4*$C$4</f>
        <v>3005176.133955068</v>
      </c>
      <c r="AG4" s="366">
        <f>AE4*$C$4</f>
        <v>3080305.5373039446</v>
      </c>
    </row>
    <row r="5" spans="1:34" s="350" customFormat="1" ht="14.25">
      <c r="B5" s="350" t="s">
        <v>924</v>
      </c>
      <c r="C5" s="391">
        <f>IF(Application!$D$210="Special Needs",0.1,0.05)</f>
        <v>0.05</v>
      </c>
      <c r="E5" s="368">
        <f>-E4*$C$5</f>
        <v>-109000.8</v>
      </c>
      <c r="F5" s="368"/>
      <c r="G5" s="368">
        <f>-G4*$C$5</f>
        <v>-111725.82</v>
      </c>
      <c r="H5" s="368"/>
      <c r="I5" s="368">
        <f>-I4*$C$5</f>
        <v>-114518.96549999999</v>
      </c>
      <c r="J5" s="368"/>
      <c r="K5" s="368">
        <f>-K4*$C$5</f>
        <v>-117381.93963749998</v>
      </c>
      <c r="L5" s="368"/>
      <c r="M5" s="368">
        <f>-M4*$C$5</f>
        <v>-120316.48812843749</v>
      </c>
      <c r="N5" s="368"/>
      <c r="O5" s="368">
        <f>-O4*$C$5</f>
        <v>-123324.4003316484</v>
      </c>
      <c r="P5" s="368"/>
      <c r="Q5" s="368">
        <f>-Q4*$C$5</f>
        <v>-126407.5103399396</v>
      </c>
      <c r="R5" s="368"/>
      <c r="S5" s="368">
        <f>-S4*$C$5</f>
        <v>-129567.69809843808</v>
      </c>
      <c r="T5" s="368"/>
      <c r="U5" s="368">
        <f>-U4*$C$5</f>
        <v>-132806.89055089903</v>
      </c>
      <c r="V5" s="368"/>
      <c r="W5" s="368">
        <f>-W4*$C$5</f>
        <v>-136127.06281467149</v>
      </c>
      <c r="X5" s="368"/>
      <c r="Y5" s="368">
        <f>-Y4*$C$5</f>
        <v>-139530.23938503824</v>
      </c>
      <c r="Z5" s="368"/>
      <c r="AA5" s="368">
        <f>-AA4*$C$5</f>
        <v>-143018.49536966419</v>
      </c>
      <c r="AB5" s="368"/>
      <c r="AC5" s="368">
        <f>-AC4*$C$5</f>
        <v>-146593.95775390576</v>
      </c>
      <c r="AD5" s="368"/>
      <c r="AE5" s="368">
        <f>-AE4*$C$5</f>
        <v>-150258.8066977534</v>
      </c>
      <c r="AF5" s="368"/>
      <c r="AG5" s="368">
        <f>-AG4*$C$5</f>
        <v>-154015.27686519723</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v>
      </c>
      <c r="E8" s="1705">
        <f>Application!Z797</f>
        <v>298080</v>
      </c>
      <c r="F8" s="1705"/>
      <c r="G8" s="1705">
        <f>E8*$C$8</f>
        <v>298080</v>
      </c>
      <c r="H8" s="1705"/>
      <c r="I8" s="1705">
        <f>G8*$C$8</f>
        <v>298080</v>
      </c>
      <c r="J8" s="1705"/>
      <c r="K8" s="1705">
        <f>I8*$C$8</f>
        <v>298080</v>
      </c>
      <c r="L8" s="1705"/>
      <c r="M8" s="1705">
        <f>K8*$C$8</f>
        <v>298080</v>
      </c>
      <c r="N8" s="1705"/>
      <c r="O8" s="1705">
        <f>M8*$C$8</f>
        <v>298080</v>
      </c>
      <c r="P8" s="1705"/>
      <c r="Q8" s="1705">
        <f>O8*$C$8</f>
        <v>298080</v>
      </c>
      <c r="R8" s="1705"/>
      <c r="S8" s="1705">
        <f>Q8*$C$8</f>
        <v>298080</v>
      </c>
      <c r="T8" s="1705"/>
      <c r="U8" s="1705">
        <f>S8*$C$8</f>
        <v>298080</v>
      </c>
      <c r="V8" s="1705"/>
      <c r="W8" s="1705">
        <f>U8*$C$8</f>
        <v>298080</v>
      </c>
      <c r="X8" s="1705"/>
      <c r="Y8" s="1705">
        <f>W8*$C$8</f>
        <v>298080</v>
      </c>
      <c r="Z8" s="1705"/>
      <c r="AA8" s="1705">
        <f>Y8*$C$8</f>
        <v>298080</v>
      </c>
      <c r="AB8" s="1705"/>
      <c r="AC8" s="1705">
        <f>AA8*$C$8</f>
        <v>298080</v>
      </c>
      <c r="AD8" s="1705"/>
      <c r="AE8" s="1705">
        <f>AC8*$C$8</f>
        <v>298080</v>
      </c>
      <c r="AF8" s="1705"/>
      <c r="AG8" s="1705">
        <f>AE8*$C$8</f>
        <v>298080</v>
      </c>
    </row>
    <row r="9" spans="1:34" s="350" customFormat="1" ht="14.25">
      <c r="B9" s="350" t="s">
        <v>924</v>
      </c>
      <c r="C9" s="391">
        <f>IF(Application!$D$210="Special Needs",0.1,0.05)</f>
        <v>0.05</v>
      </c>
      <c r="E9" s="388">
        <f>-E8*$C$9</f>
        <v>-14904</v>
      </c>
      <c r="F9" s="368"/>
      <c r="G9" s="388">
        <f>-G8*$C$9</f>
        <v>-14904</v>
      </c>
      <c r="H9" s="368"/>
      <c r="I9" s="388">
        <f>-I8*$C$9</f>
        <v>-14904</v>
      </c>
      <c r="J9" s="368"/>
      <c r="K9" s="388">
        <f>-K8*$C$9</f>
        <v>-14904</v>
      </c>
      <c r="L9" s="368"/>
      <c r="M9" s="388">
        <f>-M8*$C$9</f>
        <v>-14904</v>
      </c>
      <c r="N9" s="368"/>
      <c r="O9" s="388">
        <f>-O8*$C$9</f>
        <v>-14904</v>
      </c>
      <c r="P9" s="368"/>
      <c r="Q9" s="388">
        <f>-Q8*$C$9</f>
        <v>-14904</v>
      </c>
      <c r="R9" s="368"/>
      <c r="S9" s="388">
        <f>-S8*$C$9</f>
        <v>-14904</v>
      </c>
      <c r="T9" s="368"/>
      <c r="U9" s="388">
        <f>-U8*$C$9</f>
        <v>-14904</v>
      </c>
      <c r="V9" s="368"/>
      <c r="W9" s="388">
        <f>-W8*$C$9</f>
        <v>-14904</v>
      </c>
      <c r="X9" s="368"/>
      <c r="Y9" s="388">
        <f>-Y8*$C$9</f>
        <v>-14904</v>
      </c>
      <c r="Z9" s="368"/>
      <c r="AA9" s="388">
        <f>-AA8*$C$9</f>
        <v>-14904</v>
      </c>
      <c r="AB9" s="368"/>
      <c r="AC9" s="388">
        <f>-AC8*$C$9</f>
        <v>-14904</v>
      </c>
      <c r="AD9" s="368"/>
      <c r="AE9" s="388">
        <f>-AE8*$C$9</f>
        <v>-14904</v>
      </c>
      <c r="AF9" s="368"/>
      <c r="AG9" s="388">
        <f>-AG8*$C$9</f>
        <v>-14904</v>
      </c>
    </row>
    <row r="10" spans="1:34" s="370" customFormat="1" ht="15">
      <c r="A10" s="370" t="s">
        <v>946</v>
      </c>
      <c r="C10" s="361"/>
      <c r="E10" s="370">
        <f>SUM(E4:E9)</f>
        <v>2354191.2000000002</v>
      </c>
      <c r="G10" s="370">
        <f>SUM(G4:G9)</f>
        <v>2405966.58</v>
      </c>
      <c r="I10" s="370">
        <f>SUM(I4:I9)</f>
        <v>2459036.3444999997</v>
      </c>
      <c r="K10" s="370">
        <f>SUM(K4:K9)</f>
        <v>2513432.8531124997</v>
      </c>
      <c r="M10" s="370">
        <f>SUM(M4:M9)</f>
        <v>2569189.2744403118</v>
      </c>
      <c r="O10" s="370">
        <f>SUM(O4:O9)</f>
        <v>2626339.6063013193</v>
      </c>
      <c r="Q10" s="370">
        <f>SUM(Q4:Q9)</f>
        <v>2684918.6964588524</v>
      </c>
      <c r="S10" s="370">
        <f>SUM(S4:S9)</f>
        <v>2744962.2638703235</v>
      </c>
      <c r="U10" s="370">
        <f>SUM(U4:U9)</f>
        <v>2806506.9204670815</v>
      </c>
      <c r="W10" s="370">
        <f>SUM(W4:W9)</f>
        <v>2869590.193478758</v>
      </c>
      <c r="Y10" s="370">
        <f>SUM(Y4:Y9)</f>
        <v>2934250.5483157267</v>
      </c>
      <c r="AA10" s="370">
        <f>SUM(AA4:AA9)</f>
        <v>3000527.4120236193</v>
      </c>
      <c r="AC10" s="370">
        <f>SUM(AC4:AC9)</f>
        <v>3068461.1973242098</v>
      </c>
      <c r="AE10" s="370">
        <f>SUM(AE4:AE9)</f>
        <v>3138093.3272573147</v>
      </c>
      <c r="AG10" s="370">
        <f>SUM(AG4:AG9)</f>
        <v>3209466.2604387472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84000</v>
      </c>
      <c r="G14" s="366">
        <f>E14*$C$13</f>
        <v>86940</v>
      </c>
      <c r="I14" s="366">
        <f>G14*$C$13</f>
        <v>89982.9</v>
      </c>
      <c r="K14" s="366">
        <f>I14*$C$13</f>
        <v>93132.301499999987</v>
      </c>
      <c r="M14" s="366">
        <f>K14*$C$13</f>
        <v>96391.932052499978</v>
      </c>
      <c r="O14" s="366">
        <f>M14*$C$13</f>
        <v>99765.649674337474</v>
      </c>
      <c r="Q14" s="366">
        <f>O14*$C$13</f>
        <v>103257.44741293928</v>
      </c>
      <c r="S14" s="366">
        <f>Q14*$C$13</f>
        <v>106871.45807239214</v>
      </c>
      <c r="U14" s="366">
        <f>S14*$C$13</f>
        <v>110611.95910492586</v>
      </c>
      <c r="W14" s="366">
        <f>U14*$C$13</f>
        <v>114483.37767359825</v>
      </c>
      <c r="Y14" s="366">
        <f>W14*$C$13</f>
        <v>118490.29589217418</v>
      </c>
      <c r="AA14" s="366">
        <f>Y14*$C$13</f>
        <v>122637.45624840027</v>
      </c>
      <c r="AC14" s="366">
        <f>AA14*$C$13</f>
        <v>126929.76721709427</v>
      </c>
      <c r="AE14" s="366">
        <f>AC14*$C$13</f>
        <v>131372.30906969256</v>
      </c>
      <c r="AG14" s="366">
        <f>AE14*$C$13</f>
        <v>135970.33988713179</v>
      </c>
    </row>
    <row r="15" spans="1:34" s="350" customFormat="1" ht="14.25">
      <c r="A15" s="350" t="s">
        <v>368</v>
      </c>
      <c r="C15" s="380"/>
      <c r="E15" s="369">
        <f>Application!W829</f>
        <v>183323</v>
      </c>
      <c r="F15" s="369"/>
      <c r="G15" s="369">
        <f t="shared" ref="G15:AG20" si="0">E15*$C$13</f>
        <v>189739.30499999999</v>
      </c>
      <c r="H15" s="369"/>
      <c r="I15" s="369">
        <f t="shared" si="0"/>
        <v>196380.18067499998</v>
      </c>
      <c r="J15" s="369"/>
      <c r="K15" s="369">
        <f t="shared" si="0"/>
        <v>203253.48699862495</v>
      </c>
      <c r="L15" s="369"/>
      <c r="M15" s="369">
        <f t="shared" si="0"/>
        <v>210367.35904357681</v>
      </c>
      <c r="N15" s="369"/>
      <c r="O15" s="369">
        <f t="shared" si="0"/>
        <v>217730.21661010198</v>
      </c>
      <c r="P15" s="369"/>
      <c r="Q15" s="369">
        <f t="shared" si="0"/>
        <v>225350.77419145554</v>
      </c>
      <c r="R15" s="369"/>
      <c r="S15" s="369">
        <f t="shared" si="0"/>
        <v>233238.05128815645</v>
      </c>
      <c r="T15" s="369"/>
      <c r="U15" s="369">
        <f t="shared" si="0"/>
        <v>241401.3830832419</v>
      </c>
      <c r="V15" s="369"/>
      <c r="W15" s="369">
        <f t="shared" si="0"/>
        <v>249850.43149115535</v>
      </c>
      <c r="X15" s="369"/>
      <c r="Y15" s="369">
        <f t="shared" si="0"/>
        <v>258595.19659334578</v>
      </c>
      <c r="Z15" s="369"/>
      <c r="AA15" s="369">
        <f t="shared" si="0"/>
        <v>267646.02847411286</v>
      </c>
      <c r="AB15" s="369"/>
      <c r="AC15" s="369">
        <f t="shared" si="0"/>
        <v>277013.63947070681</v>
      </c>
      <c r="AD15" s="369"/>
      <c r="AE15" s="369">
        <f t="shared" si="0"/>
        <v>286709.1168521815</v>
      </c>
      <c r="AF15" s="369"/>
      <c r="AG15" s="369">
        <f t="shared" si="0"/>
        <v>296743.93594200781</v>
      </c>
    </row>
    <row r="16" spans="1:34" s="350" customFormat="1" ht="14.25">
      <c r="A16" s="350" t="s">
        <v>609</v>
      </c>
      <c r="C16" s="380"/>
      <c r="E16" s="369">
        <f>Application!W835</f>
        <v>137000</v>
      </c>
      <c r="F16" s="369"/>
      <c r="G16" s="369">
        <f t="shared" si="0"/>
        <v>141795</v>
      </c>
      <c r="H16" s="369"/>
      <c r="I16" s="369">
        <f t="shared" si="0"/>
        <v>146757.82499999998</v>
      </c>
      <c r="J16" s="369"/>
      <c r="K16" s="369">
        <f t="shared" si="0"/>
        <v>151894.34887499997</v>
      </c>
      <c r="L16" s="369"/>
      <c r="M16" s="369">
        <f t="shared" si="0"/>
        <v>157210.65108562497</v>
      </c>
      <c r="N16" s="369"/>
      <c r="O16" s="369">
        <f t="shared" si="0"/>
        <v>162713.02387362183</v>
      </c>
      <c r="P16" s="369"/>
      <c r="Q16" s="369">
        <f t="shared" si="0"/>
        <v>168407.97970919858</v>
      </c>
      <c r="R16" s="369"/>
      <c r="S16" s="369">
        <f t="shared" si="0"/>
        <v>174302.25899902053</v>
      </c>
      <c r="T16" s="369"/>
      <c r="U16" s="369">
        <f t="shared" si="0"/>
        <v>180402.83806398624</v>
      </c>
      <c r="V16" s="369"/>
      <c r="W16" s="369">
        <f t="shared" si="0"/>
        <v>186716.93739622575</v>
      </c>
      <c r="X16" s="369"/>
      <c r="Y16" s="369">
        <f t="shared" si="0"/>
        <v>193252.03020509364</v>
      </c>
      <c r="Z16" s="369"/>
      <c r="AA16" s="369">
        <f t="shared" si="0"/>
        <v>200015.8512622719</v>
      </c>
      <c r="AB16" s="369"/>
      <c r="AC16" s="369">
        <f t="shared" si="0"/>
        <v>207016.40605645141</v>
      </c>
      <c r="AD16" s="369"/>
      <c r="AE16" s="369">
        <f t="shared" si="0"/>
        <v>214261.9802684272</v>
      </c>
      <c r="AF16" s="369"/>
      <c r="AG16" s="369">
        <f t="shared" si="0"/>
        <v>221761.14957782213</v>
      </c>
    </row>
    <row r="17" spans="1:33" s="350" customFormat="1" ht="14.25">
      <c r="A17" s="350" t="s">
        <v>928</v>
      </c>
      <c r="C17" s="380"/>
      <c r="E17" s="369">
        <f>Application!W840</f>
        <v>270000</v>
      </c>
      <c r="F17" s="369"/>
      <c r="G17" s="369">
        <f t="shared" si="0"/>
        <v>279450</v>
      </c>
      <c r="H17" s="369"/>
      <c r="I17" s="369">
        <f t="shared" si="0"/>
        <v>289230.75</v>
      </c>
      <c r="J17" s="369"/>
      <c r="K17" s="369">
        <f t="shared" si="0"/>
        <v>299353.82624999998</v>
      </c>
      <c r="L17" s="369"/>
      <c r="M17" s="369">
        <f t="shared" si="0"/>
        <v>309831.21016874997</v>
      </c>
      <c r="N17" s="369"/>
      <c r="O17" s="369">
        <f t="shared" si="0"/>
        <v>320675.30252465617</v>
      </c>
      <c r="P17" s="369"/>
      <c r="Q17" s="369">
        <f t="shared" si="0"/>
        <v>331898.9381130191</v>
      </c>
      <c r="R17" s="369"/>
      <c r="S17" s="369">
        <f t="shared" si="0"/>
        <v>343515.40094697475</v>
      </c>
      <c r="T17" s="369"/>
      <c r="U17" s="369">
        <f t="shared" si="0"/>
        <v>355538.43998011883</v>
      </c>
      <c r="V17" s="369"/>
      <c r="W17" s="369">
        <f t="shared" si="0"/>
        <v>367982.28537942294</v>
      </c>
      <c r="X17" s="369"/>
      <c r="Y17" s="369">
        <f t="shared" si="0"/>
        <v>380861.66536770272</v>
      </c>
      <c r="Z17" s="369"/>
      <c r="AA17" s="369">
        <f t="shared" si="0"/>
        <v>394191.82365557231</v>
      </c>
      <c r="AB17" s="369"/>
      <c r="AC17" s="369">
        <f t="shared" si="0"/>
        <v>407988.53748351731</v>
      </c>
      <c r="AD17" s="369"/>
      <c r="AE17" s="369">
        <f t="shared" si="0"/>
        <v>422268.13629544037</v>
      </c>
      <c r="AF17" s="369"/>
      <c r="AG17" s="369">
        <f t="shared" si="0"/>
        <v>437047.52106578078</v>
      </c>
    </row>
    <row r="18" spans="1:33" s="350" customFormat="1" ht="14.25">
      <c r="A18" s="350" t="s">
        <v>162</v>
      </c>
      <c r="C18" s="380"/>
      <c r="E18" s="369">
        <f>Application!W841</f>
        <v>40000</v>
      </c>
      <c r="F18" s="369"/>
      <c r="G18" s="369">
        <f t="shared" si="0"/>
        <v>41400</v>
      </c>
      <c r="H18" s="369"/>
      <c r="I18" s="369">
        <f t="shared" si="0"/>
        <v>42849</v>
      </c>
      <c r="J18" s="369"/>
      <c r="K18" s="369">
        <f t="shared" si="0"/>
        <v>44348.714999999997</v>
      </c>
      <c r="L18" s="369"/>
      <c r="M18" s="369">
        <f t="shared" si="0"/>
        <v>45900.920024999992</v>
      </c>
      <c r="N18" s="369"/>
      <c r="O18" s="369">
        <f t="shared" si="0"/>
        <v>47507.452225874986</v>
      </c>
      <c r="P18" s="369"/>
      <c r="Q18" s="369">
        <f t="shared" si="0"/>
        <v>49170.213053780608</v>
      </c>
      <c r="R18" s="369"/>
      <c r="S18" s="369">
        <f t="shared" si="0"/>
        <v>50891.170510662923</v>
      </c>
      <c r="T18" s="369"/>
      <c r="U18" s="369">
        <f t="shared" si="0"/>
        <v>52672.361478536121</v>
      </c>
      <c r="V18" s="369"/>
      <c r="W18" s="369">
        <f t="shared" si="0"/>
        <v>54515.894130284883</v>
      </c>
      <c r="X18" s="369"/>
      <c r="Y18" s="369">
        <f t="shared" si="0"/>
        <v>56423.95042484485</v>
      </c>
      <c r="Z18" s="369"/>
      <c r="AA18" s="369">
        <f t="shared" si="0"/>
        <v>58398.788689714413</v>
      </c>
      <c r="AB18" s="369"/>
      <c r="AC18" s="369">
        <f t="shared" si="0"/>
        <v>60442.746293854412</v>
      </c>
      <c r="AD18" s="369"/>
      <c r="AE18" s="369">
        <f t="shared" si="0"/>
        <v>62558.242414139313</v>
      </c>
      <c r="AF18" s="369"/>
      <c r="AG18" s="369">
        <f t="shared" si="0"/>
        <v>64747.780898634184</v>
      </c>
    </row>
    <row r="19" spans="1:33" s="350" customFormat="1" ht="14.25">
      <c r="A19" s="350" t="s">
        <v>423</v>
      </c>
      <c r="C19" s="380"/>
      <c r="E19" s="369">
        <f>Application!W850</f>
        <v>122200</v>
      </c>
      <c r="F19" s="369"/>
      <c r="G19" s="369">
        <f t="shared" si="0"/>
        <v>126476.99999999999</v>
      </c>
      <c r="H19" s="369"/>
      <c r="I19" s="369">
        <f t="shared" si="0"/>
        <v>130903.69499999998</v>
      </c>
      <c r="J19" s="369"/>
      <c r="K19" s="369">
        <f t="shared" si="0"/>
        <v>135485.32432499997</v>
      </c>
      <c r="L19" s="369"/>
      <c r="M19" s="369">
        <f t="shared" si="0"/>
        <v>140227.31067637497</v>
      </c>
      <c r="N19" s="369"/>
      <c r="O19" s="369">
        <f t="shared" si="0"/>
        <v>145135.26655004808</v>
      </c>
      <c r="P19" s="369"/>
      <c r="Q19" s="369">
        <f t="shared" si="0"/>
        <v>150215.00087929974</v>
      </c>
      <c r="R19" s="369"/>
      <c r="S19" s="369">
        <f t="shared" si="0"/>
        <v>155472.52591007523</v>
      </c>
      <c r="T19" s="369"/>
      <c r="U19" s="369">
        <f t="shared" si="0"/>
        <v>160914.06431692786</v>
      </c>
      <c r="V19" s="369"/>
      <c r="W19" s="369">
        <f t="shared" si="0"/>
        <v>166546.05656802031</v>
      </c>
      <c r="X19" s="369"/>
      <c r="Y19" s="369">
        <f t="shared" si="0"/>
        <v>172375.168547901</v>
      </c>
      <c r="Z19" s="369"/>
      <c r="AA19" s="369">
        <f t="shared" si="0"/>
        <v>178408.29944707753</v>
      </c>
      <c r="AB19" s="369"/>
      <c r="AC19" s="369">
        <f t="shared" si="0"/>
        <v>184652.58992772523</v>
      </c>
      <c r="AD19" s="369"/>
      <c r="AE19" s="369">
        <f t="shared" si="0"/>
        <v>191115.43057519561</v>
      </c>
      <c r="AF19" s="369"/>
      <c r="AG19" s="369">
        <f t="shared" si="0"/>
        <v>197804.47064532744</v>
      </c>
    </row>
    <row r="20" spans="1:33" s="350" customFormat="1" ht="14.25">
      <c r="A20" s="373" t="s">
        <v>1070</v>
      </c>
      <c r="B20" s="373"/>
      <c r="C20" s="380"/>
      <c r="E20" s="379">
        <f>Application!W857</f>
        <v>30373</v>
      </c>
      <c r="F20" s="369"/>
      <c r="G20" s="379">
        <f t="shared" si="0"/>
        <v>31436.054999999997</v>
      </c>
      <c r="H20" s="369"/>
      <c r="I20" s="379">
        <f t="shared" si="0"/>
        <v>32536.316924999996</v>
      </c>
      <c r="J20" s="369"/>
      <c r="K20" s="379">
        <f t="shared" si="0"/>
        <v>33675.08801737499</v>
      </c>
      <c r="L20" s="369"/>
      <c r="M20" s="379">
        <f t="shared" si="0"/>
        <v>34853.71609798311</v>
      </c>
      <c r="N20" s="369"/>
      <c r="O20" s="379">
        <f t="shared" si="0"/>
        <v>36073.596161412519</v>
      </c>
      <c r="P20" s="369"/>
      <c r="Q20" s="379">
        <f t="shared" si="0"/>
        <v>37336.172027061955</v>
      </c>
      <c r="R20" s="369"/>
      <c r="S20" s="379">
        <f t="shared" si="0"/>
        <v>38642.93804800912</v>
      </c>
      <c r="T20" s="369"/>
      <c r="U20" s="379">
        <f t="shared" si="0"/>
        <v>39995.440879689435</v>
      </c>
      <c r="V20" s="369"/>
      <c r="W20" s="379">
        <f t="shared" si="0"/>
        <v>41395.28131047856</v>
      </c>
      <c r="X20" s="369"/>
      <c r="Y20" s="379">
        <f t="shared" si="0"/>
        <v>42844.116156345306</v>
      </c>
      <c r="Z20" s="369"/>
      <c r="AA20" s="379">
        <f t="shared" si="0"/>
        <v>44343.660221817387</v>
      </c>
      <c r="AB20" s="369"/>
      <c r="AC20" s="379">
        <f t="shared" si="0"/>
        <v>45895.688329580989</v>
      </c>
      <c r="AD20" s="369"/>
      <c r="AE20" s="379">
        <f t="shared" si="0"/>
        <v>47502.037421116322</v>
      </c>
      <c r="AF20" s="369"/>
      <c r="AG20" s="379">
        <f t="shared" si="0"/>
        <v>49164.608730855391</v>
      </c>
    </row>
    <row r="21" spans="1:33" s="370" customFormat="1" ht="15">
      <c r="A21" s="370" t="s">
        <v>929</v>
      </c>
      <c r="C21" s="380"/>
      <c r="E21" s="370">
        <f>SUM(E14:E20)</f>
        <v>866896</v>
      </c>
      <c r="G21" s="370">
        <f>SUM(G14:G20)</f>
        <v>897237.36</v>
      </c>
      <c r="I21" s="370">
        <f>SUM(I14:I20)</f>
        <v>928640.66759999993</v>
      </c>
      <c r="K21" s="370">
        <f>SUM(K14:K20)</f>
        <v>961143.09096599976</v>
      </c>
      <c r="M21" s="370">
        <f>SUM(M14:M20)</f>
        <v>994783.0991498098</v>
      </c>
      <c r="O21" s="370">
        <f>SUM(O14:O20)</f>
        <v>1029600.5076200531</v>
      </c>
      <c r="Q21" s="370">
        <f>SUM(Q14:Q20)</f>
        <v>1065636.5253867549</v>
      </c>
      <c r="S21" s="370">
        <f>SUM(S14:S20)</f>
        <v>1102933.8037752912</v>
      </c>
      <c r="U21" s="370">
        <f>SUM(U14:U20)</f>
        <v>1141536.4869074265</v>
      </c>
      <c r="W21" s="370">
        <f>SUM(W14:W20)</f>
        <v>1181490.2639491861</v>
      </c>
      <c r="Y21" s="370">
        <f>SUM(Y14:Y20)</f>
        <v>1222842.4231874074</v>
      </c>
      <c r="AA21" s="370">
        <f>SUM(AA14:AA20)</f>
        <v>1265641.9079989668</v>
      </c>
      <c r="AC21" s="370">
        <f>SUM(AC14:AC20)</f>
        <v>1309939.3747789303</v>
      </c>
      <c r="AE21" s="370">
        <f>SUM(AE14:AE20)</f>
        <v>1355787.2528961929</v>
      </c>
      <c r="AG21" s="370">
        <f>SUM(AG14:AG20)</f>
        <v>1403239.8067475595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35000</v>
      </c>
      <c r="F24" s="369"/>
      <c r="G24" s="369">
        <f>E24*$C$24</f>
        <v>36225</v>
      </c>
      <c r="H24" s="369"/>
      <c r="I24" s="369">
        <f>G24*$C$24</f>
        <v>37492.875</v>
      </c>
      <c r="J24" s="369"/>
      <c r="K24" s="369">
        <f>I24*$C$24</f>
        <v>38805.125625000001</v>
      </c>
      <c r="L24" s="369"/>
      <c r="M24" s="369">
        <f>K24*$C$24</f>
        <v>40163.305021875</v>
      </c>
      <c r="N24" s="369"/>
      <c r="O24" s="369">
        <f>M24*$C$24</f>
        <v>41569.020697640619</v>
      </c>
      <c r="P24" s="369"/>
      <c r="Q24" s="369">
        <f>O24*$C$24</f>
        <v>43023.936422058039</v>
      </c>
      <c r="R24" s="369"/>
      <c r="S24" s="369">
        <f>Q24*$C$24</f>
        <v>44529.774196830069</v>
      </c>
      <c r="T24" s="369"/>
      <c r="U24" s="369">
        <f>S24*$C$24</f>
        <v>46088.316293719115</v>
      </c>
      <c r="V24" s="369"/>
      <c r="W24" s="369">
        <f>U24*$C$24</f>
        <v>47701.407363999278</v>
      </c>
      <c r="X24" s="369"/>
      <c r="Y24" s="369">
        <f>W24*$C$24</f>
        <v>49370.956621739249</v>
      </c>
      <c r="Z24" s="369"/>
      <c r="AA24" s="369">
        <f>Y24*$C$24</f>
        <v>51098.940103500121</v>
      </c>
      <c r="AB24" s="369"/>
      <c r="AC24" s="369">
        <f>AA24*$C$24</f>
        <v>52887.403007122623</v>
      </c>
      <c r="AD24" s="369"/>
      <c r="AE24" s="369">
        <f>AC24*$C$24</f>
        <v>54738.462112371912</v>
      </c>
      <c r="AF24" s="369"/>
      <c r="AG24" s="369">
        <f>AE24*$C$24</f>
        <v>56654.308286304928</v>
      </c>
    </row>
    <row r="25" spans="1:33" s="350" customFormat="1" ht="14.25">
      <c r="A25" s="350" t="s">
        <v>932</v>
      </c>
      <c r="C25" s="392"/>
      <c r="E25" s="369">
        <f>Application!AC867</f>
        <v>45600</v>
      </c>
      <c r="F25" s="369"/>
      <c r="G25" s="369">
        <f>$E$25</f>
        <v>45600</v>
      </c>
      <c r="H25" s="369"/>
      <c r="I25" s="369">
        <f>$E$25</f>
        <v>45600</v>
      </c>
      <c r="J25" s="369"/>
      <c r="K25" s="369">
        <f>$E$25</f>
        <v>45600</v>
      </c>
      <c r="L25" s="369"/>
      <c r="M25" s="369">
        <f>$E$25</f>
        <v>45600</v>
      </c>
      <c r="N25" s="369"/>
      <c r="O25" s="369">
        <f>$E$25</f>
        <v>45600</v>
      </c>
      <c r="P25" s="369"/>
      <c r="Q25" s="369">
        <f>$E$25</f>
        <v>45600</v>
      </c>
      <c r="R25" s="369"/>
      <c r="S25" s="369">
        <f>$E$25</f>
        <v>45600</v>
      </c>
      <c r="T25" s="369"/>
      <c r="U25" s="369">
        <f>$E$25</f>
        <v>45600</v>
      </c>
      <c r="V25" s="369"/>
      <c r="W25" s="369">
        <f>$E$25</f>
        <v>45600</v>
      </c>
      <c r="X25" s="369"/>
      <c r="Y25" s="369">
        <f>$E$25</f>
        <v>45600</v>
      </c>
      <c r="Z25" s="369"/>
      <c r="AA25" s="369">
        <f>$E$25</f>
        <v>45600</v>
      </c>
      <c r="AB25" s="369"/>
      <c r="AC25" s="369">
        <f>$E$25</f>
        <v>45600</v>
      </c>
      <c r="AD25" s="369"/>
      <c r="AE25" s="369">
        <f>$E$25</f>
        <v>45600</v>
      </c>
      <c r="AF25" s="369"/>
      <c r="AG25" s="369">
        <f>$E$25</f>
        <v>45600</v>
      </c>
    </row>
    <row r="26" spans="1:33" s="350" customFormat="1" ht="14.25">
      <c r="A26" s="350" t="s">
        <v>930</v>
      </c>
      <c r="C26" s="390">
        <v>1.02</v>
      </c>
      <c r="E26" s="369">
        <f>Application!AC868</f>
        <v>30000</v>
      </c>
      <c r="F26" s="369"/>
      <c r="G26" s="369">
        <f>E26*$C$26</f>
        <v>30600</v>
      </c>
      <c r="H26" s="369"/>
      <c r="I26" s="369">
        <f>G26*$C$26</f>
        <v>31212</v>
      </c>
      <c r="J26" s="369"/>
      <c r="K26" s="369">
        <f>I26*$C$26</f>
        <v>31836.240000000002</v>
      </c>
      <c r="L26" s="369"/>
      <c r="M26" s="369">
        <f>K26*$C$26</f>
        <v>32472.964800000002</v>
      </c>
      <c r="N26" s="369"/>
      <c r="O26" s="369">
        <f>M26*$C$26</f>
        <v>33122.424096000002</v>
      </c>
      <c r="P26" s="369"/>
      <c r="Q26" s="369">
        <f>O26*$C$26</f>
        <v>33784.872577920003</v>
      </c>
      <c r="R26" s="369"/>
      <c r="S26" s="369">
        <f>Q26*$C$26</f>
        <v>34460.570029478404</v>
      </c>
      <c r="T26" s="369"/>
      <c r="U26" s="369">
        <f>S26*$C$26</f>
        <v>35149.781430067975</v>
      </c>
      <c r="V26" s="369"/>
      <c r="W26" s="369">
        <f>U26*$C$26</f>
        <v>35852.777058669337</v>
      </c>
      <c r="X26" s="369"/>
      <c r="Y26" s="369">
        <f>W26*$C$26</f>
        <v>36569.832599842724</v>
      </c>
      <c r="Z26" s="369"/>
      <c r="AA26" s="369">
        <f>Y26*$C$26</f>
        <v>37301.229251839577</v>
      </c>
      <c r="AB26" s="369"/>
      <c r="AC26" s="369">
        <f>AA26*$C$26</f>
        <v>38047.253836876371</v>
      </c>
      <c r="AD26" s="369"/>
      <c r="AE26" s="369">
        <f>AC26*$C$26</f>
        <v>38808.198913613902</v>
      </c>
      <c r="AF26" s="369"/>
      <c r="AG26" s="369">
        <f>AE26*$C$26</f>
        <v>39584.36289188618</v>
      </c>
    </row>
    <row r="27" spans="1:33" s="350" customFormat="1" ht="14.25">
      <c r="A27" s="373" t="str">
        <f>Application!E869</f>
        <v>Other (Ground Lease)</v>
      </c>
      <c r="B27" s="373"/>
      <c r="C27" s="509">
        <v>1.01</v>
      </c>
      <c r="E27" s="369">
        <f>Application!AC869</f>
        <v>10000</v>
      </c>
      <c r="F27" s="369"/>
      <c r="G27" s="369">
        <f>E27*$C$27</f>
        <v>10100</v>
      </c>
      <c r="H27" s="369"/>
      <c r="I27" s="369">
        <f>G27*$C$27</f>
        <v>10201</v>
      </c>
      <c r="J27" s="369"/>
      <c r="K27" s="369">
        <f>I27*$C$27</f>
        <v>10303.01</v>
      </c>
      <c r="L27" s="369"/>
      <c r="M27" s="369">
        <f>K27*$C$27</f>
        <v>10406.0401</v>
      </c>
      <c r="N27" s="369"/>
      <c r="O27" s="369">
        <f>M27*$C$27</f>
        <v>10510.100501000001</v>
      </c>
      <c r="P27" s="369"/>
      <c r="Q27" s="369">
        <f>O27*$C$27</f>
        <v>10615.20150601</v>
      </c>
      <c r="R27" s="369"/>
      <c r="S27" s="369">
        <f>Q27*$C$27</f>
        <v>10721.353521070101</v>
      </c>
      <c r="T27" s="369"/>
      <c r="U27" s="369">
        <f>S27*$C$27</f>
        <v>10828.567056280803</v>
      </c>
      <c r="V27" s="369"/>
      <c r="W27" s="369">
        <f>U27*$C$27</f>
        <v>10936.85272684361</v>
      </c>
      <c r="X27" s="369"/>
      <c r="Y27" s="369">
        <f>W27*$C$27</f>
        <v>11046.221254112046</v>
      </c>
      <c r="Z27" s="369"/>
      <c r="AA27" s="369">
        <f>Y27*$C$27</f>
        <v>11156.683466653167</v>
      </c>
      <c r="AB27" s="369"/>
      <c r="AC27" s="369">
        <f>AA27*$C$27</f>
        <v>11268.250301319698</v>
      </c>
      <c r="AD27" s="369"/>
      <c r="AE27" s="369">
        <f>AC27*$C$27</f>
        <v>11380.932804332895</v>
      </c>
      <c r="AF27" s="369"/>
      <c r="AG27" s="369">
        <f>AE27*$C$27</f>
        <v>11494.742132376225</v>
      </c>
    </row>
    <row r="28" spans="1:33" s="350" customFormat="1" ht="14.25">
      <c r="A28" s="373">
        <f>Application!E870</f>
        <v>0</v>
      </c>
      <c r="B28" s="373"/>
      <c r="C28" s="509">
        <v>1</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987496</v>
      </c>
      <c r="G30" s="370">
        <f>SUM(G21:G28)</f>
        <v>1019762.36</v>
      </c>
      <c r="I30" s="370">
        <f>SUM(I21:I28)</f>
        <v>1053146.5425999998</v>
      </c>
      <c r="K30" s="370">
        <f>SUM(K21:K28)</f>
        <v>1087687.4665909999</v>
      </c>
      <c r="M30" s="370">
        <f>SUM(M21:M28)</f>
        <v>1123425.4090716848</v>
      </c>
      <c r="O30" s="370">
        <f>SUM(O21:O28)</f>
        <v>1160402.0529146937</v>
      </c>
      <c r="Q30" s="370">
        <f>SUM(Q21:Q28)</f>
        <v>1198660.5358927432</v>
      </c>
      <c r="S30" s="370">
        <f>SUM(S21:S28)</f>
        <v>1238245.5015226698</v>
      </c>
      <c r="U30" s="370">
        <f>SUM(U21:U28)</f>
        <v>1279203.1516874945</v>
      </c>
      <c r="W30" s="370">
        <f>SUM(W21:W28)</f>
        <v>1321581.3010986983</v>
      </c>
      <c r="Y30" s="370">
        <f>SUM(Y21:Y28)</f>
        <v>1365429.4336631014</v>
      </c>
      <c r="AA30" s="370">
        <f>SUM(AA21:AA28)</f>
        <v>1410798.7608209597</v>
      </c>
      <c r="AC30" s="370">
        <f>SUM(AC21:AC28)</f>
        <v>1457742.2819242491</v>
      </c>
      <c r="AE30" s="370">
        <f>SUM(AE21:AE28)</f>
        <v>1506314.8467265114</v>
      </c>
      <c r="AG30" s="370">
        <f>SUM(AG21:AG28)</f>
        <v>1556573.2200581266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1366695.2000000002</v>
      </c>
      <c r="G32" s="370">
        <f>G10-G30</f>
        <v>1386204.2200000002</v>
      </c>
      <c r="I32" s="370">
        <f>I10-I30</f>
        <v>1405889.8018999998</v>
      </c>
      <c r="K32" s="370">
        <f>K10-K30</f>
        <v>1425745.3865214998</v>
      </c>
      <c r="M32" s="370">
        <f>M10-M30</f>
        <v>1445763.865368627</v>
      </c>
      <c r="O32" s="370">
        <f>O10-O30</f>
        <v>1465937.5533866256</v>
      </c>
      <c r="Q32" s="370">
        <f>Q10-Q30</f>
        <v>1486258.1605661092</v>
      </c>
      <c r="S32" s="370">
        <f>S10-S30</f>
        <v>1506716.7623476537</v>
      </c>
      <c r="U32" s="370">
        <f>U10-U30</f>
        <v>1527303.768779587</v>
      </c>
      <c r="W32" s="370">
        <f>W10-W30</f>
        <v>1548008.8923800597</v>
      </c>
      <c r="Y32" s="370">
        <f>Y10-Y30</f>
        <v>1568821.1146526253</v>
      </c>
      <c r="AA32" s="370">
        <f>AA10-AA30</f>
        <v>1589728.6512026596</v>
      </c>
      <c r="AC32" s="370">
        <f>AC10-AC30</f>
        <v>1610718.9153999607</v>
      </c>
      <c r="AE32" s="370">
        <f>AE10-AE30</f>
        <v>1631778.4805308033</v>
      </c>
      <c r="AG32" s="370">
        <f>AG10-AG30</f>
        <v>1652893.0403806206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Perm Loan</v>
      </c>
      <c r="B35" s="373"/>
      <c r="C35" s="367"/>
      <c r="E35" s="369">
        <f>Application!AB618</f>
        <v>1136580</v>
      </c>
      <c r="F35" s="369"/>
      <c r="G35" s="369">
        <f>$E$35</f>
        <v>1136580</v>
      </c>
      <c r="H35" s="369"/>
      <c r="I35" s="369">
        <f>$E$35</f>
        <v>1136580</v>
      </c>
      <c r="J35" s="369"/>
      <c r="K35" s="369">
        <f>$E$35</f>
        <v>1136580</v>
      </c>
      <c r="L35" s="369"/>
      <c r="M35" s="369">
        <f>$E$35</f>
        <v>1136580</v>
      </c>
      <c r="N35" s="369"/>
      <c r="O35" s="369">
        <f>$E$35</f>
        <v>1136580</v>
      </c>
      <c r="P35" s="369"/>
      <c r="Q35" s="369">
        <f>$E$35</f>
        <v>1136580</v>
      </c>
      <c r="R35" s="369"/>
      <c r="S35" s="369">
        <f>$E$35</f>
        <v>1136580</v>
      </c>
      <c r="T35" s="369"/>
      <c r="U35" s="369">
        <f>$E$35</f>
        <v>1136580</v>
      </c>
      <c r="V35" s="369"/>
      <c r="W35" s="369">
        <f>$E$35</f>
        <v>1136580</v>
      </c>
      <c r="X35" s="369"/>
      <c r="Y35" s="369">
        <f>$E$35</f>
        <v>1136580</v>
      </c>
      <c r="Z35" s="369"/>
      <c r="AA35" s="369">
        <f>$E$35</f>
        <v>1136580</v>
      </c>
      <c r="AB35" s="369"/>
      <c r="AC35" s="369">
        <f>$E$35</f>
        <v>1136580</v>
      </c>
      <c r="AD35" s="369"/>
      <c r="AE35" s="369">
        <f>$E$35</f>
        <v>1136580</v>
      </c>
      <c r="AF35" s="369"/>
      <c r="AG35" s="369">
        <f>$E$35</f>
        <v>1136580</v>
      </c>
    </row>
    <row r="36" spans="1:35" s="350" customFormat="1" ht="14.25">
      <c r="A36" s="372" t="s">
        <v>1758</v>
      </c>
      <c r="B36" s="373"/>
      <c r="C36" s="367"/>
      <c r="E36" s="369">
        <v>39900</v>
      </c>
      <c r="F36" s="369"/>
      <c r="G36" s="369">
        <f>$E$36</f>
        <v>39900</v>
      </c>
      <c r="H36" s="369"/>
      <c r="I36" s="369">
        <f>$E$36</f>
        <v>39900</v>
      </c>
      <c r="J36" s="369"/>
      <c r="K36" s="369">
        <f>$E$36</f>
        <v>39900</v>
      </c>
      <c r="L36" s="369"/>
      <c r="M36" s="369">
        <f>$E$36</f>
        <v>39900</v>
      </c>
      <c r="N36" s="369"/>
      <c r="O36" s="369">
        <f>$E$36</f>
        <v>39900</v>
      </c>
      <c r="P36" s="369"/>
      <c r="Q36" s="369">
        <f>$E$36</f>
        <v>39900</v>
      </c>
      <c r="R36" s="369"/>
      <c r="S36" s="369">
        <f>$E$36</f>
        <v>39900</v>
      </c>
      <c r="T36" s="369"/>
      <c r="U36" s="369">
        <f>$E$36</f>
        <v>39900</v>
      </c>
      <c r="V36" s="369"/>
      <c r="W36" s="369">
        <f>$E$36</f>
        <v>39900</v>
      </c>
      <c r="X36" s="369"/>
      <c r="Y36" s="369">
        <f>$E$36</f>
        <v>39900</v>
      </c>
      <c r="Z36" s="369"/>
      <c r="AA36" s="369">
        <f>$E$36</f>
        <v>39900</v>
      </c>
      <c r="AB36" s="369"/>
      <c r="AC36" s="369">
        <f>$E$36</f>
        <v>39900</v>
      </c>
      <c r="AD36" s="369"/>
      <c r="AE36" s="369">
        <f>$E$36</f>
        <v>39900</v>
      </c>
      <c r="AF36" s="369"/>
      <c r="AG36" s="369">
        <f>$E$36</f>
        <v>39900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1176480</v>
      </c>
      <c r="G38" s="370">
        <f>SUM(G35:G37)</f>
        <v>1176480</v>
      </c>
      <c r="I38" s="370">
        <f>SUM(I35:I37)</f>
        <v>1176480</v>
      </c>
      <c r="K38" s="370">
        <f>SUM(K35:K37)</f>
        <v>1176480</v>
      </c>
      <c r="M38" s="370">
        <f>SUM(M35:M37)</f>
        <v>1176480</v>
      </c>
      <c r="O38" s="370">
        <f>SUM(O35:O37)</f>
        <v>1176480</v>
      </c>
      <c r="Q38" s="370">
        <f>SUM(Q35:Q37)</f>
        <v>1176480</v>
      </c>
      <c r="S38" s="370">
        <f>SUM(S35:S37)</f>
        <v>1176480</v>
      </c>
      <c r="U38" s="370">
        <f>SUM(U35:U37)</f>
        <v>1176480</v>
      </c>
      <c r="W38" s="370">
        <f>SUM(W35:W37)</f>
        <v>1176480</v>
      </c>
      <c r="Y38" s="370">
        <f>SUM(Y35:Y37)</f>
        <v>1176480</v>
      </c>
      <c r="AA38" s="370">
        <f>SUM(AA35:AA37)</f>
        <v>1176480</v>
      </c>
      <c r="AC38" s="370">
        <f>SUM(AC35:AC37)</f>
        <v>1176480</v>
      </c>
      <c r="AE38" s="370">
        <f>SUM(AE35:AE37)</f>
        <v>1176480</v>
      </c>
      <c r="AG38" s="370">
        <f>SUM(AG35:AG37)</f>
        <v>1176480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190215.20000000019</v>
      </c>
      <c r="G40" s="370">
        <f>G32-G38</f>
        <v>209724.2200000002</v>
      </c>
      <c r="I40" s="370">
        <f>I32-I38</f>
        <v>229409.80189999985</v>
      </c>
      <c r="K40" s="370">
        <f>K32-K38</f>
        <v>249265.38652149984</v>
      </c>
      <c r="M40" s="370">
        <f>M32-M38</f>
        <v>269283.86536862701</v>
      </c>
      <c r="O40" s="370">
        <f>O32-O38</f>
        <v>289457.5533866256</v>
      </c>
      <c r="Q40" s="370">
        <f>Q32-Q38</f>
        <v>309778.16056610923</v>
      </c>
      <c r="S40" s="370">
        <f>S32-S38</f>
        <v>330236.76234765374</v>
      </c>
      <c r="U40" s="370">
        <f>U32-U38</f>
        <v>350823.768779587</v>
      </c>
      <c r="W40" s="370">
        <f>W32-W38</f>
        <v>371528.8923800597</v>
      </c>
      <c r="Y40" s="370">
        <f>Y32-Y38</f>
        <v>392341.11465262529</v>
      </c>
      <c r="AA40" s="370">
        <f>AA32-AA38</f>
        <v>413248.65120265959</v>
      </c>
      <c r="AC40" s="370">
        <f>AC32-AC38</f>
        <v>434238.91539996071</v>
      </c>
      <c r="AE40" s="370">
        <f>AE32-AE38</f>
        <v>455298.48053080332</v>
      </c>
      <c r="AG40" s="370">
        <f>AG32-AG38</f>
        <v>476413.04038062063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7.6758608221796171E-2</v>
      </c>
      <c r="G42" s="374">
        <f>G40/(G4+G6+G8)</f>
        <v>8.2809965298853067E-2</v>
      </c>
      <c r="I42" s="374">
        <f>I40/(I4+I6+I8)</f>
        <v>8.8627934390824892E-2</v>
      </c>
      <c r="K42" s="374">
        <f>K40/(K4+K6+K8)</f>
        <v>9.4214618426023147E-2</v>
      </c>
      <c r="M42" s="374">
        <f>M40/(M4+M6+M8)</f>
        <v>9.9572139213419758E-2</v>
      </c>
      <c r="O42" s="374">
        <f>O40/(O4+O6+O8)</f>
        <v>0.10470263444130742</v>
      </c>
      <c r="Q42" s="374">
        <f>Q40/(Q4+Q6+Q8)</f>
        <v>0.10960825477730211</v>
      </c>
      <c r="S42" s="374">
        <f>S40/(S4+S6+S8)</f>
        <v>0.11429116106970713</v>
      </c>
      <c r="U42" s="374">
        <f>U40/(U4+U6+U8)</f>
        <v>0.11875352165001614</v>
      </c>
      <c r="W42" s="374">
        <f>W40/(W4+W6+W8)</f>
        <v>0.12299750973611258</v>
      </c>
      <c r="Y42" s="374">
        <f>Y40/(Y4+Y6+Y8)</f>
        <v>0.12702530093551123</v>
      </c>
      <c r="AA42" s="374">
        <f>AA40/(AA4+AA6+AA8)</f>
        <v>0.13083907084780075</v>
      </c>
      <c r="AC42" s="374">
        <f>AC40/(AC4+AC6+AC8)</f>
        <v>0.13444099276526572</v>
      </c>
      <c r="AE42" s="374">
        <f>AE40/(AE4+AE6+AE8)</f>
        <v>0.13783323547050028</v>
      </c>
      <c r="AG42" s="374">
        <f>AG40/(AG4+AG6+AG8)</f>
        <v>0.1410179611296859</v>
      </c>
    </row>
    <row r="43" spans="1:35" s="374" customFormat="1" ht="14.25">
      <c r="A43" s="374" t="s">
        <v>938</v>
      </c>
      <c r="C43" s="367"/>
      <c r="E43" s="374">
        <f>E40/E38</f>
        <v>0.16168162654698778</v>
      </c>
      <c r="G43" s="374">
        <f>G40/G38</f>
        <v>0.17826416088671307</v>
      </c>
      <c r="I43" s="374">
        <f>I40/I38</f>
        <v>0.19499677164082674</v>
      </c>
      <c r="K43" s="374">
        <f>K40/K38</f>
        <v>0.21187388355220643</v>
      </c>
      <c r="M43" s="374">
        <f>M40/M38</f>
        <v>0.22888945444769737</v>
      </c>
      <c r="O43" s="374">
        <f>O40/O38</f>
        <v>0.2460369520830151</v>
      </c>
      <c r="Q43" s="374">
        <f>Q40/Q38</f>
        <v>0.26330933000655282</v>
      </c>
      <c r="S43" s="374">
        <f>S40/S38</f>
        <v>0.28069900240348644</v>
      </c>
      <c r="U43" s="374">
        <f>U40/U38</f>
        <v>0.29819781788010591</v>
      </c>
      <c r="W43" s="374">
        <f>W40/W38</f>
        <v>0.31579703214679355</v>
      </c>
      <c r="Y43" s="374">
        <f>Y40/Y38</f>
        <v>0.33348727955649504</v>
      </c>
      <c r="AA43" s="374">
        <f>AA40/AA38</f>
        <v>0.351258543453913</v>
      </c>
      <c r="AC43" s="374">
        <f>AC40/AC38</f>
        <v>0.3691001252889643</v>
      </c>
      <c r="AE43" s="374">
        <f>AE40/AE38</f>
        <v>0.38700061244628325</v>
      </c>
      <c r="AG43" s="374">
        <f>AG40/AG38</f>
        <v>0.40494784474076961</v>
      </c>
    </row>
    <row r="44" spans="1:35" s="375" customFormat="1" ht="14.25">
      <c r="A44" s="375" t="s">
        <v>936</v>
      </c>
      <c r="C44" s="376"/>
      <c r="E44" s="375">
        <f>E32/E38</f>
        <v>1.1616816265469878</v>
      </c>
      <c r="G44" s="375">
        <f>G32/G38</f>
        <v>1.178264160886713</v>
      </c>
      <c r="I44" s="375">
        <f>I32/I38</f>
        <v>1.1949967716408267</v>
      </c>
      <c r="K44" s="375">
        <f>K32/K38</f>
        <v>1.2118738835522065</v>
      </c>
      <c r="M44" s="375">
        <f>M32/M38</f>
        <v>1.2288894544476974</v>
      </c>
      <c r="O44" s="375">
        <f>O32/O38</f>
        <v>1.246036952083015</v>
      </c>
      <c r="Q44" s="375">
        <f>Q32/Q38</f>
        <v>1.2633093300065528</v>
      </c>
      <c r="S44" s="375">
        <f>S32/S38</f>
        <v>1.2806990024034866</v>
      </c>
      <c r="U44" s="375">
        <f>U32/U38</f>
        <v>1.2981978178801059</v>
      </c>
      <c r="W44" s="375">
        <f>W32/W38</f>
        <v>1.3157970321467936</v>
      </c>
      <c r="Y44" s="375">
        <f>Y32/Y38</f>
        <v>1.3334872795564949</v>
      </c>
      <c r="AA44" s="375">
        <f>AA32/AA38</f>
        <v>1.3512585434539131</v>
      </c>
      <c r="AC44" s="375">
        <f>AC32/AC38</f>
        <v>1.3691001252889643</v>
      </c>
      <c r="AE44" s="375">
        <f>AE32/AE38</f>
        <v>1.3870006124462833</v>
      </c>
      <c r="AG44" s="375">
        <f>AG32/AG38</f>
        <v>1.4049478447407695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190215.20000000019</v>
      </c>
      <c r="G54" s="255">
        <f>G40-G52</f>
        <v>209724.2200000002</v>
      </c>
      <c r="I54" s="255">
        <f>I40-I52</f>
        <v>229409.80189999985</v>
      </c>
      <c r="K54" s="255">
        <f>K40-K52</f>
        <v>249265.38652149984</v>
      </c>
      <c r="M54" s="255">
        <f>M40-M52</f>
        <v>269283.86536862701</v>
      </c>
      <c r="O54" s="255">
        <f>O40-O52</f>
        <v>289457.5533866256</v>
      </c>
      <c r="Q54" s="255">
        <f>Q40-Q52</f>
        <v>309778.16056610923</v>
      </c>
      <c r="S54" s="255">
        <f>S40-S52</f>
        <v>330236.76234765374</v>
      </c>
      <c r="U54" s="255">
        <f>U40-U52</f>
        <v>350823.768779587</v>
      </c>
      <c r="W54" s="255">
        <f>W40-W52</f>
        <v>371528.8923800597</v>
      </c>
      <c r="Y54" s="255">
        <f>Y40-Y52</f>
        <v>392341.11465262529</v>
      </c>
      <c r="AA54" s="255">
        <f>AA40-AA52</f>
        <v>413248.65120265959</v>
      </c>
      <c r="AC54" s="255">
        <f>AC40-AC52</f>
        <v>434238.91539996071</v>
      </c>
      <c r="AE54" s="255">
        <f>AE40-AE52</f>
        <v>455298.48053080332</v>
      </c>
      <c r="AG54" s="255">
        <f>AG40-AG52</f>
        <v>476413.04038062063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v>190215</v>
      </c>
      <c r="G56" s="383">
        <v>216554</v>
      </c>
      <c r="I56" s="383">
        <v>243234</v>
      </c>
      <c r="K56" s="383">
        <v>1645</v>
      </c>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1784</v>
      </c>
      <c r="B59" s="383"/>
      <c r="C59" s="381"/>
      <c r="E59" s="383"/>
      <c r="G59" s="383"/>
      <c r="I59" s="383"/>
      <c r="K59" s="383">
        <f>(K54-K56)*0.5</f>
        <v>123810.19326074992</v>
      </c>
      <c r="M59" s="383">
        <f>M54*0.5</f>
        <v>134641.93268431351</v>
      </c>
      <c r="O59" s="383">
        <f t="shared" ref="O59:AG59" si="1">O54*0.5</f>
        <v>144728.7766933128</v>
      </c>
      <c r="Q59" s="383">
        <f t="shared" si="1"/>
        <v>154889.08028305462</v>
      </c>
      <c r="S59" s="383">
        <f t="shared" si="1"/>
        <v>165118.38117382687</v>
      </c>
      <c r="U59" s="383">
        <f t="shared" si="1"/>
        <v>175411.8843897935</v>
      </c>
      <c r="W59" s="383">
        <f t="shared" si="1"/>
        <v>185764.44619002985</v>
      </c>
      <c r="Y59" s="383">
        <f t="shared" si="1"/>
        <v>196170.55732631264</v>
      </c>
      <c r="AA59" s="383">
        <f t="shared" si="1"/>
        <v>206624.32560132979</v>
      </c>
      <c r="AC59" s="383">
        <f t="shared" si="1"/>
        <v>217119.45769998035</v>
      </c>
      <c r="AE59" s="383">
        <f t="shared" si="1"/>
        <v>227649.24026540166</v>
      </c>
      <c r="AG59" s="383">
        <f t="shared" si="1"/>
        <v>238206.52019031032</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3" t="s">
        <v>950</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cellComments="asDisplayed"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2020-02-18T17:14:15Z</cp:lastPrinted>
  <dcterms:created xsi:type="dcterms:W3CDTF">2007-12-27T18:26:28Z</dcterms:created>
  <dcterms:modified xsi:type="dcterms:W3CDTF">2020-02-18T17:43:25Z</dcterms:modified>
</cp:coreProperties>
</file>